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9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theme/themeOverride2.xml" ContentType="application/vnd.openxmlformats-officedocument.themeOverride+xml"/>
  <Override PartName="/xl/drawings/drawing10.xml" ContentType="application/vnd.openxmlformats-officedocument.drawingml.chartshapes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theme/themeOverride3.xml" ContentType="application/vnd.openxmlformats-officedocument.themeOverride+xml"/>
  <Override PartName="/xl/drawings/drawing11.xml" ContentType="application/vnd.openxmlformats-officedocument.drawingml.chartshapes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theme/themeOverride4.xml" ContentType="application/vnd.openxmlformats-officedocument.themeOverride+xml"/>
  <Override PartName="/xl/drawings/drawing12.xml" ContentType="application/vnd.openxmlformats-officedocument.drawingml.chartshapes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theme/themeOverride5.xml" ContentType="application/vnd.openxmlformats-officedocument.themeOverride+xml"/>
  <Override PartName="/xl/drawings/drawing13.xml" ContentType="application/vnd.openxmlformats-officedocument.drawingml.chartshapes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theme/themeOverride6.xml" ContentType="application/vnd.openxmlformats-officedocument.themeOverride+xml"/>
  <Override PartName="/xl/drawings/drawing14.xml" ContentType="application/vnd.openxmlformats-officedocument.drawingml.chartshapes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7.xml" ContentType="application/vnd.openxmlformats-officedocument.themeOverride+xml"/>
  <Override PartName="/xl/drawings/drawing15.xml" ContentType="application/vnd.openxmlformats-officedocument.drawingml.chartshapes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theme/themeOverride8.xml" ContentType="application/vnd.openxmlformats-officedocument.themeOverride+xml"/>
  <Override PartName="/xl/drawings/drawing16.xml" ContentType="application/vnd.openxmlformats-officedocument.drawingml.chartshapes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theme/themeOverride9.xml" ContentType="application/vnd.openxmlformats-officedocument.themeOverride+xml"/>
  <Override PartName="/xl/drawings/drawing17.xml" ContentType="application/vnd.openxmlformats-officedocument.drawingml.chartshapes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theme/themeOverride10.xml" ContentType="application/vnd.openxmlformats-officedocument.themeOverride+xml"/>
  <Override PartName="/xl/drawings/drawing18.xml" ContentType="application/vnd.openxmlformats-officedocument.drawingml.chartshapes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theme/themeOverride11.xml" ContentType="application/vnd.openxmlformats-officedocument.themeOverride+xml"/>
  <Override PartName="/xl/drawings/drawing19.xml" ContentType="application/vnd.openxmlformats-officedocument.drawingml.chartshapes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theme/themeOverride12.xml" ContentType="application/vnd.openxmlformats-officedocument.themeOverride+xml"/>
  <Override PartName="/xl/drawings/drawing20.xml" ContentType="application/vnd.openxmlformats-officedocument.drawingml.chartshapes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theme/themeOverride13.xml" ContentType="application/vnd.openxmlformats-officedocument.themeOverride+xml"/>
  <Override PartName="/xl/drawings/drawing21.xml" ContentType="application/vnd.openxmlformats-officedocument.drawingml.chartshapes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theme/themeOverride14.xml" ContentType="application/vnd.openxmlformats-officedocument.themeOverride+xml"/>
  <Override PartName="/xl/drawings/drawing24.xml" ContentType="application/vnd.openxmlformats-officedocument.drawingml.chartshapes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theme/themeOverride15.xml" ContentType="application/vnd.openxmlformats-officedocument.themeOverride+xml"/>
  <Override PartName="/xl/drawings/drawing25.xml" ContentType="application/vnd.openxmlformats-officedocument.drawingml.chartshapes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theme/themeOverride16.xml" ContentType="application/vnd.openxmlformats-officedocument.themeOverride+xml"/>
  <Override PartName="/xl/drawings/drawing26.xml" ContentType="application/vnd.openxmlformats-officedocument.drawingml.chartshapes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theme/themeOverride17.xml" ContentType="application/vnd.openxmlformats-officedocument.themeOverride+xml"/>
  <Override PartName="/xl/drawings/drawing27.xml" ContentType="application/vnd.openxmlformats-officedocument.drawingml.chartshapes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theme/themeOverride18.xml" ContentType="application/vnd.openxmlformats-officedocument.themeOverride+xml"/>
  <Override PartName="/xl/drawings/drawing28.xml" ContentType="application/vnd.openxmlformats-officedocument.drawingml.chartshapes+xml"/>
  <Override PartName="/xl/drawings/drawing29.xml" ContentType="application/vnd.openxmlformats-officedocument.drawing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theme/themeOverride19.xml" ContentType="application/vnd.openxmlformats-officedocument.themeOverride+xml"/>
  <Override PartName="/xl/drawings/drawing30.xml" ContentType="application/vnd.openxmlformats-officedocument.drawingml.chartshapes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theme/themeOverride20.xml" ContentType="application/vnd.openxmlformats-officedocument.themeOverride+xml"/>
  <Override PartName="/xl/drawings/drawing31.xml" ContentType="application/vnd.openxmlformats-officedocument.drawingml.chartshapes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theme/themeOverride21.xml" ContentType="application/vnd.openxmlformats-officedocument.themeOverride+xml"/>
  <Override PartName="/xl/drawings/drawing32.xml" ContentType="application/vnd.openxmlformats-officedocument.drawingml.chartshapes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charts/chart22.xml" ContentType="application/vnd.openxmlformats-officedocument.drawingml.chart+xml"/>
  <Override PartName="/xl/theme/themeOverride22.xml" ContentType="application/vnd.openxmlformats-officedocument.themeOverride+xml"/>
  <Override PartName="/xl/drawings/drawing35.xml" ContentType="application/vnd.openxmlformats-officedocument.drawingml.chartshapes+xml"/>
  <Override PartName="/xl/drawings/drawing36.xml" ContentType="application/vnd.openxmlformats-officedocument.drawing+xml"/>
  <Override PartName="/xl/charts/chart23.xml" ContentType="application/vnd.openxmlformats-officedocument.drawingml.chart+xml"/>
  <Override PartName="/xl/theme/themeOverride23.xml" ContentType="application/vnd.openxmlformats-officedocument.themeOverride+xml"/>
  <Override PartName="/xl/drawings/drawing37.xml" ContentType="application/vnd.openxmlformats-officedocument.drawingml.chartshapes+xml"/>
  <Override PartName="/xl/drawings/drawing38.xml" ContentType="application/vnd.openxmlformats-officedocument.drawing+xml"/>
  <Override PartName="/xl/charts/chart24.xml" ContentType="application/vnd.openxmlformats-officedocument.drawingml.chart+xml"/>
  <Override PartName="/xl/theme/themeOverride24.xml" ContentType="application/vnd.openxmlformats-officedocument.themeOverride+xml"/>
  <Override PartName="/xl/drawings/drawing39.xml" ContentType="application/vnd.openxmlformats-officedocument.drawingml.chartshapes+xml"/>
  <Override PartName="/xl/drawings/drawing40.xml" ContentType="application/vnd.openxmlformats-officedocument.drawing+xml"/>
  <Override PartName="/xl/charts/chart25.xml" ContentType="application/vnd.openxmlformats-officedocument.drawingml.chart+xml"/>
  <Override PartName="/xl/theme/themeOverride25.xml" ContentType="application/vnd.openxmlformats-officedocument.themeOverride+xml"/>
  <Override PartName="/xl/drawings/drawing41.xml" ContentType="application/vnd.openxmlformats-officedocument.drawingml.chartshapes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charts/chart26.xml" ContentType="application/vnd.openxmlformats-officedocument.drawingml.chart+xml"/>
  <Override PartName="/xl/theme/themeOverride26.xml" ContentType="application/vnd.openxmlformats-officedocument.themeOverride+xml"/>
  <Override PartName="/xl/drawings/drawing47.xml" ContentType="application/vnd.openxmlformats-officedocument.drawingml.chartshapes+xml"/>
  <Override PartName="/xl/drawings/drawing48.xml" ContentType="application/vnd.openxmlformats-officedocument.drawing+xml"/>
  <Override PartName="/xl/charts/chart27.xml" ContentType="application/vnd.openxmlformats-officedocument.drawingml.chart+xml"/>
  <Override PartName="/xl/theme/themeOverride27.xml" ContentType="application/vnd.openxmlformats-officedocument.themeOverride+xml"/>
  <Override PartName="/xl/drawings/drawing49.xml" ContentType="application/vnd.openxmlformats-officedocument.drawingml.chartshapes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charts/chart28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theme/themeOverride28.xml" ContentType="application/vnd.openxmlformats-officedocument.themeOverride+xml"/>
  <Override PartName="/xl/drawings/drawing52.xml" ContentType="application/vnd.openxmlformats-officedocument.drawingml.chartshapes+xml"/>
  <Override PartName="/xl/charts/chart29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theme/themeOverride29.xml" ContentType="application/vnd.openxmlformats-officedocument.themeOverride+xml"/>
  <Override PartName="/xl/drawings/drawing53.xml" ContentType="application/vnd.openxmlformats-officedocument.drawingml.chartshapes+xml"/>
  <Override PartName="/xl/charts/chart30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theme/themeOverride30.xml" ContentType="application/vnd.openxmlformats-officedocument.themeOverride+xml"/>
  <Override PartName="/xl/drawings/drawing54.xml" ContentType="application/vnd.openxmlformats-officedocument.drawingml.chartshapes+xml"/>
  <Override PartName="/xl/charts/chart31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theme/themeOverride31.xml" ContentType="application/vnd.openxmlformats-officedocument.themeOverride+xml"/>
  <Override PartName="/xl/drawings/drawing55.xml" ContentType="application/vnd.openxmlformats-officedocument.drawingml.chartshapes+xml"/>
  <Override PartName="/xl/charts/chart32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theme/themeOverride32.xml" ContentType="application/vnd.openxmlformats-officedocument.themeOverride+xml"/>
  <Override PartName="/xl/drawings/drawing56.xml" ContentType="application/vnd.openxmlformats-officedocument.drawingml.chartshapes+xml"/>
  <Override PartName="/xl/charts/chart33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theme/themeOverride33.xml" ContentType="application/vnd.openxmlformats-officedocument.themeOverride+xml"/>
  <Override PartName="/xl/drawings/drawing57.xml" ContentType="application/vnd.openxmlformats-officedocument.drawingml.chartshapes+xml"/>
  <Override PartName="/xl/charts/chart34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theme/themeOverride34.xml" ContentType="application/vnd.openxmlformats-officedocument.themeOverride+xml"/>
  <Override PartName="/xl/drawings/drawing58.xml" ContentType="application/vnd.openxmlformats-officedocument.drawingml.chartshapes+xml"/>
  <Override PartName="/xl/charts/chart35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theme/themeOverride35.xml" ContentType="application/vnd.openxmlformats-officedocument.themeOverride+xml"/>
  <Override PartName="/xl/drawings/drawing59.xml" ContentType="application/vnd.openxmlformats-officedocument.drawingml.chartshapes+xml"/>
  <Override PartName="/xl/charts/chart36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theme/themeOverride36.xml" ContentType="application/vnd.openxmlformats-officedocument.themeOverride+xml"/>
  <Override PartName="/xl/drawings/drawing60.xml" ContentType="application/vnd.openxmlformats-officedocument.drawingml.chartshapes+xml"/>
  <Override PartName="/xl/charts/chart37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theme/themeOverride37.xml" ContentType="application/vnd.openxmlformats-officedocument.themeOverride+xml"/>
  <Override PartName="/xl/drawings/drawing61.xml" ContentType="application/vnd.openxmlformats-officedocument.drawingml.chartshapes+xml"/>
  <Override PartName="/xl/charts/chart38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theme/themeOverride38.xml" ContentType="application/vnd.openxmlformats-officedocument.themeOverride+xml"/>
  <Override PartName="/xl/drawings/drawing62.xml" ContentType="application/vnd.openxmlformats-officedocument.drawingml.chartshapes+xml"/>
  <Override PartName="/xl/charts/chart39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theme/themeOverride39.xml" ContentType="application/vnd.openxmlformats-officedocument.themeOverride+xml"/>
  <Override PartName="/xl/drawings/drawing63.xml" ContentType="application/vnd.openxmlformats-officedocument.drawingml.chartshapes+xml"/>
  <Override PartName="/xl/drawings/drawing64.xml" ContentType="application/vnd.openxmlformats-officedocument.drawing+xml"/>
  <Override PartName="/xl/charts/chart40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theme/themeOverride40.xml" ContentType="application/vnd.openxmlformats-officedocument.themeOverride+xml"/>
  <Override PartName="/xl/drawings/drawing65.xml" ContentType="application/vnd.openxmlformats-officedocument.drawingml.chartshapes+xml"/>
  <Override PartName="/xl/charts/chart41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theme/themeOverride41.xml" ContentType="application/vnd.openxmlformats-officedocument.themeOverride+xml"/>
  <Override PartName="/xl/drawings/drawing66.xml" ContentType="application/vnd.openxmlformats-officedocument.drawingml.chartshapes+xml"/>
  <Override PartName="/xl/charts/chart42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theme/themeOverride42.xml" ContentType="application/vnd.openxmlformats-officedocument.themeOverride+xml"/>
  <Override PartName="/xl/drawings/drawing67.xml" ContentType="application/vnd.openxmlformats-officedocument.drawingml.chartshapes+xml"/>
  <Override PartName="/xl/charts/chart43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theme/themeOverride43.xml" ContentType="application/vnd.openxmlformats-officedocument.themeOverride+xml"/>
  <Override PartName="/xl/drawings/drawing68.xml" ContentType="application/vnd.openxmlformats-officedocument.drawingml.chartshapes+xml"/>
  <Override PartName="/xl/charts/chart44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theme/themeOverride44.xml" ContentType="application/vnd.openxmlformats-officedocument.themeOverride+xml"/>
  <Override PartName="/xl/drawings/drawing69.xml" ContentType="application/vnd.openxmlformats-officedocument.drawingml.chartshapes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charts/chart45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theme/themeOverride45.xml" ContentType="application/vnd.openxmlformats-officedocument.themeOverride+xml"/>
  <Override PartName="/xl/drawings/drawing75.xml" ContentType="application/vnd.openxmlformats-officedocument.drawingml.chartshapes+xml"/>
  <Override PartName="/xl/charts/chart46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theme/themeOverride46.xml" ContentType="application/vnd.openxmlformats-officedocument.themeOverride+xml"/>
  <Override PartName="/xl/drawings/drawing76.xml" ContentType="application/vnd.openxmlformats-officedocument.drawingml.chartshapes+xml"/>
  <Override PartName="/xl/charts/chart47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theme/themeOverride47.xml" ContentType="application/vnd.openxmlformats-officedocument.themeOverride+xml"/>
  <Override PartName="/xl/drawings/drawing77.xml" ContentType="application/vnd.openxmlformats-officedocument.drawingml.chartshapes+xml"/>
  <Override PartName="/xl/charts/chart48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theme/themeOverride48.xml" ContentType="application/vnd.openxmlformats-officedocument.themeOverride+xml"/>
  <Override PartName="/xl/drawings/drawing78.xml" ContentType="application/vnd.openxmlformats-officedocument.drawingml.chartshapes+xml"/>
  <Override PartName="/xl/charts/chart49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theme/themeOverride49.xml" ContentType="application/vnd.openxmlformats-officedocument.themeOverride+xml"/>
  <Override PartName="/xl/drawings/drawing79.xml" ContentType="application/vnd.openxmlformats-officedocument.drawingml.chartshapes+xml"/>
  <Override PartName="/xl/charts/chart50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theme/themeOverride50.xml" ContentType="application/vnd.openxmlformats-officedocument.themeOverride+xml"/>
  <Override PartName="/xl/drawings/drawing80.xml" ContentType="application/vnd.openxmlformats-officedocument.drawingml.chartshapes+xml"/>
  <Override PartName="/xl/charts/chart51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theme/themeOverride51.xml" ContentType="application/vnd.openxmlformats-officedocument.themeOverride+xml"/>
  <Override PartName="/xl/drawings/drawing81.xml" ContentType="application/vnd.openxmlformats-officedocument.drawingml.chartshapes+xml"/>
  <Override PartName="/xl/charts/chart52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theme/themeOverride52.xml" ContentType="application/vnd.openxmlformats-officedocument.themeOverride+xml"/>
  <Override PartName="/xl/drawings/drawing82.xml" ContentType="application/vnd.openxmlformats-officedocument.drawingml.chartshapes+xml"/>
  <Override PartName="/xl/charts/chart53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theme/themeOverride53.xml" ContentType="application/vnd.openxmlformats-officedocument.themeOverride+xml"/>
  <Override PartName="/xl/drawings/drawing83.xml" ContentType="application/vnd.openxmlformats-officedocument.drawingml.chartshapes+xml"/>
  <Override PartName="/xl/charts/chart54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theme/themeOverride54.xml" ContentType="application/vnd.openxmlformats-officedocument.themeOverride+xml"/>
  <Override PartName="/xl/drawings/drawing84.xml" ContentType="application/vnd.openxmlformats-officedocument.drawingml.chartshapes+xml"/>
  <Override PartName="/xl/charts/chart55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theme/themeOverride55.xml" ContentType="application/vnd.openxmlformats-officedocument.themeOverride+xml"/>
  <Override PartName="/xl/drawings/drawing85.xml" ContentType="application/vnd.openxmlformats-officedocument.drawingml.chartshapes+xml"/>
  <Override PartName="/xl/charts/chart56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theme/themeOverride56.xml" ContentType="application/vnd.openxmlformats-officedocument.themeOverride+xml"/>
  <Override PartName="/xl/drawings/drawing86.xml" ContentType="application/vnd.openxmlformats-officedocument.drawingml.chartshapes+xml"/>
  <Override PartName="/xl/charts/chart57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theme/themeOverride57.xml" ContentType="application/vnd.openxmlformats-officedocument.themeOverride+xml"/>
  <Override PartName="/xl/drawings/drawing87.xml" ContentType="application/vnd.openxmlformats-officedocument.drawingml.chartshapes+xml"/>
  <Override PartName="/xl/drawings/drawing88.xml" ContentType="application/vnd.openxmlformats-officedocument.drawing+xml"/>
  <Override PartName="/xl/charts/chart58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theme/themeOverride58.xml" ContentType="application/vnd.openxmlformats-officedocument.themeOverride+xml"/>
  <Override PartName="/xl/drawings/drawing89.xml" ContentType="application/vnd.openxmlformats-officedocument.drawingml.chartshapes+xml"/>
  <Override PartName="/xl/charts/chart59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theme/themeOverride59.xml" ContentType="application/vnd.openxmlformats-officedocument.themeOverride+xml"/>
  <Override PartName="/xl/drawings/drawing90.xml" ContentType="application/vnd.openxmlformats-officedocument.drawingml.chartshapes+xml"/>
  <Override PartName="/xl/charts/chart60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theme/themeOverride60.xml" ContentType="application/vnd.openxmlformats-officedocument.themeOverride+xml"/>
  <Override PartName="/xl/drawings/drawing91.xml" ContentType="application/vnd.openxmlformats-officedocument.drawingml.chartshapes+xml"/>
  <Override PartName="/xl/charts/chart61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theme/themeOverride61.xml" ContentType="application/vnd.openxmlformats-officedocument.themeOverride+xml"/>
  <Override PartName="/xl/drawings/drawing92.xml" ContentType="application/vnd.openxmlformats-officedocument.drawingml.chartshapes+xml"/>
  <Override PartName="/xl/charts/chart62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theme/themeOverride62.xml" ContentType="application/vnd.openxmlformats-officedocument.themeOverride+xml"/>
  <Override PartName="/xl/drawings/drawing93.xml" ContentType="application/vnd.openxmlformats-officedocument.drawingml.chartshapes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charts/chart63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theme/themeOverride63.xml" ContentType="application/vnd.openxmlformats-officedocument.themeOverride+xml"/>
  <Override PartName="/xl/drawings/drawing96.xml" ContentType="application/vnd.openxmlformats-officedocument.drawingml.chartshapes+xml"/>
  <Override PartName="/xl/charts/chart64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theme/themeOverride64.xml" ContentType="application/vnd.openxmlformats-officedocument.themeOverride+xml"/>
  <Override PartName="/xl/drawings/drawing97.xml" ContentType="application/vnd.openxmlformats-officedocument.drawingml.chartshapes+xml"/>
  <Override PartName="/xl/charts/chart65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theme/themeOverride65.xml" ContentType="application/vnd.openxmlformats-officedocument.themeOverride+xml"/>
  <Override PartName="/xl/drawings/drawing98.xml" ContentType="application/vnd.openxmlformats-officedocument.drawingml.chartshapes+xml"/>
  <Override PartName="/xl/charts/chart66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theme/themeOverride66.xml" ContentType="application/vnd.openxmlformats-officedocument.themeOverride+xml"/>
  <Override PartName="/xl/drawings/drawing99.xml" ContentType="application/vnd.openxmlformats-officedocument.drawingml.chartshapes+xml"/>
  <Override PartName="/xl/charts/chart67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theme/themeOverride67.xml" ContentType="application/vnd.openxmlformats-officedocument.themeOverride+xml"/>
  <Override PartName="/xl/drawings/drawing100.xml" ContentType="application/vnd.openxmlformats-officedocument.drawingml.chartshapes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drawings/drawing104.xml" ContentType="application/vnd.openxmlformats-officedocument.drawing+xml"/>
  <Override PartName="/xl/charts/chart68.xml" ContentType="application/vnd.openxmlformats-officedocument.drawingml.chart+xml"/>
  <Override PartName="/xl/drawings/drawing105.xml" ContentType="application/vnd.openxmlformats-officedocument.drawingml.chartshapes+xml"/>
  <Override PartName="/xl/charts/chart69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drawings/drawing106.xml" ContentType="application/vnd.openxmlformats-officedocument.drawingml.chartshapes+xml"/>
  <Override PartName="/xl/charts/chart70.xml" ContentType="application/vnd.openxmlformats-officedocument.drawingml.chart+xml"/>
  <Override PartName="/xl/theme/themeOverride68.xml" ContentType="application/vnd.openxmlformats-officedocument.themeOverride+xml"/>
  <Override PartName="/xl/drawings/drawing107.xml" ContentType="application/vnd.openxmlformats-officedocument.drawingml.chartshapes+xml"/>
  <Override PartName="/xl/drawings/drawing108.xml" ContentType="application/vnd.openxmlformats-officedocument.drawing+xml"/>
  <Override PartName="/xl/charts/chart71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drawings/drawing109.xml" ContentType="application/vnd.openxmlformats-officedocument.drawingml.chartshapes+xml"/>
  <Override PartName="/xl/charts/chart72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drawings/drawing110.xml" ContentType="application/vnd.openxmlformats-officedocument.drawingml.chartshapes+xml"/>
  <Override PartName="/xl/drawings/drawing111.xml" ContentType="application/vnd.openxmlformats-officedocument.drawing+xml"/>
  <Override PartName="/xl/charts/chart73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drawings/drawing112.xml" ContentType="application/vnd.openxmlformats-officedocument.drawingml.chartshapes+xml"/>
  <Override PartName="/xl/charts/chart74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drawings/drawing113.xml" ContentType="application/vnd.openxmlformats-officedocument.drawingml.chartshapes+xml"/>
  <Override PartName="/xl/drawings/drawing114.xml" ContentType="application/vnd.openxmlformats-officedocument.drawing+xml"/>
  <Override PartName="/xl/charts/chart75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drawings/drawing115.xml" ContentType="application/vnd.openxmlformats-officedocument.drawingml.chartshapes+xml"/>
  <Override PartName="/xl/charts/chart76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xl/drawings/drawing116.xml" ContentType="application/vnd.openxmlformats-officedocument.drawingml.chartshapes+xml"/>
  <Override PartName="/xl/drawings/drawing117.xml" ContentType="application/vnd.openxmlformats-officedocument.drawing+xml"/>
  <Override PartName="/xl/charts/chart77.xml" ContentType="application/vnd.openxmlformats-officedocument.drawingml.chart+xml"/>
  <Override PartName="/xl/charts/style69.xml" ContentType="application/vnd.ms-office.chartstyle+xml"/>
  <Override PartName="/xl/charts/colors69.xml" ContentType="application/vnd.ms-office.chartcolorstyle+xml"/>
  <Override PartName="/xl/drawings/drawing118.xml" ContentType="application/vnd.openxmlformats-officedocument.drawingml.chartshapes+xml"/>
  <Override PartName="/xl/charts/chart78.xml" ContentType="application/vnd.openxmlformats-officedocument.drawingml.chart+xml"/>
  <Override PartName="/xl/theme/themeOverride69.xml" ContentType="application/vnd.openxmlformats-officedocument.themeOverride+xml"/>
  <Override PartName="/xl/drawings/drawing119.xml" ContentType="application/vnd.openxmlformats-officedocument.drawingml.chartshapes+xml"/>
  <Override PartName="/xl/charts/chart79.xml" ContentType="application/vnd.openxmlformats-officedocument.drawingml.chart+xml"/>
  <Override PartName="/xl/charts/style70.xml" ContentType="application/vnd.ms-office.chartstyle+xml"/>
  <Override PartName="/xl/charts/colors70.xml" ContentType="application/vnd.ms-office.chartcolorstyle+xml"/>
  <Override PartName="/xl/drawings/drawing120.xml" ContentType="application/vnd.openxmlformats-officedocument.drawingml.chartshapes+xml"/>
  <Override PartName="/xl/drawings/drawing121.xml" ContentType="application/vnd.openxmlformats-officedocument.drawing+xml"/>
  <Override PartName="/xl/charts/chart80.xml" ContentType="application/vnd.openxmlformats-officedocument.drawingml.chart+xml"/>
  <Override PartName="/xl/charts/style71.xml" ContentType="application/vnd.ms-office.chartstyle+xml"/>
  <Override PartName="/xl/charts/colors71.xml" ContentType="application/vnd.ms-office.chartcolorstyle+xml"/>
  <Override PartName="/xl/drawings/drawing122.xml" ContentType="application/vnd.openxmlformats-officedocument.drawingml.chartshapes+xml"/>
  <Override PartName="/xl/charts/chart81.xml" ContentType="application/vnd.openxmlformats-officedocument.drawingml.chart+xml"/>
  <Override PartName="/xl/theme/themeOverride70.xml" ContentType="application/vnd.openxmlformats-officedocument.themeOverride+xml"/>
  <Override PartName="/xl/drawings/drawing123.xml" ContentType="application/vnd.openxmlformats-officedocument.drawingml.chartshapes+xml"/>
  <Override PartName="/xl/charts/chart82.xml" ContentType="application/vnd.openxmlformats-officedocument.drawingml.chart+xml"/>
  <Override PartName="/xl/charts/style72.xml" ContentType="application/vnd.ms-office.chartstyle+xml"/>
  <Override PartName="/xl/charts/colors72.xml" ContentType="application/vnd.ms-office.chartcolorstyle+xml"/>
  <Override PartName="/xl/drawings/drawing124.xml" ContentType="application/vnd.openxmlformats-officedocument.drawingml.chartshapes+xml"/>
  <Override PartName="/xl/drawings/drawing125.xml" ContentType="application/vnd.openxmlformats-officedocument.drawing+xml"/>
  <Override PartName="/xl/charts/chart83.xml" ContentType="application/vnd.openxmlformats-officedocument.drawingml.chart+xml"/>
  <Override PartName="/xl/charts/style73.xml" ContentType="application/vnd.ms-office.chartstyle+xml"/>
  <Override PartName="/xl/charts/colors73.xml" ContentType="application/vnd.ms-office.chartcolorstyle+xml"/>
  <Override PartName="/xl/drawings/drawing126.xml" ContentType="application/vnd.openxmlformats-officedocument.drawingml.chartshapes+xml"/>
  <Override PartName="/xl/charts/chart84.xml" ContentType="application/vnd.openxmlformats-officedocument.drawingml.chart+xml"/>
  <Override PartName="/xl/theme/themeOverride71.xml" ContentType="application/vnd.openxmlformats-officedocument.themeOverride+xml"/>
  <Override PartName="/xl/drawings/drawing127.xml" ContentType="application/vnd.openxmlformats-officedocument.drawingml.chartshapes+xml"/>
  <Override PartName="/xl/charts/chart85.xml" ContentType="application/vnd.openxmlformats-officedocument.drawingml.chart+xml"/>
  <Override PartName="/xl/charts/style74.xml" ContentType="application/vnd.ms-office.chartstyle+xml"/>
  <Override PartName="/xl/charts/colors74.xml" ContentType="application/vnd.ms-office.chartcolorstyle+xml"/>
  <Override PartName="/xl/drawings/drawing128.xml" ContentType="application/vnd.openxmlformats-officedocument.drawingml.chartshapes+xml"/>
  <Override PartName="/xl/drawings/drawing129.xml" ContentType="application/vnd.openxmlformats-officedocument.drawing+xml"/>
  <Override PartName="/xl/charts/chart86.xml" ContentType="application/vnd.openxmlformats-officedocument.drawingml.chart+xml"/>
  <Override PartName="/xl/charts/style75.xml" ContentType="application/vnd.ms-office.chartstyle+xml"/>
  <Override PartName="/xl/charts/colors75.xml" ContentType="application/vnd.ms-office.chartcolorstyle+xml"/>
  <Override PartName="/xl/theme/themeOverride72.xml" ContentType="application/vnd.openxmlformats-officedocument.themeOverride+xml"/>
  <Override PartName="/xl/drawings/drawing130.xml" ContentType="application/vnd.openxmlformats-officedocument.drawingml.chartshapes+xml"/>
  <Override PartName="/xl/drawings/drawing131.xml" ContentType="application/vnd.openxmlformats-officedocument.drawing+xml"/>
  <Override PartName="/xl/charts/chart87.xml" ContentType="application/vnd.openxmlformats-officedocument.drawingml.chart+xml"/>
  <Override PartName="/xl/charts/style76.xml" ContentType="application/vnd.ms-office.chartstyle+xml"/>
  <Override PartName="/xl/charts/colors76.xml" ContentType="application/vnd.ms-office.chartcolorstyle+xml"/>
  <Override PartName="/xl/theme/themeOverride73.xml" ContentType="application/vnd.openxmlformats-officedocument.themeOverride+xml"/>
  <Override PartName="/xl/drawings/drawing132.xml" ContentType="application/vnd.openxmlformats-officedocument.drawingml.chartshapes+xml"/>
  <Override PartName="/xl/drawings/drawing133.xml" ContentType="application/vnd.openxmlformats-officedocument.drawing+xml"/>
  <Override PartName="/xl/charts/chart88.xml" ContentType="application/vnd.openxmlformats-officedocument.drawingml.chart+xml"/>
  <Override PartName="/xl/charts/style77.xml" ContentType="application/vnd.ms-office.chartstyle+xml"/>
  <Override PartName="/xl/charts/colors77.xml" ContentType="application/vnd.ms-office.chartcolorstyle+xml"/>
  <Override PartName="/xl/theme/themeOverride74.xml" ContentType="application/vnd.openxmlformats-officedocument.themeOverride+xml"/>
  <Override PartName="/xl/drawings/drawing134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025"/>
  <workbookPr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Encuesta Alojam Turísticos (ISTAC)/2024/Municipios/septiembre/"/>
    </mc:Choice>
  </mc:AlternateContent>
  <xr:revisionPtr revIDLastSave="38" documentId="8_{F7597DBA-8303-4F6B-95DC-3C9AAAB849BF}" xr6:coauthVersionLast="47" xr6:coauthVersionMax="47" xr10:uidLastSave="{03C71B13-A41F-4609-9266-5778EA25E6D0}"/>
  <bookViews>
    <workbookView xWindow="-120" yWindow="-120" windowWidth="29040" windowHeight="15720" xr2:uid="{A06F5076-4E9E-40E3-BA54-7BC9EEE880BA}"/>
  </bookViews>
  <sheets>
    <sheet name="Menú principal" sheetId="1" r:id="rId1"/>
    <sheet name="Resumen indicadores (aloj)" sheetId="2" r:id="rId2"/>
    <sheet name="Resumen indicadores municipios " sheetId="3" r:id="rId3"/>
    <sheet name="Oferta alojativa" sheetId="4" r:id="rId4"/>
    <sheet name="Plazas aloj islas cat y tipolog" sheetId="5" r:id="rId5"/>
    <sheet name="Establecim aloj islas cat y tip" sheetId="6" r:id="rId6"/>
    <sheet name="viajeros entrados" sheetId="7" r:id="rId7"/>
    <sheet name="Viajeros entr evol mensu TF" sheetId="8" r:id="rId8"/>
    <sheet name="Viajeros entr evol mensu TF15-2" sheetId="9" r:id="rId9"/>
    <sheet name="Viajeros entr evol mensu TF cat" sheetId="10" r:id="rId10"/>
    <sheet name="Viajeros entr evol anual TF cat" sheetId="11" r:id="rId11"/>
    <sheet name="Viajeros entr ti-cat ultimo mes" sheetId="12" r:id="rId12"/>
    <sheet name="viaj entrados lugar resid años " sheetId="13" r:id="rId13"/>
    <sheet name="viaj entrados lugar residencia" sheetId="14" r:id="rId14"/>
    <sheet name="viaj entrados lugar residen acu" sheetId="15" r:id="rId15"/>
    <sheet name="viaj entrados lugar residen hot" sheetId="16" r:id="rId16"/>
    <sheet name="viaj entrados lugar residen apt" sheetId="17" r:id="rId17"/>
    <sheet name="viaj entrados lugar residen cat" sheetId="18" r:id="rId18"/>
    <sheet name="viaj entr lugar res año categor" sheetId="19" r:id="rId19"/>
    <sheet name="viajeros alojados" sheetId="20" r:id="rId20"/>
    <sheet name="viaj aloj lugar residen mes" sheetId="21" r:id="rId21"/>
    <sheet name="viaj alojados lugar residen acu" sheetId="22" r:id="rId22"/>
    <sheet name="Pernoctaciones" sheetId="23" r:id="rId23"/>
    <sheet name="Pernoctaciones evol mensu TF" sheetId="24" r:id="rId24"/>
    <sheet name="Pernocta evol mensu TF cat" sheetId="25" r:id="rId25"/>
    <sheet name="Pernoctaciones lugar reside" sheetId="26" r:id="rId26"/>
    <sheet name="Pernoctaciones lugar residen ac" sheetId="27" r:id="rId27"/>
    <sheet name="Pernoctaciones lugar reside año" sheetId="28" r:id="rId28"/>
    <sheet name="Estancia media" sheetId="29" r:id="rId29"/>
    <sheet name="EM evol menusual lugar resd" sheetId="30" r:id="rId30"/>
    <sheet name="EM evol mensu TF cat " sheetId="31" r:id="rId31"/>
    <sheet name="Tasa de ocupación" sheetId="32" r:id="rId32"/>
    <sheet name="tasa de ocupación evol mens" sheetId="33" r:id="rId33"/>
    <sheet name="indicadores rentabilidad" sheetId="34" r:id="rId34"/>
    <sheet name="ADR RevPAR ingresos totales ult" sheetId="35" r:id="rId35"/>
    <sheet name="viajeros españoles" sheetId="36" r:id="rId36"/>
    <sheet name="distribución españoles x Resid" sheetId="37" r:id="rId37"/>
    <sheet name="distribución españoles x cate" sheetId="38" r:id="rId38"/>
    <sheet name="distribución peninsulare x cate" sheetId="39" r:id="rId39"/>
    <sheet name="distribución canarios x cate" sheetId="40" r:id="rId40"/>
    <sheet name="distribución españoles x mun al" sheetId="41" r:id="rId41"/>
    <sheet name="distribución peninsula x munici" sheetId="42" r:id="rId42"/>
    <sheet name="distribución canarias x munici" sheetId="43" r:id="rId43"/>
    <sheet name="evolución anual viaj ent españo" sheetId="44" r:id="rId44"/>
    <sheet name="evolución anual viaj ent penins" sheetId="45" r:id="rId45"/>
    <sheet name="evolución anual viaj ent canari" sheetId="46" r:id="rId46"/>
  </sheets>
  <definedNames>
    <definedName name="_xlnm.Print_Area" localSheetId="42">'distribución canarias x munici'!$B$3:$AB$37</definedName>
    <definedName name="_xlnm.Print_Area" localSheetId="39">'distribución canarios x cate'!$B$3:$AB$33</definedName>
    <definedName name="_xlnm.Print_Area" localSheetId="37">'distribución españoles x cate'!$B$3:$AB$33</definedName>
    <definedName name="_xlnm.Print_Area" localSheetId="40">'distribución españoles x mun al'!$B$3:$AB$37</definedName>
    <definedName name="_xlnm.Print_Area" localSheetId="36">'distribución españoles x Resid'!$B$3:$AB$32</definedName>
    <definedName name="_xlnm.Print_Area" localSheetId="41">'distribución peninsula x munici'!$B$3:$AB$37</definedName>
    <definedName name="_xlnm.Print_Area" localSheetId="38">'distribución peninsulare x cate'!$B$3:$AB$33</definedName>
    <definedName name="_xlnm.Print_Area" localSheetId="25">'Pernoctaciones lugar reside'!$B$4:$M$162</definedName>
    <definedName name="_xlnm.Print_Area" localSheetId="27">'Pernoctaciones lugar reside año'!$B$4:$M$162</definedName>
    <definedName name="_xlnm.Print_Area" localSheetId="26">'Pernoctaciones lugar residen ac'!$B$3:$M$162</definedName>
    <definedName name="_xlnm.Print_Area" localSheetId="21">'viaj alojados lugar residen acu'!$B$4:$N$163</definedName>
    <definedName name="_xlnm.Print_Area" localSheetId="18">'viaj entr lugar res año categor'!$B$4:$B$164</definedName>
    <definedName name="_xlnm.Print_Area" localSheetId="12">'viaj entrados lugar resid años '!$B$3:$M$162</definedName>
    <definedName name="_xlnm.Print_Area" localSheetId="14">'viaj entrados lugar residen acu'!$B$4:$M$22</definedName>
    <definedName name="_xlnm.Print_Area" localSheetId="16">'viaj entrados lugar residen apt'!$B$4:$M$22</definedName>
    <definedName name="_xlnm.Print_Area" localSheetId="17">'viaj entrados lugar residen cat'!$B$3:$B$163</definedName>
    <definedName name="_xlnm.Print_Area" localSheetId="15">'viaj entrados lugar residen hot'!$B$4:$M$22</definedName>
    <definedName name="españafuerteventura">#REF!</definedName>
    <definedName name="españafuerteventura0">#REF!</definedName>
    <definedName name="españagrancanaria">#REF!</definedName>
    <definedName name="españagrancanaria0">#REF!</definedName>
    <definedName name="españalanzarote">#REF!</definedName>
    <definedName name="españalanzarote0">#REF!</definedName>
    <definedName name="españalapalma">#REF!</definedName>
    <definedName name="españalapalma0">#REF!</definedName>
    <definedName name="españaTFN">#REF!</definedName>
    <definedName name="españaTFN0">#REF!</definedName>
    <definedName name="españaTFS">#REF!</definedName>
    <definedName name="españaTFS0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L86" i="33" l="1"/>
  <c r="J86" i="33"/>
  <c r="H86" i="33"/>
  <c r="F86" i="33"/>
  <c r="L85" i="33"/>
  <c r="J85" i="33"/>
  <c r="H85" i="33"/>
  <c r="F85" i="33"/>
  <c r="L84" i="33"/>
  <c r="J84" i="33"/>
  <c r="H84" i="33"/>
  <c r="F84" i="33"/>
  <c r="L83" i="33"/>
  <c r="J83" i="33"/>
  <c r="H83" i="33"/>
  <c r="F83" i="33"/>
  <c r="L82" i="33"/>
  <c r="J82" i="33"/>
  <c r="H82" i="33"/>
  <c r="F82" i="33"/>
  <c r="L81" i="33"/>
  <c r="J81" i="33"/>
  <c r="H81" i="33"/>
  <c r="F81" i="33"/>
  <c r="L80" i="33"/>
  <c r="J80" i="33"/>
  <c r="H80" i="33"/>
  <c r="F80" i="33"/>
  <c r="L79" i="33"/>
  <c r="J79" i="33"/>
  <c r="H79" i="33"/>
  <c r="F79" i="33"/>
  <c r="L78" i="33"/>
  <c r="J78" i="33"/>
  <c r="H78" i="33"/>
  <c r="F78" i="33"/>
  <c r="L77" i="33"/>
  <c r="J77" i="33"/>
  <c r="H77" i="33"/>
  <c r="F77" i="33"/>
  <c r="L76" i="33"/>
  <c r="J76" i="33"/>
  <c r="H76" i="33"/>
  <c r="F76" i="33"/>
  <c r="L75" i="33"/>
  <c r="J75" i="33"/>
  <c r="H75" i="33"/>
  <c r="F75" i="33"/>
  <c r="L74" i="33"/>
  <c r="J74" i="33"/>
  <c r="H74" i="33"/>
  <c r="F74" i="33"/>
  <c r="D74" i="33"/>
  <c r="L64" i="33"/>
  <c r="J64" i="33"/>
  <c r="H64" i="33"/>
  <c r="F64" i="33"/>
  <c r="L63" i="33"/>
  <c r="J63" i="33"/>
  <c r="H63" i="33"/>
  <c r="F63" i="33"/>
  <c r="L62" i="33"/>
  <c r="J62" i="33"/>
  <c r="H62" i="33"/>
  <c r="F62" i="33"/>
  <c r="L61" i="33"/>
  <c r="J61" i="33"/>
  <c r="H61" i="33"/>
  <c r="F61" i="33"/>
  <c r="L60" i="33"/>
  <c r="J60" i="33"/>
  <c r="H60" i="33"/>
  <c r="F60" i="33"/>
  <c r="L59" i="33"/>
  <c r="J59" i="33"/>
  <c r="H59" i="33"/>
  <c r="F59" i="33"/>
  <c r="L58" i="33"/>
  <c r="J58" i="33"/>
  <c r="H58" i="33"/>
  <c r="F58" i="33"/>
  <c r="L57" i="33"/>
  <c r="J57" i="33"/>
  <c r="H57" i="33"/>
  <c r="F57" i="33"/>
  <c r="L56" i="33"/>
  <c r="J56" i="33"/>
  <c r="H56" i="33"/>
  <c r="F56" i="33"/>
  <c r="L55" i="33"/>
  <c r="J55" i="33"/>
  <c r="H55" i="33"/>
  <c r="F55" i="33"/>
  <c r="L54" i="33"/>
  <c r="J54" i="33"/>
  <c r="H54" i="33"/>
  <c r="F54" i="33"/>
  <c r="L53" i="33"/>
  <c r="J53" i="33"/>
  <c r="H53" i="33"/>
  <c r="F53" i="33"/>
  <c r="L52" i="33"/>
  <c r="J52" i="33"/>
  <c r="H52" i="33"/>
  <c r="F52" i="33"/>
  <c r="D52" i="33"/>
  <c r="L42" i="33"/>
  <c r="J42" i="33"/>
  <c r="H42" i="33"/>
  <c r="F42" i="33"/>
  <c r="L41" i="33"/>
  <c r="J41" i="33"/>
  <c r="H41" i="33"/>
  <c r="F41" i="33"/>
  <c r="L40" i="33"/>
  <c r="J40" i="33"/>
  <c r="H40" i="33"/>
  <c r="F40" i="33"/>
  <c r="L39" i="33"/>
  <c r="J39" i="33"/>
  <c r="H39" i="33"/>
  <c r="F39" i="33"/>
  <c r="L38" i="33"/>
  <c r="J38" i="33"/>
  <c r="H38" i="33"/>
  <c r="F38" i="33"/>
  <c r="L37" i="33"/>
  <c r="J37" i="33"/>
  <c r="H37" i="33"/>
  <c r="F37" i="33"/>
  <c r="L36" i="33"/>
  <c r="J36" i="33"/>
  <c r="H36" i="33"/>
  <c r="F36" i="33"/>
  <c r="L35" i="33"/>
  <c r="J35" i="33"/>
  <c r="H35" i="33"/>
  <c r="F35" i="33"/>
  <c r="L34" i="33"/>
  <c r="J34" i="33"/>
  <c r="H34" i="33"/>
  <c r="F34" i="33"/>
  <c r="L33" i="33"/>
  <c r="J33" i="33"/>
  <c r="H33" i="33"/>
  <c r="F33" i="33"/>
  <c r="L32" i="33"/>
  <c r="J32" i="33"/>
  <c r="H32" i="33"/>
  <c r="F32" i="33"/>
  <c r="L31" i="33"/>
  <c r="J31" i="33"/>
  <c r="H31" i="33"/>
  <c r="F31" i="33"/>
  <c r="L30" i="33"/>
  <c r="J30" i="33"/>
  <c r="H30" i="33"/>
  <c r="F30" i="33"/>
  <c r="D30" i="33"/>
  <c r="L20" i="33"/>
  <c r="J20" i="33"/>
  <c r="H20" i="33"/>
  <c r="F20" i="33"/>
  <c r="L19" i="33"/>
  <c r="J19" i="33"/>
  <c r="H19" i="33"/>
  <c r="F19" i="33"/>
  <c r="L18" i="33"/>
  <c r="J18" i="33"/>
  <c r="H18" i="33"/>
  <c r="F18" i="33"/>
  <c r="L17" i="33"/>
  <c r="J17" i="33"/>
  <c r="H17" i="33"/>
  <c r="F17" i="33"/>
  <c r="L16" i="33"/>
  <c r="J16" i="33"/>
  <c r="H16" i="33"/>
  <c r="F16" i="33"/>
  <c r="L15" i="33"/>
  <c r="J15" i="33"/>
  <c r="H15" i="33"/>
  <c r="F15" i="33"/>
  <c r="L14" i="33"/>
  <c r="J14" i="33"/>
  <c r="H14" i="33"/>
  <c r="F14" i="33"/>
  <c r="L13" i="33"/>
  <c r="J13" i="33"/>
  <c r="H13" i="33"/>
  <c r="F13" i="33"/>
  <c r="L12" i="33"/>
  <c r="J12" i="33"/>
  <c r="H12" i="33"/>
  <c r="F12" i="33"/>
  <c r="L11" i="33"/>
  <c r="J11" i="33"/>
  <c r="H11" i="33"/>
  <c r="F11" i="33"/>
  <c r="L10" i="33"/>
  <c r="J10" i="33"/>
  <c r="H10" i="33"/>
  <c r="F10" i="33"/>
  <c r="L9" i="33"/>
  <c r="J9" i="33"/>
  <c r="H9" i="33"/>
  <c r="F9" i="33"/>
  <c r="L8" i="33"/>
  <c r="J8" i="33"/>
  <c r="H8" i="33"/>
  <c r="F8" i="33"/>
  <c r="D8" i="33"/>
  <c r="K135" i="43" l="1"/>
  <c r="I135" i="43"/>
  <c r="H135" i="43"/>
  <c r="T5" i="43"/>
  <c r="Q5" i="43"/>
  <c r="P5" i="43"/>
  <c r="N5" i="43"/>
  <c r="M5" i="43"/>
  <c r="L5" i="43"/>
  <c r="J5" i="43"/>
  <c r="I5" i="43"/>
  <c r="H5" i="43"/>
  <c r="F5" i="43"/>
  <c r="S5" i="43"/>
  <c r="I135" i="42"/>
  <c r="H135" i="42"/>
  <c r="G135" i="42"/>
  <c r="R5" i="42"/>
  <c r="N5" i="42"/>
  <c r="F5" i="42"/>
  <c r="O135" i="41"/>
  <c r="N135" i="41"/>
  <c r="L135" i="41"/>
  <c r="K135" i="41"/>
  <c r="T5" i="41"/>
  <c r="Q5" i="41"/>
  <c r="P5" i="41"/>
  <c r="N5" i="41"/>
  <c r="M5" i="41"/>
  <c r="L5" i="41"/>
  <c r="T5" i="40"/>
  <c r="Q5" i="40"/>
  <c r="P5" i="40"/>
  <c r="N5" i="40"/>
  <c r="M5" i="40"/>
  <c r="L5" i="40"/>
  <c r="I5" i="40"/>
  <c r="H5" i="40"/>
  <c r="J5" i="40"/>
  <c r="O133" i="39"/>
  <c r="N133" i="39"/>
  <c r="K133" i="39"/>
  <c r="I133" i="39"/>
  <c r="T5" i="39"/>
  <c r="Q5" i="39"/>
  <c r="P5" i="39"/>
  <c r="N5" i="39"/>
  <c r="M5" i="39"/>
  <c r="L5" i="39"/>
  <c r="F5" i="39"/>
  <c r="M133" i="38"/>
  <c r="L133" i="38"/>
  <c r="K133" i="38"/>
  <c r="I133" i="38"/>
  <c r="N5" i="38"/>
  <c r="L5" i="38"/>
  <c r="L123" i="37"/>
  <c r="K123" i="37"/>
  <c r="I123" i="37"/>
  <c r="H123" i="37"/>
  <c r="G123" i="37"/>
  <c r="M5" i="37"/>
  <c r="G5" i="37"/>
  <c r="Y29" i="35"/>
  <c r="I29" i="35"/>
  <c r="H29" i="35"/>
  <c r="BB7" i="35"/>
  <c r="AZ7" i="35"/>
  <c r="AY7" i="35"/>
  <c r="AX7" i="35"/>
  <c r="AR7" i="35"/>
  <c r="AQ7" i="35"/>
  <c r="AF7" i="35"/>
  <c r="AE7" i="35"/>
  <c r="Y7" i="35"/>
  <c r="X7" i="35"/>
  <c r="O7" i="35"/>
  <c r="L96" i="31"/>
  <c r="J96" i="31"/>
  <c r="H96" i="31"/>
  <c r="F96" i="31"/>
  <c r="D96" i="31"/>
  <c r="J74" i="31"/>
  <c r="H74" i="31"/>
  <c r="D74" i="31"/>
  <c r="L52" i="31"/>
  <c r="H52" i="31"/>
  <c r="F52" i="31"/>
  <c r="D52" i="31"/>
  <c r="L30" i="31"/>
  <c r="F30" i="31"/>
  <c r="D30" i="31"/>
  <c r="J8" i="31"/>
  <c r="H8" i="31"/>
  <c r="F8" i="31"/>
  <c r="H272" i="30"/>
  <c r="F272" i="30"/>
  <c r="D272" i="30"/>
  <c r="L272" i="30"/>
  <c r="C271" i="30"/>
  <c r="B270" i="30"/>
  <c r="H250" i="30"/>
  <c r="F250" i="30"/>
  <c r="D250" i="30"/>
  <c r="C249" i="30"/>
  <c r="B248" i="30"/>
  <c r="H228" i="30"/>
  <c r="F228" i="30"/>
  <c r="D228" i="30"/>
  <c r="C227" i="30"/>
  <c r="B226" i="30"/>
  <c r="H206" i="30"/>
  <c r="D206" i="30"/>
  <c r="L206" i="30"/>
  <c r="F206" i="30"/>
  <c r="C205" i="30"/>
  <c r="B204" i="30"/>
  <c r="L184" i="30"/>
  <c r="J184" i="30"/>
  <c r="F184" i="30"/>
  <c r="D184" i="30"/>
  <c r="H184" i="30"/>
  <c r="C183" i="30"/>
  <c r="B182" i="30"/>
  <c r="L162" i="30"/>
  <c r="J162" i="30"/>
  <c r="F162" i="30"/>
  <c r="D162" i="30"/>
  <c r="H162" i="30"/>
  <c r="C161" i="30"/>
  <c r="B160" i="30"/>
  <c r="J140" i="30"/>
  <c r="F140" i="30"/>
  <c r="D140" i="30"/>
  <c r="L140" i="30"/>
  <c r="H140" i="30"/>
  <c r="C139" i="30"/>
  <c r="B138" i="30"/>
  <c r="H118" i="30"/>
  <c r="D118" i="30"/>
  <c r="C117" i="30"/>
  <c r="F118" i="30" s="1"/>
  <c r="B116" i="30"/>
  <c r="L96" i="30"/>
  <c r="H96" i="30"/>
  <c r="F96" i="30"/>
  <c r="D96" i="30"/>
  <c r="J96" i="30"/>
  <c r="C95" i="30"/>
  <c r="J74" i="30"/>
  <c r="F74" i="30"/>
  <c r="D74" i="30"/>
  <c r="L74" i="30"/>
  <c r="H74" i="30"/>
  <c r="C73" i="30"/>
  <c r="H52" i="30"/>
  <c r="D52" i="30"/>
  <c r="C51" i="30"/>
  <c r="L30" i="30"/>
  <c r="F30" i="30"/>
  <c r="D30" i="30"/>
  <c r="H30" i="30"/>
  <c r="C29" i="30"/>
  <c r="D8" i="30"/>
  <c r="J8" i="30"/>
  <c r="F8" i="30"/>
  <c r="C7" i="30"/>
  <c r="M6" i="28"/>
  <c r="L6" i="28"/>
  <c r="K6" i="28"/>
  <c r="I6" i="28"/>
  <c r="B4" i="28"/>
  <c r="M6" i="27"/>
  <c r="L6" i="27"/>
  <c r="K6" i="27"/>
  <c r="B3" i="27"/>
  <c r="K6" i="26"/>
  <c r="J6" i="26"/>
  <c r="I6" i="26"/>
  <c r="M6" i="26"/>
  <c r="B4" i="26"/>
  <c r="L96" i="25"/>
  <c r="F96" i="25"/>
  <c r="D96" i="25"/>
  <c r="J96" i="25"/>
  <c r="H96" i="25"/>
  <c r="J74" i="25"/>
  <c r="D74" i="25"/>
  <c r="L74" i="25"/>
  <c r="H74" i="25"/>
  <c r="F74" i="25"/>
  <c r="H52" i="25"/>
  <c r="L52" i="25"/>
  <c r="J52" i="25"/>
  <c r="F52" i="25"/>
  <c r="D52" i="25"/>
  <c r="L30" i="25"/>
  <c r="F30" i="25"/>
  <c r="J30" i="25"/>
  <c r="H30" i="25"/>
  <c r="L8" i="25"/>
  <c r="D8" i="25"/>
  <c r="F8" i="25"/>
  <c r="H254" i="24"/>
  <c r="C253" i="24"/>
  <c r="B252" i="24"/>
  <c r="H228" i="24"/>
  <c r="C227" i="24"/>
  <c r="D228" i="24" s="1"/>
  <c r="B226" i="24"/>
  <c r="D206" i="24"/>
  <c r="H206" i="24"/>
  <c r="C205" i="24"/>
  <c r="B204" i="24"/>
  <c r="D184" i="24"/>
  <c r="H184" i="24"/>
  <c r="C183" i="24"/>
  <c r="B182" i="24"/>
  <c r="D162" i="24"/>
  <c r="H162" i="24"/>
  <c r="C161" i="24"/>
  <c r="B160" i="24"/>
  <c r="D140" i="24"/>
  <c r="H140" i="24"/>
  <c r="C139" i="24"/>
  <c r="B138" i="24"/>
  <c r="D118" i="24"/>
  <c r="H118" i="24"/>
  <c r="C117" i="24"/>
  <c r="B116" i="24"/>
  <c r="D96" i="24"/>
  <c r="H96" i="24"/>
  <c r="C95" i="24"/>
  <c r="H74" i="24"/>
  <c r="C73" i="24"/>
  <c r="D74" i="24" s="1"/>
  <c r="H52" i="24"/>
  <c r="F52" i="24"/>
  <c r="C51" i="24"/>
  <c r="H30" i="24"/>
  <c r="F30" i="24"/>
  <c r="D30" i="24"/>
  <c r="C29" i="24"/>
  <c r="L8" i="24"/>
  <c r="D8" i="24"/>
  <c r="AB7" i="22"/>
  <c r="Z7" i="22"/>
  <c r="X7" i="22"/>
  <c r="M7" i="22"/>
  <c r="B4" i="22"/>
  <c r="R8" i="21"/>
  <c r="B5" i="21"/>
  <c r="V7" i="19"/>
  <c r="U7" i="19"/>
  <c r="R7" i="19"/>
  <c r="N7" i="19"/>
  <c r="J7" i="19"/>
  <c r="F7" i="19"/>
  <c r="E7" i="19"/>
  <c r="B4" i="19"/>
  <c r="T6" i="18"/>
  <c r="B3" i="18"/>
  <c r="Z7" i="17"/>
  <c r="W7" i="17"/>
  <c r="M7" i="17"/>
  <c r="L7" i="17"/>
  <c r="B4" i="17"/>
  <c r="AA7" i="16"/>
  <c r="Y7" i="16"/>
  <c r="W7" i="16"/>
  <c r="Z7" i="16"/>
  <c r="L7" i="16"/>
  <c r="I7" i="16"/>
  <c r="B4" i="16"/>
  <c r="Y7" i="15"/>
  <c r="M7" i="15"/>
  <c r="K7" i="15"/>
  <c r="J7" i="15"/>
  <c r="I7" i="15"/>
  <c r="L7" i="15"/>
  <c r="B4" i="15"/>
  <c r="U9" i="14"/>
  <c r="T9" i="14"/>
  <c r="V9" i="14"/>
  <c r="J9" i="14"/>
  <c r="I9" i="14"/>
  <c r="K9" i="14"/>
  <c r="B6" i="14"/>
  <c r="J6" i="13"/>
  <c r="B3" i="13"/>
  <c r="N5" i="12"/>
  <c r="M5" i="12"/>
  <c r="I5" i="12"/>
  <c r="L96" i="10"/>
  <c r="D96" i="10"/>
  <c r="C95" i="10"/>
  <c r="L74" i="10"/>
  <c r="J74" i="10"/>
  <c r="H74" i="10"/>
  <c r="D74" i="10"/>
  <c r="C73" i="10"/>
  <c r="L52" i="10"/>
  <c r="J52" i="10"/>
  <c r="H52" i="10"/>
  <c r="F52" i="10"/>
  <c r="D52" i="10"/>
  <c r="C51" i="10"/>
  <c r="J30" i="10"/>
  <c r="H30" i="10"/>
  <c r="F30" i="10"/>
  <c r="D30" i="10"/>
  <c r="C29" i="10"/>
  <c r="H8" i="10"/>
  <c r="F8" i="10"/>
  <c r="D8" i="10"/>
  <c r="C7" i="10"/>
  <c r="L272" i="8"/>
  <c r="J272" i="8"/>
  <c r="H272" i="8"/>
  <c r="D272" i="8"/>
  <c r="F272" i="8"/>
  <c r="C271" i="8"/>
  <c r="B270" i="8"/>
  <c r="L250" i="8"/>
  <c r="J250" i="8"/>
  <c r="H250" i="8"/>
  <c r="D250" i="8"/>
  <c r="F250" i="8"/>
  <c r="C249" i="8"/>
  <c r="B248" i="8"/>
  <c r="L228" i="8"/>
  <c r="J228" i="8"/>
  <c r="H228" i="8"/>
  <c r="D228" i="8"/>
  <c r="F228" i="8"/>
  <c r="C227" i="8"/>
  <c r="B226" i="8"/>
  <c r="L206" i="8"/>
  <c r="J206" i="8"/>
  <c r="H206" i="8"/>
  <c r="D206" i="8"/>
  <c r="F206" i="8"/>
  <c r="C205" i="8"/>
  <c r="B204" i="8"/>
  <c r="L184" i="8"/>
  <c r="J184" i="8"/>
  <c r="H184" i="8"/>
  <c r="D184" i="8"/>
  <c r="F184" i="8"/>
  <c r="C183" i="8"/>
  <c r="B182" i="8"/>
  <c r="L162" i="8"/>
  <c r="J162" i="8"/>
  <c r="H162" i="8"/>
  <c r="F162" i="8"/>
  <c r="D162" i="8"/>
  <c r="C161" i="8"/>
  <c r="B160" i="8"/>
  <c r="L140" i="8"/>
  <c r="J140" i="8"/>
  <c r="H140" i="8"/>
  <c r="D140" i="8"/>
  <c r="F140" i="8"/>
  <c r="C139" i="8"/>
  <c r="B138" i="8"/>
  <c r="L118" i="8"/>
  <c r="J118" i="8"/>
  <c r="H118" i="8"/>
  <c r="F118" i="8"/>
  <c r="D118" i="8"/>
  <c r="C117" i="8"/>
  <c r="B116" i="8"/>
  <c r="L96" i="8"/>
  <c r="J96" i="8"/>
  <c r="H96" i="8"/>
  <c r="D96" i="8"/>
  <c r="F96" i="8"/>
  <c r="C95" i="8"/>
  <c r="J74" i="8"/>
  <c r="H74" i="8"/>
  <c r="F74" i="8"/>
  <c r="D74" i="8"/>
  <c r="C73" i="8"/>
  <c r="L52" i="8"/>
  <c r="J52" i="8"/>
  <c r="D52" i="8"/>
  <c r="C51" i="8"/>
  <c r="J30" i="8"/>
  <c r="H30" i="8"/>
  <c r="D30" i="8"/>
  <c r="L30" i="8"/>
  <c r="F30" i="8"/>
  <c r="C29" i="8"/>
  <c r="H8" i="8"/>
  <c r="F8" i="8"/>
  <c r="D8" i="8"/>
  <c r="L8" i="8"/>
  <c r="J8" i="8"/>
  <c r="C7" i="8"/>
  <c r="W6" i="6"/>
  <c r="U6" i="6"/>
  <c r="T6" i="6"/>
  <c r="S6" i="6"/>
  <c r="B3" i="6"/>
  <c r="U6" i="5"/>
  <c r="T6" i="5"/>
  <c r="M6" i="5"/>
  <c r="B3" i="5"/>
  <c r="N152" i="3"/>
  <c r="L152" i="3"/>
  <c r="L79" i="3"/>
  <c r="N79" i="3"/>
  <c r="N6" i="3"/>
  <c r="L6" i="3"/>
  <c r="K6" i="3"/>
  <c r="M6" i="3"/>
  <c r="N56" i="2"/>
  <c r="K56" i="2"/>
  <c r="J56" i="2"/>
  <c r="L31" i="2"/>
  <c r="K31" i="2"/>
  <c r="N6" i="2"/>
  <c r="L6" i="2"/>
  <c r="K6" i="2"/>
  <c r="J6" i="2"/>
  <c r="B39" i="1"/>
  <c r="B38" i="1"/>
  <c r="B37" i="1"/>
  <c r="M2" i="1"/>
  <c r="F64" i="8" l="1"/>
  <c r="W46" i="5"/>
  <c r="F80" i="8"/>
  <c r="J73" i="2"/>
  <c r="N73" i="2"/>
  <c r="K73" i="2"/>
  <c r="M73" i="2"/>
  <c r="L73" i="2"/>
  <c r="F82" i="10"/>
  <c r="N215" i="3"/>
  <c r="M215" i="3"/>
  <c r="L215" i="3"/>
  <c r="L79" i="8"/>
  <c r="W45" i="6"/>
  <c r="S45" i="6"/>
  <c r="U45" i="6"/>
  <c r="L175" i="8"/>
  <c r="M19" i="2"/>
  <c r="L19" i="2"/>
  <c r="K19" i="2"/>
  <c r="J19" i="2"/>
  <c r="M48" i="5"/>
  <c r="N12" i="2"/>
  <c r="M12" i="2"/>
  <c r="L12" i="2"/>
  <c r="K12" i="2"/>
  <c r="J12" i="2"/>
  <c r="G68" i="2"/>
  <c r="M74" i="2"/>
  <c r="J74" i="2"/>
  <c r="N74" i="2"/>
  <c r="L74" i="2"/>
  <c r="K74" i="2"/>
  <c r="N21" i="3"/>
  <c r="M21" i="3"/>
  <c r="L21" i="3"/>
  <c r="K21" i="3"/>
  <c r="J21" i="3"/>
  <c r="N33" i="3"/>
  <c r="M33" i="3"/>
  <c r="L33" i="3"/>
  <c r="K33" i="3"/>
  <c r="J33" i="3"/>
  <c r="N68" i="3"/>
  <c r="M68" i="3"/>
  <c r="J68" i="3"/>
  <c r="L68" i="3"/>
  <c r="K68" i="3"/>
  <c r="J98" i="3"/>
  <c r="N98" i="3"/>
  <c r="M98" i="3"/>
  <c r="L98" i="3"/>
  <c r="K98" i="3"/>
  <c r="G114" i="3"/>
  <c r="G122" i="3"/>
  <c r="E188" i="3"/>
  <c r="M10" i="5"/>
  <c r="V19" i="5"/>
  <c r="T19" i="5"/>
  <c r="V27" i="5"/>
  <c r="T27" i="5"/>
  <c r="F9" i="8"/>
  <c r="H15" i="8"/>
  <c r="L19" i="8"/>
  <c r="J32" i="8"/>
  <c r="J83" i="8"/>
  <c r="L85" i="8"/>
  <c r="E19" i="9"/>
  <c r="L63" i="10"/>
  <c r="D14" i="11"/>
  <c r="M51" i="3"/>
  <c r="L51" i="3"/>
  <c r="K51" i="3"/>
  <c r="J51" i="3"/>
  <c r="M59" i="3"/>
  <c r="L59" i="3"/>
  <c r="K59" i="3"/>
  <c r="J59" i="3"/>
  <c r="F115" i="3"/>
  <c r="H118" i="3"/>
  <c r="F192" i="3"/>
  <c r="M7" i="5"/>
  <c r="K7" i="5"/>
  <c r="I7" i="5"/>
  <c r="W23" i="6"/>
  <c r="V23" i="6"/>
  <c r="U23" i="6"/>
  <c r="T23" i="6"/>
  <c r="S23" i="6"/>
  <c r="W39" i="6"/>
  <c r="V39" i="6"/>
  <c r="U39" i="6"/>
  <c r="T39" i="6"/>
  <c r="S39" i="6"/>
  <c r="W47" i="6"/>
  <c r="V47" i="6"/>
  <c r="U47" i="6"/>
  <c r="T47" i="6"/>
  <c r="S47" i="6"/>
  <c r="J37" i="8"/>
  <c r="J147" i="8"/>
  <c r="F163" i="8"/>
  <c r="L55" i="10"/>
  <c r="D17" i="11"/>
  <c r="D34" i="11"/>
  <c r="D62" i="11"/>
  <c r="J19" i="14"/>
  <c r="I19" i="14"/>
  <c r="K19" i="14"/>
  <c r="N10" i="3"/>
  <c r="M10" i="3"/>
  <c r="L10" i="3"/>
  <c r="K10" i="3"/>
  <c r="J10" i="3"/>
  <c r="N14" i="3"/>
  <c r="M14" i="3"/>
  <c r="L14" i="3"/>
  <c r="K14" i="3"/>
  <c r="J14" i="3"/>
  <c r="N18" i="3"/>
  <c r="L18" i="3"/>
  <c r="M18" i="3"/>
  <c r="K18" i="3"/>
  <c r="J18" i="3"/>
  <c r="N22" i="3"/>
  <c r="L22" i="3"/>
  <c r="M22" i="3"/>
  <c r="K22" i="3"/>
  <c r="J22" i="3"/>
  <c r="N26" i="3"/>
  <c r="L26" i="3"/>
  <c r="K26" i="3"/>
  <c r="M26" i="3"/>
  <c r="J26" i="3"/>
  <c r="N30" i="3"/>
  <c r="K30" i="3"/>
  <c r="M30" i="3"/>
  <c r="L30" i="3"/>
  <c r="J30" i="3"/>
  <c r="N34" i="3"/>
  <c r="M34" i="3"/>
  <c r="L34" i="3"/>
  <c r="K34" i="3"/>
  <c r="J34" i="3"/>
  <c r="N38" i="3"/>
  <c r="M38" i="3"/>
  <c r="L38" i="3"/>
  <c r="K38" i="3"/>
  <c r="J38" i="3"/>
  <c r="L44" i="3"/>
  <c r="M44" i="3"/>
  <c r="K44" i="3"/>
  <c r="J44" i="3"/>
  <c r="L52" i="3"/>
  <c r="M52" i="3"/>
  <c r="K52" i="3"/>
  <c r="J52" i="3"/>
  <c r="M60" i="3"/>
  <c r="L60" i="3"/>
  <c r="K60" i="3"/>
  <c r="J60" i="3"/>
  <c r="N65" i="3"/>
  <c r="M65" i="3"/>
  <c r="L65" i="3"/>
  <c r="K65" i="3"/>
  <c r="J65" i="3"/>
  <c r="N69" i="3"/>
  <c r="M69" i="3"/>
  <c r="L69" i="3"/>
  <c r="K69" i="3"/>
  <c r="J69" i="3"/>
  <c r="N83" i="3"/>
  <c r="M83" i="3"/>
  <c r="L83" i="3"/>
  <c r="K83" i="3"/>
  <c r="J83" i="3"/>
  <c r="N87" i="3"/>
  <c r="M87" i="3"/>
  <c r="L87" i="3"/>
  <c r="K87" i="3"/>
  <c r="J87" i="3"/>
  <c r="N91" i="3"/>
  <c r="M91" i="3"/>
  <c r="L91" i="3"/>
  <c r="K91" i="3"/>
  <c r="J91" i="3"/>
  <c r="N95" i="3"/>
  <c r="M95" i="3"/>
  <c r="L95" i="3"/>
  <c r="K95" i="3"/>
  <c r="J95" i="3"/>
  <c r="N99" i="3"/>
  <c r="M99" i="3"/>
  <c r="L99" i="3"/>
  <c r="K99" i="3"/>
  <c r="J99" i="3"/>
  <c r="I114" i="3"/>
  <c r="N103" i="3"/>
  <c r="M103" i="3"/>
  <c r="L103" i="3"/>
  <c r="K103" i="3"/>
  <c r="J103" i="3"/>
  <c r="G115" i="3"/>
  <c r="E116" i="3"/>
  <c r="N107" i="3"/>
  <c r="M107" i="3"/>
  <c r="L107" i="3"/>
  <c r="K107" i="3"/>
  <c r="I118" i="3"/>
  <c r="J107" i="3"/>
  <c r="G119" i="3"/>
  <c r="E120" i="3"/>
  <c r="I122" i="3"/>
  <c r="N111" i="3"/>
  <c r="M111" i="3"/>
  <c r="L111" i="3"/>
  <c r="K111" i="3"/>
  <c r="J111" i="3"/>
  <c r="G123" i="3"/>
  <c r="H9" i="8"/>
  <c r="L13" i="8"/>
  <c r="J15" i="8"/>
  <c r="H17" i="8"/>
  <c r="L21" i="8"/>
  <c r="L32" i="8"/>
  <c r="J34" i="8"/>
  <c r="H36" i="8"/>
  <c r="L40" i="8"/>
  <c r="J42" i="8"/>
  <c r="H83" i="8"/>
  <c r="J98" i="8"/>
  <c r="L102" i="8"/>
  <c r="P11" i="9"/>
  <c r="O11" i="9"/>
  <c r="G19" i="9"/>
  <c r="M20" i="9"/>
  <c r="J11" i="10"/>
  <c r="L14" i="10"/>
  <c r="H21" i="10"/>
  <c r="J32" i="10"/>
  <c r="H42" i="10"/>
  <c r="J57" i="10"/>
  <c r="L60" i="10"/>
  <c r="D37" i="11"/>
  <c r="M18" i="12"/>
  <c r="N34" i="12"/>
  <c r="M34" i="12"/>
  <c r="M54" i="13"/>
  <c r="K62" i="14"/>
  <c r="J62" i="14"/>
  <c r="I62" i="14"/>
  <c r="L129" i="15"/>
  <c r="J129" i="15"/>
  <c r="I129" i="15"/>
  <c r="M129" i="15"/>
  <c r="K129" i="15"/>
  <c r="G9" i="16"/>
  <c r="L53" i="16"/>
  <c r="J53" i="16"/>
  <c r="I53" i="16"/>
  <c r="K53" i="16"/>
  <c r="J15" i="18"/>
  <c r="I15" i="18"/>
  <c r="I67" i="2"/>
  <c r="N64" i="2"/>
  <c r="M64" i="2"/>
  <c r="L64" i="2"/>
  <c r="J50" i="3"/>
  <c r="M50" i="3"/>
  <c r="L50" i="3"/>
  <c r="K50" i="3"/>
  <c r="N64" i="3"/>
  <c r="M64" i="3"/>
  <c r="L64" i="3"/>
  <c r="J64" i="3"/>
  <c r="K64" i="3"/>
  <c r="J82" i="3"/>
  <c r="N82" i="3"/>
  <c r="M82" i="3"/>
  <c r="L82" i="3"/>
  <c r="K82" i="3"/>
  <c r="I113" i="3"/>
  <c r="N102" i="3"/>
  <c r="M102" i="3"/>
  <c r="L102" i="3"/>
  <c r="J102" i="3"/>
  <c r="K102" i="3"/>
  <c r="E119" i="3"/>
  <c r="N141" i="3"/>
  <c r="M141" i="3"/>
  <c r="L141" i="3"/>
  <c r="N155" i="3"/>
  <c r="M155" i="3"/>
  <c r="L155" i="3"/>
  <c r="M171" i="3"/>
  <c r="L171" i="3"/>
  <c r="E192" i="3"/>
  <c r="J218" i="3"/>
  <c r="N218" i="3"/>
  <c r="M218" i="3"/>
  <c r="L218" i="3"/>
  <c r="K218" i="3"/>
  <c r="W16" i="5"/>
  <c r="V16" i="5"/>
  <c r="T16" i="5"/>
  <c r="I45" i="5"/>
  <c r="K45" i="5"/>
  <c r="W51" i="5"/>
  <c r="V51" i="5"/>
  <c r="U51" i="5"/>
  <c r="S51" i="5"/>
  <c r="T51" i="5"/>
  <c r="W34" i="6"/>
  <c r="V34" i="6"/>
  <c r="T34" i="6"/>
  <c r="M36" i="6"/>
  <c r="K52" i="6"/>
  <c r="I52" i="6"/>
  <c r="L60" i="8"/>
  <c r="J81" i="8"/>
  <c r="F239" i="8"/>
  <c r="G10" i="9"/>
  <c r="J14" i="10"/>
  <c r="H32" i="10"/>
  <c r="L76" i="10"/>
  <c r="J86" i="10"/>
  <c r="M94" i="13"/>
  <c r="H68" i="2"/>
  <c r="F123" i="3"/>
  <c r="W13" i="5"/>
  <c r="V13" i="5"/>
  <c r="U13" i="5"/>
  <c r="T13" i="5"/>
  <c r="S13" i="5"/>
  <c r="V24" i="5"/>
  <c r="U24" i="5"/>
  <c r="T24" i="5"/>
  <c r="S24" i="5"/>
  <c r="M34" i="5"/>
  <c r="K34" i="5"/>
  <c r="I34" i="5"/>
  <c r="W48" i="5"/>
  <c r="V48" i="5"/>
  <c r="U48" i="5"/>
  <c r="T48" i="5"/>
  <c r="S48" i="5"/>
  <c r="J10" i="8"/>
  <c r="F14" i="8"/>
  <c r="J18" i="8"/>
  <c r="L35" i="8"/>
  <c r="F41" i="8"/>
  <c r="L43" i="8"/>
  <c r="L97" i="8"/>
  <c r="J175" i="8"/>
  <c r="F231" i="8"/>
  <c r="G9" i="9"/>
  <c r="J40" i="10"/>
  <c r="J65" i="10"/>
  <c r="D53" i="11"/>
  <c r="D82" i="11"/>
  <c r="N12" i="12"/>
  <c r="M12" i="12"/>
  <c r="J12" i="12"/>
  <c r="I12" i="12"/>
  <c r="M102" i="13"/>
  <c r="K14" i="14"/>
  <c r="J14" i="14"/>
  <c r="I14" i="14"/>
  <c r="J45" i="14"/>
  <c r="I45" i="14"/>
  <c r="K45" i="14"/>
  <c r="G9" i="17"/>
  <c r="H17" i="2"/>
  <c r="F42" i="2"/>
  <c r="M45" i="3"/>
  <c r="K45" i="3"/>
  <c r="L45" i="3"/>
  <c r="J45" i="3"/>
  <c r="M53" i="3"/>
  <c r="K53" i="3"/>
  <c r="L53" i="3"/>
  <c r="J53" i="3"/>
  <c r="M61" i="3"/>
  <c r="L61" i="3"/>
  <c r="K61" i="3"/>
  <c r="J61" i="3"/>
  <c r="H115" i="3"/>
  <c r="F116" i="3"/>
  <c r="H119" i="3"/>
  <c r="F120" i="3"/>
  <c r="H123" i="3"/>
  <c r="L10" i="8"/>
  <c r="J12" i="8"/>
  <c r="H14" i="8"/>
  <c r="F16" i="8"/>
  <c r="L18" i="8"/>
  <c r="J20" i="8"/>
  <c r="J31" i="8"/>
  <c r="H33" i="8"/>
  <c r="L37" i="8"/>
  <c r="J39" i="8"/>
  <c r="H41" i="8"/>
  <c r="H84" i="8"/>
  <c r="J99" i="8"/>
  <c r="J103" i="8"/>
  <c r="J109" i="8"/>
  <c r="I9" i="9"/>
  <c r="P10" i="9"/>
  <c r="O10" i="9"/>
  <c r="E13" i="9"/>
  <c r="S16" i="9"/>
  <c r="R16" i="9"/>
  <c r="G18" i="9"/>
  <c r="M19" i="9"/>
  <c r="H13" i="10"/>
  <c r="J16" i="10"/>
  <c r="L19" i="10"/>
  <c r="H34" i="10"/>
  <c r="J62" i="10"/>
  <c r="L65" i="10"/>
  <c r="L103" i="10"/>
  <c r="D9" i="11"/>
  <c r="D18" i="11"/>
  <c r="D54" i="11"/>
  <c r="D74" i="11"/>
  <c r="D102" i="11"/>
  <c r="A11" i="12"/>
  <c r="M46" i="12"/>
  <c r="J29" i="13"/>
  <c r="M29" i="13"/>
  <c r="L29" i="13"/>
  <c r="K78" i="14"/>
  <c r="J78" i="14"/>
  <c r="I78" i="14"/>
  <c r="K104" i="15"/>
  <c r="I104" i="15"/>
  <c r="M104" i="15"/>
  <c r="L104" i="15"/>
  <c r="J104" i="15"/>
  <c r="N8" i="2"/>
  <c r="M8" i="2"/>
  <c r="L8" i="2"/>
  <c r="K8" i="2"/>
  <c r="J8" i="2"/>
  <c r="E17" i="2"/>
  <c r="J58" i="3"/>
  <c r="M58" i="3"/>
  <c r="L58" i="3"/>
  <c r="K58" i="3"/>
  <c r="E115" i="3"/>
  <c r="I121" i="3"/>
  <c r="N110" i="3"/>
  <c r="M110" i="3"/>
  <c r="L110" i="3"/>
  <c r="K110" i="3"/>
  <c r="J110" i="3"/>
  <c r="J145" i="3"/>
  <c r="N145" i="3"/>
  <c r="M145" i="3"/>
  <c r="L145" i="3"/>
  <c r="K145" i="3"/>
  <c r="N163" i="3"/>
  <c r="M163" i="3"/>
  <c r="L163" i="3"/>
  <c r="E196" i="3"/>
  <c r="N210" i="3"/>
  <c r="M210" i="3"/>
  <c r="L210" i="3"/>
  <c r="M29" i="5"/>
  <c r="W7" i="6"/>
  <c r="V7" i="6"/>
  <c r="U7" i="6"/>
  <c r="S7" i="6"/>
  <c r="T7" i="6"/>
  <c r="V18" i="6"/>
  <c r="U18" i="6"/>
  <c r="S18" i="6"/>
  <c r="T18" i="6"/>
  <c r="L11" i="8"/>
  <c r="L38" i="8"/>
  <c r="D98" i="11"/>
  <c r="H122" i="3"/>
  <c r="H37" i="10"/>
  <c r="G42" i="2"/>
  <c r="L58" i="2"/>
  <c r="M58" i="2"/>
  <c r="E67" i="2"/>
  <c r="L7" i="3"/>
  <c r="K7" i="3"/>
  <c r="J7" i="3"/>
  <c r="M7" i="3"/>
  <c r="N7" i="3"/>
  <c r="L19" i="3"/>
  <c r="K19" i="3"/>
  <c r="J19" i="3"/>
  <c r="M19" i="3"/>
  <c r="N19" i="3"/>
  <c r="L27" i="3"/>
  <c r="J27" i="3"/>
  <c r="K27" i="3"/>
  <c r="N27" i="3"/>
  <c r="M27" i="3"/>
  <c r="L35" i="3"/>
  <c r="K35" i="3"/>
  <c r="J35" i="3"/>
  <c r="N35" i="3"/>
  <c r="M35" i="3"/>
  <c r="L39" i="3"/>
  <c r="J39" i="3"/>
  <c r="K39" i="3"/>
  <c r="N39" i="3"/>
  <c r="M39" i="3"/>
  <c r="L46" i="3"/>
  <c r="K46" i="3"/>
  <c r="J46" i="3"/>
  <c r="M46" i="3"/>
  <c r="L54" i="3"/>
  <c r="J54" i="3"/>
  <c r="K54" i="3"/>
  <c r="M54" i="3"/>
  <c r="L62" i="3"/>
  <c r="K62" i="3"/>
  <c r="J62" i="3"/>
  <c r="N62" i="3"/>
  <c r="M62" i="3"/>
  <c r="L66" i="3"/>
  <c r="J66" i="3"/>
  <c r="K66" i="3"/>
  <c r="N66" i="3"/>
  <c r="M66" i="3"/>
  <c r="L70" i="3"/>
  <c r="K70" i="3"/>
  <c r="J70" i="3"/>
  <c r="N70" i="3"/>
  <c r="M70" i="3"/>
  <c r="L80" i="3"/>
  <c r="K80" i="3"/>
  <c r="J80" i="3"/>
  <c r="M80" i="3"/>
  <c r="N80" i="3"/>
  <c r="L84" i="3"/>
  <c r="K84" i="3"/>
  <c r="M84" i="3"/>
  <c r="J84" i="3"/>
  <c r="N84" i="3"/>
  <c r="L88" i="3"/>
  <c r="K88" i="3"/>
  <c r="J88" i="3"/>
  <c r="M88" i="3"/>
  <c r="N88" i="3"/>
  <c r="L92" i="3"/>
  <c r="K92" i="3"/>
  <c r="M92" i="3"/>
  <c r="J92" i="3"/>
  <c r="N92" i="3"/>
  <c r="L96" i="3"/>
  <c r="K96" i="3"/>
  <c r="N96" i="3"/>
  <c r="J96" i="3"/>
  <c r="M96" i="3"/>
  <c r="L100" i="3"/>
  <c r="K100" i="3"/>
  <c r="J100" i="3"/>
  <c r="M100" i="3"/>
  <c r="N100" i="3"/>
  <c r="E113" i="3"/>
  <c r="L104" i="3"/>
  <c r="K104" i="3"/>
  <c r="J104" i="3"/>
  <c r="N104" i="3"/>
  <c r="I115" i="3"/>
  <c r="M104" i="3"/>
  <c r="G116" i="3"/>
  <c r="E117" i="3"/>
  <c r="L108" i="3"/>
  <c r="K108" i="3"/>
  <c r="J108" i="3"/>
  <c r="M108" i="3"/>
  <c r="I119" i="3"/>
  <c r="N108" i="3"/>
  <c r="G120" i="3"/>
  <c r="E121" i="3"/>
  <c r="L112" i="3"/>
  <c r="K112" i="3"/>
  <c r="N112" i="3"/>
  <c r="J112" i="3"/>
  <c r="I123" i="3"/>
  <c r="M112" i="3"/>
  <c r="L135" i="3"/>
  <c r="K135" i="3"/>
  <c r="J135" i="3"/>
  <c r="M135" i="3"/>
  <c r="N135" i="3"/>
  <c r="L139" i="3"/>
  <c r="N139" i="3"/>
  <c r="M139" i="3"/>
  <c r="L143" i="3"/>
  <c r="N143" i="3"/>
  <c r="M143" i="3"/>
  <c r="L153" i="3"/>
  <c r="M153" i="3"/>
  <c r="N153" i="3"/>
  <c r="L157" i="3"/>
  <c r="M157" i="3"/>
  <c r="N157" i="3"/>
  <c r="L161" i="3"/>
  <c r="N161" i="3"/>
  <c r="M161" i="3"/>
  <c r="L165" i="3"/>
  <c r="M165" i="3"/>
  <c r="L169" i="3"/>
  <c r="M169" i="3"/>
  <c r="L173" i="3"/>
  <c r="M173" i="3"/>
  <c r="E186" i="3"/>
  <c r="L177" i="3"/>
  <c r="N177" i="3"/>
  <c r="I188" i="3"/>
  <c r="M177" i="3"/>
  <c r="E190" i="3"/>
  <c r="L181" i="3"/>
  <c r="I192" i="3"/>
  <c r="N181" i="3"/>
  <c r="M181" i="3"/>
  <c r="E194" i="3"/>
  <c r="L185" i="3"/>
  <c r="M185" i="3"/>
  <c r="N185" i="3"/>
  <c r="I196" i="3"/>
  <c r="L208" i="3"/>
  <c r="M208" i="3"/>
  <c r="N208" i="3"/>
  <c r="L212" i="3"/>
  <c r="N212" i="3"/>
  <c r="M212" i="3"/>
  <c r="L216" i="3"/>
  <c r="N216" i="3"/>
  <c r="M216" i="3"/>
  <c r="T12" i="5"/>
  <c r="V12" i="5"/>
  <c r="W12" i="5"/>
  <c r="T23" i="5"/>
  <c r="V23" i="5"/>
  <c r="T31" i="5"/>
  <c r="V31" i="5"/>
  <c r="T39" i="5"/>
  <c r="W39" i="5"/>
  <c r="V39" i="5"/>
  <c r="T47" i="5"/>
  <c r="W47" i="5"/>
  <c r="V47" i="5"/>
  <c r="U11" i="6"/>
  <c r="T11" i="6"/>
  <c r="V11" i="6"/>
  <c r="S11" i="6"/>
  <c r="W11" i="6"/>
  <c r="U22" i="6"/>
  <c r="T22" i="6"/>
  <c r="W22" i="6"/>
  <c r="S22" i="6"/>
  <c r="V22" i="6"/>
  <c r="U30" i="6"/>
  <c r="T30" i="6"/>
  <c r="S30" i="6"/>
  <c r="V30" i="6"/>
  <c r="T38" i="6"/>
  <c r="V38" i="6"/>
  <c r="T46" i="6"/>
  <c r="V46" i="6"/>
  <c r="W46" i="6"/>
  <c r="J9" i="8"/>
  <c r="F13" i="8"/>
  <c r="L15" i="8"/>
  <c r="J17" i="8"/>
  <c r="F21" i="8"/>
  <c r="F32" i="8"/>
  <c r="L34" i="8"/>
  <c r="J36" i="8"/>
  <c r="F40" i="8"/>
  <c r="L42" i="8"/>
  <c r="J54" i="8"/>
  <c r="J79" i="8"/>
  <c r="L98" i="8"/>
  <c r="J104" i="8"/>
  <c r="P9" i="9"/>
  <c r="O9" i="9"/>
  <c r="E12" i="9"/>
  <c r="S15" i="9"/>
  <c r="R15" i="9"/>
  <c r="G17" i="9"/>
  <c r="L11" i="10"/>
  <c r="F15" i="10"/>
  <c r="H18" i="10"/>
  <c r="J21" i="10"/>
  <c r="L57" i="10"/>
  <c r="L82" i="10"/>
  <c r="D38" i="11"/>
  <c r="D57" i="11"/>
  <c r="D86" i="11"/>
  <c r="N7" i="12"/>
  <c r="M7" i="12"/>
  <c r="J7" i="12"/>
  <c r="I7" i="12"/>
  <c r="N30" i="12"/>
  <c r="M30" i="12"/>
  <c r="J89" i="13"/>
  <c r="M89" i="13"/>
  <c r="L89" i="13"/>
  <c r="M123" i="13"/>
  <c r="K40" i="14"/>
  <c r="J40" i="14"/>
  <c r="I40" i="14"/>
  <c r="K97" i="14"/>
  <c r="J97" i="14"/>
  <c r="I97" i="14"/>
  <c r="L60" i="15"/>
  <c r="J60" i="15"/>
  <c r="I60" i="15"/>
  <c r="M60" i="15"/>
  <c r="K60" i="15"/>
  <c r="C119" i="15"/>
  <c r="E21" i="16"/>
  <c r="K28" i="16"/>
  <c r="I28" i="16"/>
  <c r="L28" i="16"/>
  <c r="J28" i="16"/>
  <c r="M16" i="2"/>
  <c r="J16" i="2"/>
  <c r="L16" i="2"/>
  <c r="K16" i="2"/>
  <c r="J47" i="2"/>
  <c r="N47" i="2"/>
  <c r="K47" i="2"/>
  <c r="N60" i="2"/>
  <c r="M60" i="2"/>
  <c r="L60" i="2"/>
  <c r="N9" i="3"/>
  <c r="M9" i="3"/>
  <c r="L9" i="3"/>
  <c r="K9" i="3"/>
  <c r="J9" i="3"/>
  <c r="M17" i="3"/>
  <c r="J17" i="3"/>
  <c r="N17" i="3"/>
  <c r="L17" i="3"/>
  <c r="K17" i="3"/>
  <c r="N25" i="3"/>
  <c r="M25" i="3"/>
  <c r="L25" i="3"/>
  <c r="J25" i="3"/>
  <c r="K25" i="3"/>
  <c r="M42" i="3"/>
  <c r="L42" i="3"/>
  <c r="J42" i="3"/>
  <c r="K42" i="3"/>
  <c r="N72" i="3"/>
  <c r="M72" i="3"/>
  <c r="L72" i="3"/>
  <c r="J72" i="3"/>
  <c r="K72" i="3"/>
  <c r="N86" i="3"/>
  <c r="M86" i="3"/>
  <c r="L86" i="3"/>
  <c r="K86" i="3"/>
  <c r="J86" i="3"/>
  <c r="N94" i="3"/>
  <c r="M94" i="3"/>
  <c r="L94" i="3"/>
  <c r="K94" i="3"/>
  <c r="J94" i="3"/>
  <c r="G118" i="3"/>
  <c r="N137" i="3"/>
  <c r="M137" i="3"/>
  <c r="L137" i="3"/>
  <c r="M167" i="3"/>
  <c r="L167" i="3"/>
  <c r="I186" i="3"/>
  <c r="N175" i="3"/>
  <c r="M175" i="3"/>
  <c r="L175" i="3"/>
  <c r="I194" i="3"/>
  <c r="N183" i="3"/>
  <c r="M183" i="3"/>
  <c r="L183" i="3"/>
  <c r="N214" i="3"/>
  <c r="M214" i="3"/>
  <c r="L214" i="3"/>
  <c r="V35" i="5"/>
  <c r="T35" i="5"/>
  <c r="W43" i="5"/>
  <c r="V43" i="5"/>
  <c r="T43" i="5"/>
  <c r="S26" i="6"/>
  <c r="V26" i="6"/>
  <c r="U26" i="6"/>
  <c r="T26" i="6"/>
  <c r="W42" i="6"/>
  <c r="V42" i="6"/>
  <c r="T42" i="6"/>
  <c r="S50" i="6"/>
  <c r="V50" i="6"/>
  <c r="U50" i="6"/>
  <c r="T50" i="6"/>
  <c r="J13" i="8"/>
  <c r="J21" i="8"/>
  <c r="J40" i="8"/>
  <c r="F283" i="8"/>
  <c r="I15" i="9"/>
  <c r="F9" i="10"/>
  <c r="J35" i="10"/>
  <c r="A12" i="12"/>
  <c r="F188" i="3"/>
  <c r="V32" i="5"/>
  <c r="U32" i="5"/>
  <c r="T32" i="5"/>
  <c r="S32" i="5"/>
  <c r="W40" i="5"/>
  <c r="V40" i="5"/>
  <c r="U40" i="5"/>
  <c r="T40" i="5"/>
  <c r="S40" i="5"/>
  <c r="L165" i="8"/>
  <c r="J19" i="10"/>
  <c r="L72" i="2"/>
  <c r="M72" i="2"/>
  <c r="N72" i="2"/>
  <c r="L23" i="3"/>
  <c r="J23" i="3"/>
  <c r="K23" i="3"/>
  <c r="M23" i="3"/>
  <c r="N23" i="3"/>
  <c r="L31" i="3"/>
  <c r="K31" i="3"/>
  <c r="M31" i="3"/>
  <c r="J31" i="3"/>
  <c r="N31" i="3"/>
  <c r="H18" i="2"/>
  <c r="K55" i="3"/>
  <c r="J55" i="3"/>
  <c r="M55" i="3"/>
  <c r="L55" i="3"/>
  <c r="F113" i="3"/>
  <c r="H116" i="3"/>
  <c r="F117" i="3"/>
  <c r="H120" i="3"/>
  <c r="F121" i="3"/>
  <c r="F186" i="3"/>
  <c r="F190" i="3"/>
  <c r="F194" i="3"/>
  <c r="T9" i="5"/>
  <c r="V9" i="5"/>
  <c r="T20" i="5"/>
  <c r="V20" i="5"/>
  <c r="T28" i="5"/>
  <c r="V28" i="5"/>
  <c r="T36" i="5"/>
  <c r="V36" i="5"/>
  <c r="W36" i="5"/>
  <c r="T44" i="5"/>
  <c r="V44" i="5"/>
  <c r="W44" i="5"/>
  <c r="T52" i="5"/>
  <c r="V52" i="5"/>
  <c r="W52" i="5"/>
  <c r="T8" i="6"/>
  <c r="S8" i="6"/>
  <c r="V8" i="6"/>
  <c r="U8" i="6"/>
  <c r="W8" i="6"/>
  <c r="T16" i="6"/>
  <c r="S16" i="6"/>
  <c r="U16" i="6"/>
  <c r="W16" i="6"/>
  <c r="V16" i="6"/>
  <c r="T19" i="6"/>
  <c r="S19" i="6"/>
  <c r="U19" i="6"/>
  <c r="V19" i="6"/>
  <c r="T27" i="6"/>
  <c r="S27" i="6"/>
  <c r="V27" i="6"/>
  <c r="U27" i="6"/>
  <c r="T35" i="6"/>
  <c r="S35" i="6"/>
  <c r="V35" i="6"/>
  <c r="W35" i="6"/>
  <c r="U35" i="6"/>
  <c r="T43" i="6"/>
  <c r="S43" i="6"/>
  <c r="U43" i="6"/>
  <c r="W43" i="6"/>
  <c r="V43" i="6"/>
  <c r="T51" i="6"/>
  <c r="S51" i="6"/>
  <c r="V51" i="6"/>
  <c r="U51" i="6"/>
  <c r="F10" i="8"/>
  <c r="L12" i="8"/>
  <c r="J14" i="8"/>
  <c r="H16" i="8"/>
  <c r="F18" i="8"/>
  <c r="L20" i="8"/>
  <c r="L31" i="8"/>
  <c r="J33" i="8"/>
  <c r="F37" i="8"/>
  <c r="L39" i="8"/>
  <c r="J41" i="8"/>
  <c r="L63" i="8"/>
  <c r="J84" i="8"/>
  <c r="F97" i="8"/>
  <c r="L99" i="8"/>
  <c r="J106" i="8"/>
  <c r="J107" i="8"/>
  <c r="L109" i="8"/>
  <c r="L145" i="8"/>
  <c r="L233" i="8"/>
  <c r="L277" i="8"/>
  <c r="E11" i="9"/>
  <c r="S14" i="9"/>
  <c r="R14" i="9"/>
  <c r="P19" i="9"/>
  <c r="O19" i="9"/>
  <c r="H10" i="10"/>
  <c r="J13" i="10"/>
  <c r="F20" i="10"/>
  <c r="L36" i="10"/>
  <c r="J59" i="10"/>
  <c r="L87" i="10"/>
  <c r="J97" i="10"/>
  <c r="D10" i="11"/>
  <c r="D41" i="11"/>
  <c r="J36" i="12"/>
  <c r="I36" i="12"/>
  <c r="M36" i="12"/>
  <c r="M38" i="12"/>
  <c r="M8" i="13"/>
  <c r="I8" i="13"/>
  <c r="K8" i="13"/>
  <c r="J98" i="13"/>
  <c r="M98" i="13"/>
  <c r="L98" i="13"/>
  <c r="M131" i="13"/>
  <c r="I131" i="13"/>
  <c r="K131" i="13"/>
  <c r="U11" i="14"/>
  <c r="T11" i="14"/>
  <c r="V11" i="14"/>
  <c r="K113" i="14"/>
  <c r="J113" i="14"/>
  <c r="H121" i="14"/>
  <c r="I113" i="14"/>
  <c r="F119" i="15"/>
  <c r="G21" i="16"/>
  <c r="L61" i="16"/>
  <c r="J61" i="16"/>
  <c r="I61" i="16"/>
  <c r="K61" i="16"/>
  <c r="J138" i="18"/>
  <c r="I138" i="18"/>
  <c r="H146" i="18"/>
  <c r="N23" i="2"/>
  <c r="M23" i="2"/>
  <c r="J23" i="2"/>
  <c r="L23" i="2"/>
  <c r="K23" i="2"/>
  <c r="N32" i="2"/>
  <c r="N40" i="2"/>
  <c r="I43" i="2"/>
  <c r="N13" i="3"/>
  <c r="M13" i="3"/>
  <c r="L13" i="3"/>
  <c r="J13" i="3"/>
  <c r="K13" i="3"/>
  <c r="J29" i="3"/>
  <c r="N29" i="3"/>
  <c r="M29" i="3"/>
  <c r="L29" i="3"/>
  <c r="K29" i="3"/>
  <c r="N37" i="3"/>
  <c r="J37" i="3"/>
  <c r="M37" i="3"/>
  <c r="L37" i="3"/>
  <c r="K37" i="3"/>
  <c r="N90" i="3"/>
  <c r="M90" i="3"/>
  <c r="J90" i="3"/>
  <c r="L90" i="3"/>
  <c r="K90" i="3"/>
  <c r="N106" i="3"/>
  <c r="M106" i="3"/>
  <c r="J106" i="3"/>
  <c r="L106" i="3"/>
  <c r="I117" i="3"/>
  <c r="K106" i="3"/>
  <c r="E123" i="3"/>
  <c r="N159" i="3"/>
  <c r="M159" i="3"/>
  <c r="L159" i="3"/>
  <c r="N179" i="3"/>
  <c r="M179" i="3"/>
  <c r="L179" i="3"/>
  <c r="I190" i="3"/>
  <c r="V8" i="5"/>
  <c r="T8" i="5"/>
  <c r="S15" i="6"/>
  <c r="W15" i="6"/>
  <c r="V15" i="6"/>
  <c r="U15" i="6"/>
  <c r="T15" i="6"/>
  <c r="F17" i="8"/>
  <c r="F36" i="8"/>
  <c r="M11" i="9"/>
  <c r="L38" i="10"/>
  <c r="N22" i="12"/>
  <c r="M22" i="12"/>
  <c r="M43" i="3"/>
  <c r="L43" i="3"/>
  <c r="K43" i="3"/>
  <c r="J43" i="3"/>
  <c r="H114" i="3"/>
  <c r="F119" i="3"/>
  <c r="F196" i="3"/>
  <c r="K15" i="5"/>
  <c r="I15" i="5"/>
  <c r="K18" i="5"/>
  <c r="I18" i="5"/>
  <c r="K26" i="5"/>
  <c r="I26" i="5"/>
  <c r="K42" i="5"/>
  <c r="I42" i="5"/>
  <c r="M50" i="5"/>
  <c r="K50" i="5"/>
  <c r="I50" i="5"/>
  <c r="W12" i="6"/>
  <c r="V12" i="6"/>
  <c r="U12" i="6"/>
  <c r="T12" i="6"/>
  <c r="S12" i="6"/>
  <c r="V31" i="6"/>
  <c r="U31" i="6"/>
  <c r="T31" i="6"/>
  <c r="S31" i="6"/>
  <c r="H12" i="8"/>
  <c r="L16" i="8"/>
  <c r="F33" i="8"/>
  <c r="L61" i="8"/>
  <c r="J82" i="8"/>
  <c r="F99" i="8"/>
  <c r="L153" i="8"/>
  <c r="F275" i="8"/>
  <c r="M21" i="9"/>
  <c r="L10" i="2"/>
  <c r="K10" i="2"/>
  <c r="J10" i="2"/>
  <c r="N10" i="2"/>
  <c r="M10" i="2"/>
  <c r="L14" i="2"/>
  <c r="K14" i="2"/>
  <c r="J14" i="2"/>
  <c r="I17" i="2"/>
  <c r="M14" i="2"/>
  <c r="L38" i="2"/>
  <c r="N38" i="2"/>
  <c r="M38" i="2"/>
  <c r="L62" i="2"/>
  <c r="N62" i="2"/>
  <c r="M62" i="2"/>
  <c r="L15" i="3"/>
  <c r="K15" i="3"/>
  <c r="J15" i="3"/>
  <c r="N15" i="3"/>
  <c r="M15" i="3"/>
  <c r="K47" i="3"/>
  <c r="J47" i="3"/>
  <c r="M47" i="3"/>
  <c r="L47" i="3"/>
  <c r="J7" i="2"/>
  <c r="N7" i="2"/>
  <c r="K7" i="2"/>
  <c r="J11" i="2"/>
  <c r="N11" i="2"/>
  <c r="K11" i="2"/>
  <c r="J15" i="2"/>
  <c r="K15" i="2"/>
  <c r="J22" i="2"/>
  <c r="N22" i="2"/>
  <c r="K22" i="2"/>
  <c r="J59" i="2"/>
  <c r="K59" i="2"/>
  <c r="J63" i="2"/>
  <c r="K63" i="2"/>
  <c r="N63" i="2"/>
  <c r="J8" i="3"/>
  <c r="L8" i="3"/>
  <c r="N8" i="3"/>
  <c r="M8" i="3"/>
  <c r="K8" i="3"/>
  <c r="J12" i="3"/>
  <c r="K12" i="3"/>
  <c r="N12" i="3"/>
  <c r="L12" i="3"/>
  <c r="M12" i="3"/>
  <c r="J16" i="3"/>
  <c r="L16" i="3"/>
  <c r="K16" i="3"/>
  <c r="N16" i="3"/>
  <c r="M16" i="3"/>
  <c r="J20" i="3"/>
  <c r="K20" i="3"/>
  <c r="N20" i="3"/>
  <c r="M20" i="3"/>
  <c r="L20" i="3"/>
  <c r="J24" i="3"/>
  <c r="N24" i="3"/>
  <c r="L24" i="3"/>
  <c r="K24" i="3"/>
  <c r="M24" i="3"/>
  <c r="J28" i="3"/>
  <c r="L28" i="3"/>
  <c r="K28" i="3"/>
  <c r="N28" i="3"/>
  <c r="M28" i="3"/>
  <c r="J32" i="3"/>
  <c r="K32" i="3"/>
  <c r="N32" i="3"/>
  <c r="M32" i="3"/>
  <c r="L32" i="3"/>
  <c r="J36" i="3"/>
  <c r="L36" i="3"/>
  <c r="N36" i="3"/>
  <c r="K36" i="3"/>
  <c r="M36" i="3"/>
  <c r="J40" i="3"/>
  <c r="K40" i="3"/>
  <c r="M40" i="3"/>
  <c r="L40" i="3"/>
  <c r="J48" i="3"/>
  <c r="K48" i="3"/>
  <c r="L48" i="3"/>
  <c r="M48" i="3"/>
  <c r="J56" i="3"/>
  <c r="L56" i="3"/>
  <c r="K56" i="3"/>
  <c r="M56" i="3"/>
  <c r="J63" i="3"/>
  <c r="L63" i="3"/>
  <c r="K63" i="3"/>
  <c r="N63" i="3"/>
  <c r="M63" i="3"/>
  <c r="J67" i="3"/>
  <c r="L67" i="3"/>
  <c r="K67" i="3"/>
  <c r="N67" i="3"/>
  <c r="M67" i="3"/>
  <c r="J71" i="3"/>
  <c r="K71" i="3"/>
  <c r="N71" i="3"/>
  <c r="M71" i="3"/>
  <c r="L71" i="3"/>
  <c r="J81" i="3"/>
  <c r="L81" i="3"/>
  <c r="K81" i="3"/>
  <c r="N81" i="3"/>
  <c r="M81" i="3"/>
  <c r="J85" i="3"/>
  <c r="L85" i="3"/>
  <c r="N85" i="3"/>
  <c r="M85" i="3"/>
  <c r="K85" i="3"/>
  <c r="J89" i="3"/>
  <c r="L89" i="3"/>
  <c r="K89" i="3"/>
  <c r="N89" i="3"/>
  <c r="M89" i="3"/>
  <c r="J93" i="3"/>
  <c r="N93" i="3"/>
  <c r="L93" i="3"/>
  <c r="M93" i="3"/>
  <c r="K93" i="3"/>
  <c r="J97" i="3"/>
  <c r="N97" i="3"/>
  <c r="K97" i="3"/>
  <c r="M97" i="3"/>
  <c r="L97" i="3"/>
  <c r="J101" i="3"/>
  <c r="K101" i="3"/>
  <c r="L101" i="3"/>
  <c r="N101" i="3"/>
  <c r="M101" i="3"/>
  <c r="G113" i="3"/>
  <c r="E114" i="3"/>
  <c r="J105" i="3"/>
  <c r="N105" i="3"/>
  <c r="L105" i="3"/>
  <c r="K105" i="3"/>
  <c r="M105" i="3"/>
  <c r="I116" i="3"/>
  <c r="G117" i="3"/>
  <c r="E118" i="3"/>
  <c r="J109" i="3"/>
  <c r="L109" i="3"/>
  <c r="I120" i="3"/>
  <c r="N109" i="3"/>
  <c r="K109" i="3"/>
  <c r="M109" i="3"/>
  <c r="G121" i="3"/>
  <c r="E122" i="3"/>
  <c r="N136" i="3"/>
  <c r="N140" i="3"/>
  <c r="N144" i="3"/>
  <c r="N154" i="3"/>
  <c r="N158" i="3"/>
  <c r="N162" i="3"/>
  <c r="N178" i="3"/>
  <c r="N182" i="3"/>
  <c r="N209" i="3"/>
  <c r="N213" i="3"/>
  <c r="N217" i="3"/>
  <c r="S13" i="6"/>
  <c r="W13" i="6"/>
  <c r="U13" i="6"/>
  <c r="L9" i="8"/>
  <c r="J11" i="8"/>
  <c r="H13" i="8"/>
  <c r="F15" i="8"/>
  <c r="L17" i="8"/>
  <c r="J19" i="8"/>
  <c r="H21" i="8"/>
  <c r="H32" i="8"/>
  <c r="L36" i="8"/>
  <c r="J38" i="8"/>
  <c r="H40" i="8"/>
  <c r="H81" i="8"/>
  <c r="J85" i="8"/>
  <c r="J100" i="8"/>
  <c r="L104" i="8"/>
  <c r="L105" i="8"/>
  <c r="L107" i="8"/>
  <c r="J235" i="8"/>
  <c r="J279" i="8"/>
  <c r="M13" i="9"/>
  <c r="I17" i="9"/>
  <c r="P18" i="9"/>
  <c r="O18" i="9"/>
  <c r="E21" i="9"/>
  <c r="H15" i="10"/>
  <c r="J38" i="10"/>
  <c r="L41" i="10"/>
  <c r="H61" i="10"/>
  <c r="D13" i="11"/>
  <c r="D30" i="11"/>
  <c r="D58" i="11"/>
  <c r="D78" i="11"/>
  <c r="D106" i="11"/>
  <c r="N13" i="12"/>
  <c r="M13" i="12"/>
  <c r="N26" i="12"/>
  <c r="M26" i="12"/>
  <c r="M25" i="13"/>
  <c r="J25" i="13"/>
  <c r="L25" i="13"/>
  <c r="J158" i="13"/>
  <c r="M158" i="13"/>
  <c r="L158" i="13"/>
  <c r="K131" i="14"/>
  <c r="J131" i="14"/>
  <c r="I131" i="14"/>
  <c r="M152" i="17"/>
  <c r="L101" i="8"/>
  <c r="F151" i="8"/>
  <c r="H169" i="8"/>
  <c r="L20" i="2"/>
  <c r="K20" i="2"/>
  <c r="J20" i="2"/>
  <c r="M20" i="2"/>
  <c r="L34" i="2"/>
  <c r="M34" i="2"/>
  <c r="N34" i="2"/>
  <c r="L49" i="2"/>
  <c r="N49" i="2"/>
  <c r="M49" i="2"/>
  <c r="L66" i="2"/>
  <c r="M66" i="2"/>
  <c r="L11" i="3"/>
  <c r="K11" i="3"/>
  <c r="J11" i="3"/>
  <c r="M11" i="3"/>
  <c r="N11" i="3"/>
  <c r="K21" i="2"/>
  <c r="J21" i="2"/>
  <c r="M21" i="2"/>
  <c r="L21" i="2"/>
  <c r="F43" i="2"/>
  <c r="M41" i="3"/>
  <c r="K41" i="3"/>
  <c r="L41" i="3"/>
  <c r="J41" i="3"/>
  <c r="K49" i="3"/>
  <c r="J49" i="3"/>
  <c r="M49" i="3"/>
  <c r="L49" i="3"/>
  <c r="K57" i="3"/>
  <c r="M57" i="3"/>
  <c r="J57" i="3"/>
  <c r="L57" i="3"/>
  <c r="H113" i="3"/>
  <c r="F114" i="3"/>
  <c r="H117" i="3"/>
  <c r="F118" i="3"/>
  <c r="H121" i="3"/>
  <c r="F122" i="3"/>
  <c r="H10" i="8"/>
  <c r="F12" i="8"/>
  <c r="L14" i="8"/>
  <c r="J16" i="8"/>
  <c r="H18" i="8"/>
  <c r="L33" i="8"/>
  <c r="J35" i="8"/>
  <c r="H37" i="8"/>
  <c r="L41" i="8"/>
  <c r="J43" i="8"/>
  <c r="H85" i="8"/>
  <c r="J76" i="8"/>
  <c r="H86" i="8"/>
  <c r="H97" i="8"/>
  <c r="J101" i="8"/>
  <c r="L106" i="8"/>
  <c r="L143" i="8"/>
  <c r="J153" i="8"/>
  <c r="G11" i="9"/>
  <c r="M12" i="9"/>
  <c r="I16" i="9"/>
  <c r="P17" i="9"/>
  <c r="O17" i="9"/>
  <c r="E20" i="9"/>
  <c r="H14" i="10"/>
  <c r="F17" i="10"/>
  <c r="L33" i="10"/>
  <c r="H40" i="10"/>
  <c r="J43" i="10"/>
  <c r="H53" i="10"/>
  <c r="L84" i="10"/>
  <c r="D33" i="11"/>
  <c r="D42" i="11"/>
  <c r="D61" i="11"/>
  <c r="M33" i="13"/>
  <c r="E51" i="14"/>
  <c r="G79" i="14"/>
  <c r="M31" i="17"/>
  <c r="J31" i="17"/>
  <c r="I31" i="17"/>
  <c r="L31" i="17"/>
  <c r="K31" i="17"/>
  <c r="M11" i="12"/>
  <c r="J11" i="12"/>
  <c r="I11" i="12"/>
  <c r="N11" i="12"/>
  <c r="M17" i="12"/>
  <c r="J17" i="12"/>
  <c r="I17" i="12"/>
  <c r="M21" i="12"/>
  <c r="J21" i="12"/>
  <c r="I21" i="12"/>
  <c r="N21" i="12"/>
  <c r="M25" i="12"/>
  <c r="J25" i="12"/>
  <c r="I25" i="12"/>
  <c r="N25" i="12"/>
  <c r="M29" i="12"/>
  <c r="J29" i="12"/>
  <c r="I29" i="12"/>
  <c r="N29" i="12"/>
  <c r="M33" i="12"/>
  <c r="J33" i="12"/>
  <c r="I33" i="12"/>
  <c r="N33" i="12"/>
  <c r="L159" i="13"/>
  <c r="M159" i="13"/>
  <c r="J159" i="13"/>
  <c r="J38" i="13"/>
  <c r="M38" i="13"/>
  <c r="L38" i="13"/>
  <c r="M42" i="13"/>
  <c r="M71" i="13"/>
  <c r="J107" i="13"/>
  <c r="M107" i="13"/>
  <c r="L107" i="13"/>
  <c r="M111" i="13"/>
  <c r="M140" i="13"/>
  <c r="K18" i="14"/>
  <c r="J18" i="14"/>
  <c r="I18" i="14"/>
  <c r="K35" i="14"/>
  <c r="J35" i="14"/>
  <c r="I35" i="14"/>
  <c r="K71" i="14"/>
  <c r="J71" i="14"/>
  <c r="I71" i="14"/>
  <c r="H79" i="14"/>
  <c r="K105" i="14"/>
  <c r="J105" i="14"/>
  <c r="I105" i="14"/>
  <c r="K140" i="14"/>
  <c r="J140" i="14"/>
  <c r="I140" i="14"/>
  <c r="I153" i="14"/>
  <c r="K153" i="14"/>
  <c r="J153" i="14"/>
  <c r="L43" i="15"/>
  <c r="J43" i="15"/>
  <c r="I43" i="15"/>
  <c r="M43" i="15"/>
  <c r="K43" i="15"/>
  <c r="L112" i="15"/>
  <c r="J112" i="15"/>
  <c r="I112" i="15"/>
  <c r="M112" i="15"/>
  <c r="K112" i="15"/>
  <c r="D133" i="15"/>
  <c r="Z16" i="16"/>
  <c r="X16" i="16"/>
  <c r="D23" i="16"/>
  <c r="K88" i="16"/>
  <c r="J88" i="16"/>
  <c r="I88" i="16"/>
  <c r="L88" i="16"/>
  <c r="E105" i="16"/>
  <c r="M122" i="16"/>
  <c r="H121" i="16"/>
  <c r="L122" i="16"/>
  <c r="J122" i="16"/>
  <c r="I122" i="16"/>
  <c r="K122" i="16"/>
  <c r="C147" i="16"/>
  <c r="M11" i="17"/>
  <c r="K11" i="17"/>
  <c r="J11" i="17"/>
  <c r="L11" i="17"/>
  <c r="I11" i="17"/>
  <c r="J17" i="18"/>
  <c r="I17" i="18"/>
  <c r="E64" i="18"/>
  <c r="L92" i="18"/>
  <c r="Y148" i="18"/>
  <c r="AA149" i="18"/>
  <c r="Z149" i="18"/>
  <c r="J108" i="8"/>
  <c r="S9" i="9"/>
  <c r="R9" i="9"/>
  <c r="I10" i="9"/>
  <c r="G12" i="9"/>
  <c r="P12" i="9"/>
  <c r="O12" i="9"/>
  <c r="E14" i="9"/>
  <c r="M14" i="9"/>
  <c r="S17" i="9"/>
  <c r="R17" i="9"/>
  <c r="I18" i="9"/>
  <c r="G20" i="9"/>
  <c r="P20" i="9"/>
  <c r="O20" i="9"/>
  <c r="H12" i="10"/>
  <c r="F14" i="10"/>
  <c r="L16" i="10"/>
  <c r="H20" i="10"/>
  <c r="H31" i="10"/>
  <c r="J37" i="10"/>
  <c r="H39" i="10"/>
  <c r="J56" i="10"/>
  <c r="J64" i="10"/>
  <c r="D75" i="11"/>
  <c r="D79" i="11"/>
  <c r="D83" i="11"/>
  <c r="D99" i="11"/>
  <c r="D103" i="11"/>
  <c r="D107" i="11"/>
  <c r="J6" i="12"/>
  <c r="I6" i="12"/>
  <c r="N6" i="12"/>
  <c r="M6" i="12"/>
  <c r="J10" i="12"/>
  <c r="I10" i="12"/>
  <c r="N10" i="12"/>
  <c r="M10" i="12"/>
  <c r="M16" i="13"/>
  <c r="J46" i="13"/>
  <c r="M46" i="13"/>
  <c r="L46" i="13"/>
  <c r="M51" i="13"/>
  <c r="M80" i="13"/>
  <c r="J115" i="13"/>
  <c r="M115" i="13"/>
  <c r="L115" i="13"/>
  <c r="M120" i="13"/>
  <c r="M149" i="13"/>
  <c r="J28" i="14"/>
  <c r="I28" i="14"/>
  <c r="K28" i="14"/>
  <c r="K53" i="14"/>
  <c r="J53" i="14"/>
  <c r="I53" i="14"/>
  <c r="D65" i="14"/>
  <c r="K87" i="14"/>
  <c r="J87" i="14"/>
  <c r="I87" i="14"/>
  <c r="E107" i="14"/>
  <c r="F149" i="14"/>
  <c r="K20" i="15"/>
  <c r="I20" i="15"/>
  <c r="M20" i="15"/>
  <c r="L20" i="15"/>
  <c r="J20" i="15"/>
  <c r="C77" i="15"/>
  <c r="K87" i="15"/>
  <c r="I87" i="15"/>
  <c r="M87" i="15"/>
  <c r="L87" i="15"/>
  <c r="J87" i="15"/>
  <c r="G133" i="15"/>
  <c r="K156" i="15"/>
  <c r="I156" i="15"/>
  <c r="M156" i="15"/>
  <c r="L156" i="15"/>
  <c r="J156" i="15"/>
  <c r="F23" i="16"/>
  <c r="K97" i="16"/>
  <c r="J97" i="16"/>
  <c r="I97" i="16"/>
  <c r="M97" i="16"/>
  <c r="H105" i="16"/>
  <c r="L97" i="16"/>
  <c r="L130" i="16"/>
  <c r="J130" i="16"/>
  <c r="I130" i="16"/>
  <c r="K130" i="16"/>
  <c r="G147" i="16"/>
  <c r="AA45" i="18"/>
  <c r="Z45" i="18"/>
  <c r="AB45" i="18"/>
  <c r="J65" i="18"/>
  <c r="I65" i="18"/>
  <c r="H64" i="18"/>
  <c r="P92" i="18"/>
  <c r="U120" i="18"/>
  <c r="J97" i="8"/>
  <c r="H99" i="8"/>
  <c r="L103" i="8"/>
  <c r="J105" i="8"/>
  <c r="S10" i="9"/>
  <c r="R10" i="9"/>
  <c r="I11" i="9"/>
  <c r="G13" i="9"/>
  <c r="P13" i="9"/>
  <c r="O13" i="9"/>
  <c r="E15" i="9"/>
  <c r="M15" i="9"/>
  <c r="S18" i="9"/>
  <c r="R18" i="9"/>
  <c r="I19" i="9"/>
  <c r="G21" i="9"/>
  <c r="P21" i="9"/>
  <c r="O21" i="9"/>
  <c r="D11" i="11"/>
  <c r="D15" i="11"/>
  <c r="D19" i="11"/>
  <c r="D31" i="11"/>
  <c r="D35" i="11"/>
  <c r="D39" i="11"/>
  <c r="D55" i="11"/>
  <c r="D59" i="11"/>
  <c r="D63" i="11"/>
  <c r="J55" i="13"/>
  <c r="M55" i="13"/>
  <c r="L55" i="13"/>
  <c r="M59" i="13"/>
  <c r="M88" i="13"/>
  <c r="J124" i="13"/>
  <c r="M124" i="13"/>
  <c r="L124" i="13"/>
  <c r="M128" i="13"/>
  <c r="M157" i="13"/>
  <c r="V14" i="14"/>
  <c r="U14" i="14"/>
  <c r="U19" i="14"/>
  <c r="T19" i="14"/>
  <c r="V19" i="14"/>
  <c r="K22" i="14"/>
  <c r="J22" i="14"/>
  <c r="I22" i="14"/>
  <c r="E65" i="14"/>
  <c r="F107" i="14"/>
  <c r="K114" i="14"/>
  <c r="J114" i="14"/>
  <c r="I114" i="14"/>
  <c r="G149" i="14"/>
  <c r="L26" i="15"/>
  <c r="J26" i="15"/>
  <c r="I26" i="15"/>
  <c r="M26" i="15"/>
  <c r="K26" i="15"/>
  <c r="L95" i="15"/>
  <c r="J95" i="15"/>
  <c r="I95" i="15"/>
  <c r="M95" i="15"/>
  <c r="K95" i="15"/>
  <c r="E147" i="15"/>
  <c r="D65" i="16"/>
  <c r="K157" i="16"/>
  <c r="J157" i="16"/>
  <c r="I157" i="16"/>
  <c r="L157" i="16"/>
  <c r="D23" i="17"/>
  <c r="J67" i="18"/>
  <c r="I67" i="18"/>
  <c r="AA75" i="18"/>
  <c r="Z75" i="18"/>
  <c r="L100" i="8"/>
  <c r="J102" i="8"/>
  <c r="L108" i="8"/>
  <c r="S11" i="9"/>
  <c r="R11" i="9"/>
  <c r="I12" i="9"/>
  <c r="G14" i="9"/>
  <c r="P14" i="9"/>
  <c r="O14" i="9"/>
  <c r="E16" i="9"/>
  <c r="M16" i="9"/>
  <c r="S19" i="9"/>
  <c r="R19" i="9"/>
  <c r="I20" i="9"/>
  <c r="D76" i="11"/>
  <c r="D80" i="11"/>
  <c r="D84" i="11"/>
  <c r="D96" i="11"/>
  <c r="D100" i="11"/>
  <c r="D104" i="11"/>
  <c r="D108" i="11"/>
  <c r="M12" i="13"/>
  <c r="M28" i="13"/>
  <c r="J64" i="13"/>
  <c r="M64" i="13"/>
  <c r="L64" i="13"/>
  <c r="M68" i="13"/>
  <c r="M97" i="13"/>
  <c r="M137" i="13"/>
  <c r="C23" i="14"/>
  <c r="V18" i="14"/>
  <c r="U18" i="14"/>
  <c r="F37" i="14"/>
  <c r="K31" i="14"/>
  <c r="J31" i="14"/>
  <c r="I31" i="14"/>
  <c r="K44" i="14"/>
  <c r="J44" i="14"/>
  <c r="I44" i="14"/>
  <c r="K61" i="14"/>
  <c r="J61" i="14"/>
  <c r="I61" i="14"/>
  <c r="K96" i="14"/>
  <c r="J96" i="14"/>
  <c r="I96" i="14"/>
  <c r="C135" i="14"/>
  <c r="K130" i="14"/>
  <c r="J130" i="14"/>
  <c r="I130" i="14"/>
  <c r="K12" i="15"/>
  <c r="I12" i="15"/>
  <c r="M12" i="15"/>
  <c r="L12" i="15"/>
  <c r="J12" i="15"/>
  <c r="K70" i="15"/>
  <c r="I70" i="15"/>
  <c r="M70" i="15"/>
  <c r="L70" i="15"/>
  <c r="J70" i="15"/>
  <c r="D91" i="15"/>
  <c r="K139" i="15"/>
  <c r="I139" i="15"/>
  <c r="H147" i="15"/>
  <c r="M139" i="15"/>
  <c r="L139" i="15"/>
  <c r="J139" i="15"/>
  <c r="K32" i="16"/>
  <c r="J32" i="16"/>
  <c r="L32" i="16"/>
  <c r="I32" i="16"/>
  <c r="D49" i="16"/>
  <c r="G65" i="16"/>
  <c r="C91" i="16"/>
  <c r="F107" i="16"/>
  <c r="D21" i="17"/>
  <c r="D35" i="17"/>
  <c r="S67" i="18"/>
  <c r="R67" i="18"/>
  <c r="J114" i="18"/>
  <c r="I114" i="18"/>
  <c r="F132" i="18"/>
  <c r="E9" i="9"/>
  <c r="M9" i="9"/>
  <c r="R12" i="9"/>
  <c r="S12" i="9"/>
  <c r="I13" i="9"/>
  <c r="G15" i="9"/>
  <c r="O15" i="9"/>
  <c r="P15" i="9"/>
  <c r="E17" i="9"/>
  <c r="M17" i="9"/>
  <c r="R20" i="9"/>
  <c r="S20" i="9"/>
  <c r="I21" i="9"/>
  <c r="D8" i="11"/>
  <c r="D12" i="11"/>
  <c r="D16" i="11"/>
  <c r="D20" i="11"/>
  <c r="D32" i="11"/>
  <c r="D36" i="11"/>
  <c r="D40" i="11"/>
  <c r="D52" i="11"/>
  <c r="D56" i="11"/>
  <c r="D60" i="11"/>
  <c r="D64" i="11"/>
  <c r="A14" i="12"/>
  <c r="N15" i="12"/>
  <c r="M15" i="12"/>
  <c r="M37" i="13"/>
  <c r="J72" i="13"/>
  <c r="L72" i="13"/>
  <c r="M72" i="13"/>
  <c r="M106" i="13"/>
  <c r="J141" i="13"/>
  <c r="L141" i="13"/>
  <c r="M141" i="13"/>
  <c r="M145" i="13"/>
  <c r="J11" i="14"/>
  <c r="I11" i="14"/>
  <c r="K11" i="14"/>
  <c r="D23" i="14"/>
  <c r="G37" i="14"/>
  <c r="J36" i="14"/>
  <c r="I36" i="14"/>
  <c r="K36" i="14"/>
  <c r="K54" i="14"/>
  <c r="J54" i="14"/>
  <c r="I54" i="14"/>
  <c r="C93" i="14"/>
  <c r="K88" i="14"/>
  <c r="J88" i="14"/>
  <c r="I88" i="14"/>
  <c r="K123" i="14"/>
  <c r="J123" i="14"/>
  <c r="I123" i="14"/>
  <c r="D135" i="14"/>
  <c r="L146" i="15"/>
  <c r="J146" i="15"/>
  <c r="I146" i="15"/>
  <c r="M146" i="15"/>
  <c r="K146" i="15"/>
  <c r="F161" i="15"/>
  <c r="C35" i="16"/>
  <c r="E21" i="17"/>
  <c r="W20" i="18"/>
  <c r="S97" i="18"/>
  <c r="R97" i="18"/>
  <c r="O106" i="18"/>
  <c r="V134" i="18"/>
  <c r="E10" i="9"/>
  <c r="M10" i="9"/>
  <c r="R13" i="9"/>
  <c r="S13" i="9"/>
  <c r="I14" i="9"/>
  <c r="G16" i="9"/>
  <c r="O16" i="9"/>
  <c r="P16" i="9"/>
  <c r="E18" i="9"/>
  <c r="M18" i="9"/>
  <c r="H16" i="10"/>
  <c r="D77" i="11"/>
  <c r="D81" i="11"/>
  <c r="D85" i="11"/>
  <c r="D97" i="11"/>
  <c r="D101" i="11"/>
  <c r="D105" i="11"/>
  <c r="M10" i="13"/>
  <c r="M45" i="13"/>
  <c r="J81" i="13"/>
  <c r="M81" i="13"/>
  <c r="L81" i="13"/>
  <c r="M85" i="13"/>
  <c r="M114" i="13"/>
  <c r="J150" i="13"/>
  <c r="M150" i="13"/>
  <c r="L150" i="13"/>
  <c r="M154" i="13"/>
  <c r="G23" i="14"/>
  <c r="V22" i="14"/>
  <c r="U22" i="14"/>
  <c r="K27" i="14"/>
  <c r="J27" i="14"/>
  <c r="I27" i="14"/>
  <c r="K70" i="14"/>
  <c r="J70" i="14"/>
  <c r="I70" i="14"/>
  <c r="K104" i="14"/>
  <c r="J104" i="14"/>
  <c r="I104" i="14"/>
  <c r="K139" i="14"/>
  <c r="J139" i="14"/>
  <c r="I139" i="14"/>
  <c r="K53" i="15"/>
  <c r="I53" i="15"/>
  <c r="M53" i="15"/>
  <c r="L53" i="15"/>
  <c r="J53" i="15"/>
  <c r="E105" i="15"/>
  <c r="K122" i="15"/>
  <c r="I122" i="15"/>
  <c r="M122" i="15"/>
  <c r="L122" i="15"/>
  <c r="J122" i="15"/>
  <c r="E35" i="16"/>
  <c r="K101" i="16"/>
  <c r="J101" i="16"/>
  <c r="L101" i="16"/>
  <c r="I101" i="16"/>
  <c r="F9" i="17"/>
  <c r="J18" i="17"/>
  <c r="I18" i="17"/>
  <c r="L18" i="17"/>
  <c r="K18" i="17"/>
  <c r="M131" i="17"/>
  <c r="F50" i="18"/>
  <c r="AA97" i="18"/>
  <c r="Z97" i="18"/>
  <c r="K12" i="14"/>
  <c r="I12" i="14"/>
  <c r="J12" i="14"/>
  <c r="E23" i="14"/>
  <c r="K20" i="14"/>
  <c r="I20" i="14"/>
  <c r="J20" i="14"/>
  <c r="K29" i="14"/>
  <c r="I29" i="14"/>
  <c r="H37" i="14"/>
  <c r="J29" i="14"/>
  <c r="C51" i="14"/>
  <c r="K46" i="14"/>
  <c r="I46" i="14"/>
  <c r="J46" i="14"/>
  <c r="K55" i="14"/>
  <c r="J55" i="14"/>
  <c r="I55" i="14"/>
  <c r="F65" i="14"/>
  <c r="K63" i="14"/>
  <c r="J63" i="14"/>
  <c r="I63" i="14"/>
  <c r="K72" i="14"/>
  <c r="J72" i="14"/>
  <c r="I72" i="14"/>
  <c r="K81" i="14"/>
  <c r="J81" i="14"/>
  <c r="I81" i="14"/>
  <c r="D93" i="14"/>
  <c r="K89" i="14"/>
  <c r="J89" i="14"/>
  <c r="I89" i="14"/>
  <c r="K98" i="14"/>
  <c r="J98" i="14"/>
  <c r="I98" i="14"/>
  <c r="G107" i="14"/>
  <c r="K106" i="14"/>
  <c r="J106" i="14"/>
  <c r="I106" i="14"/>
  <c r="K115" i="14"/>
  <c r="J115" i="14"/>
  <c r="I115" i="14"/>
  <c r="K124" i="14"/>
  <c r="J124" i="14"/>
  <c r="I124" i="14"/>
  <c r="E135" i="14"/>
  <c r="K132" i="14"/>
  <c r="J132" i="14"/>
  <c r="I132" i="14"/>
  <c r="H149" i="14"/>
  <c r="K141" i="14"/>
  <c r="J141" i="14"/>
  <c r="I141" i="14"/>
  <c r="J152" i="14"/>
  <c r="K152" i="14"/>
  <c r="I152" i="14"/>
  <c r="D21" i="15"/>
  <c r="I15" i="15"/>
  <c r="M15" i="15"/>
  <c r="L15" i="15"/>
  <c r="K15" i="15"/>
  <c r="J15" i="15"/>
  <c r="I25" i="15"/>
  <c r="M25" i="15"/>
  <c r="L25" i="15"/>
  <c r="K25" i="15"/>
  <c r="J25" i="15"/>
  <c r="C49" i="15"/>
  <c r="I42" i="15"/>
  <c r="M42" i="15"/>
  <c r="L42" i="15"/>
  <c r="K42" i="15"/>
  <c r="J42" i="15"/>
  <c r="D63" i="15"/>
  <c r="I59" i="15"/>
  <c r="M59" i="15"/>
  <c r="L59" i="15"/>
  <c r="K59" i="15"/>
  <c r="J59" i="15"/>
  <c r="E77" i="15"/>
  <c r="I76" i="15"/>
  <c r="M76" i="15"/>
  <c r="L76" i="15"/>
  <c r="K76" i="15"/>
  <c r="J76" i="15"/>
  <c r="F91" i="15"/>
  <c r="I94" i="15"/>
  <c r="M94" i="15"/>
  <c r="L94" i="15"/>
  <c r="K94" i="15"/>
  <c r="J94" i="15"/>
  <c r="G105" i="15"/>
  <c r="I111" i="15"/>
  <c r="M111" i="15"/>
  <c r="L111" i="15"/>
  <c r="H119" i="15"/>
  <c r="K111" i="15"/>
  <c r="J111" i="15"/>
  <c r="I128" i="15"/>
  <c r="M128" i="15"/>
  <c r="L128" i="15"/>
  <c r="K128" i="15"/>
  <c r="J128" i="15"/>
  <c r="I145" i="15"/>
  <c r="M145" i="15"/>
  <c r="L145" i="15"/>
  <c r="K145" i="15"/>
  <c r="J145" i="15"/>
  <c r="M24" i="16"/>
  <c r="H23" i="16"/>
  <c r="K24" i="16"/>
  <c r="J24" i="16"/>
  <c r="L24" i="16"/>
  <c r="I24" i="16"/>
  <c r="G35" i="16"/>
  <c r="K41" i="16"/>
  <c r="J41" i="16"/>
  <c r="L41" i="16"/>
  <c r="H49" i="16"/>
  <c r="I41" i="16"/>
  <c r="C51" i="16"/>
  <c r="L70" i="16"/>
  <c r="J70" i="16"/>
  <c r="I70" i="16"/>
  <c r="K70" i="16"/>
  <c r="D91" i="16"/>
  <c r="G107" i="16"/>
  <c r="K110" i="16"/>
  <c r="J110" i="16"/>
  <c r="L110" i="16"/>
  <c r="I110" i="16"/>
  <c r="L139" i="16"/>
  <c r="J139" i="16"/>
  <c r="I139" i="16"/>
  <c r="H147" i="16"/>
  <c r="K139" i="16"/>
  <c r="E149" i="16"/>
  <c r="M130" i="17"/>
  <c r="H21" i="17"/>
  <c r="K13" i="17"/>
  <c r="J13" i="17"/>
  <c r="I13" i="17"/>
  <c r="M13" i="17"/>
  <c r="L13" i="17"/>
  <c r="M15" i="17"/>
  <c r="K15" i="17"/>
  <c r="J15" i="17"/>
  <c r="L15" i="17"/>
  <c r="I15" i="17"/>
  <c r="E23" i="17"/>
  <c r="K28" i="17"/>
  <c r="J28" i="17"/>
  <c r="L28" i="17"/>
  <c r="I28" i="17"/>
  <c r="D49" i="17"/>
  <c r="J48" i="17"/>
  <c r="I48" i="17"/>
  <c r="L48" i="17"/>
  <c r="K48" i="17"/>
  <c r="M157" i="17"/>
  <c r="D8" i="18"/>
  <c r="K11" i="18"/>
  <c r="J11" i="18"/>
  <c r="I11" i="18"/>
  <c r="S15" i="18"/>
  <c r="R15" i="18"/>
  <c r="F22" i="18"/>
  <c r="N50" i="18"/>
  <c r="P64" i="18"/>
  <c r="J84" i="18"/>
  <c r="I84" i="18"/>
  <c r="K86" i="18"/>
  <c r="J86" i="18"/>
  <c r="I86" i="18"/>
  <c r="X92" i="18"/>
  <c r="D118" i="18"/>
  <c r="G132" i="18"/>
  <c r="J136" i="18"/>
  <c r="I136" i="18"/>
  <c r="L146" i="18"/>
  <c r="AA144" i="18"/>
  <c r="Z144" i="18"/>
  <c r="AB144" i="18"/>
  <c r="N160" i="18"/>
  <c r="K13" i="14"/>
  <c r="J13" i="14"/>
  <c r="I13" i="14"/>
  <c r="F23" i="14"/>
  <c r="K21" i="14"/>
  <c r="J21" i="14"/>
  <c r="I21" i="14"/>
  <c r="K30" i="14"/>
  <c r="J30" i="14"/>
  <c r="I30" i="14"/>
  <c r="K39" i="14"/>
  <c r="J39" i="14"/>
  <c r="I39" i="14"/>
  <c r="D51" i="14"/>
  <c r="K47" i="14"/>
  <c r="J47" i="14"/>
  <c r="I47" i="14"/>
  <c r="K56" i="14"/>
  <c r="J56" i="14"/>
  <c r="I56" i="14"/>
  <c r="G65" i="14"/>
  <c r="K64" i="14"/>
  <c r="J64" i="14"/>
  <c r="I64" i="14"/>
  <c r="K73" i="14"/>
  <c r="J73" i="14"/>
  <c r="I73" i="14"/>
  <c r="K82" i="14"/>
  <c r="J82" i="14"/>
  <c r="I82" i="14"/>
  <c r="E93" i="14"/>
  <c r="K90" i="14"/>
  <c r="J90" i="14"/>
  <c r="I90" i="14"/>
  <c r="K99" i="14"/>
  <c r="J99" i="14"/>
  <c r="I99" i="14"/>
  <c r="H107" i="14"/>
  <c r="C121" i="14"/>
  <c r="K116" i="14"/>
  <c r="J116" i="14"/>
  <c r="I116" i="14"/>
  <c r="K125" i="14"/>
  <c r="J125" i="14"/>
  <c r="I125" i="14"/>
  <c r="F135" i="14"/>
  <c r="K133" i="14"/>
  <c r="J133" i="14"/>
  <c r="I133" i="14"/>
  <c r="K142" i="14"/>
  <c r="J142" i="14"/>
  <c r="I142" i="14"/>
  <c r="K151" i="14"/>
  <c r="J151" i="14"/>
  <c r="I151" i="14"/>
  <c r="D163" i="14"/>
  <c r="K157" i="14"/>
  <c r="I157" i="14"/>
  <c r="J157" i="14"/>
  <c r="M10" i="15"/>
  <c r="K10" i="15"/>
  <c r="J10" i="15"/>
  <c r="L10" i="15"/>
  <c r="I10" i="15"/>
  <c r="F21" i="15"/>
  <c r="M18" i="15"/>
  <c r="K18" i="15"/>
  <c r="J18" i="15"/>
  <c r="L18" i="15"/>
  <c r="I18" i="15"/>
  <c r="D35" i="15"/>
  <c r="M31" i="15"/>
  <c r="K31" i="15"/>
  <c r="J31" i="15"/>
  <c r="L31" i="15"/>
  <c r="I31" i="15"/>
  <c r="E49" i="15"/>
  <c r="M48" i="15"/>
  <c r="K48" i="15"/>
  <c r="J48" i="15"/>
  <c r="L48" i="15"/>
  <c r="I48" i="15"/>
  <c r="F63" i="15"/>
  <c r="M66" i="15"/>
  <c r="K66" i="15"/>
  <c r="J66" i="15"/>
  <c r="L66" i="15"/>
  <c r="I66" i="15"/>
  <c r="G77" i="15"/>
  <c r="M83" i="15"/>
  <c r="K83" i="15"/>
  <c r="J83" i="15"/>
  <c r="H91" i="15"/>
  <c r="L83" i="15"/>
  <c r="I83" i="15"/>
  <c r="M100" i="15"/>
  <c r="K100" i="15"/>
  <c r="J100" i="15"/>
  <c r="L100" i="15"/>
  <c r="I100" i="15"/>
  <c r="M117" i="15"/>
  <c r="K117" i="15"/>
  <c r="J117" i="15"/>
  <c r="L117" i="15"/>
  <c r="I117" i="15"/>
  <c r="M135" i="15"/>
  <c r="K135" i="15"/>
  <c r="J135" i="15"/>
  <c r="L135" i="15"/>
  <c r="I135" i="15"/>
  <c r="M152" i="15"/>
  <c r="K152" i="15"/>
  <c r="J152" i="15"/>
  <c r="L152" i="15"/>
  <c r="I152" i="15"/>
  <c r="L16" i="16"/>
  <c r="J16" i="16"/>
  <c r="I16" i="16"/>
  <c r="M16" i="16"/>
  <c r="K16" i="16"/>
  <c r="L27" i="16"/>
  <c r="J27" i="16"/>
  <c r="I27" i="16"/>
  <c r="H35" i="16"/>
  <c r="K27" i="16"/>
  <c r="K45" i="16"/>
  <c r="J45" i="16"/>
  <c r="I45" i="16"/>
  <c r="L45" i="16"/>
  <c r="F51" i="16"/>
  <c r="G91" i="16"/>
  <c r="E93" i="16"/>
  <c r="K114" i="16"/>
  <c r="J114" i="16"/>
  <c r="I114" i="16"/>
  <c r="L114" i="16"/>
  <c r="K118" i="16"/>
  <c r="J118" i="16"/>
  <c r="L118" i="16"/>
  <c r="I118" i="16"/>
  <c r="F133" i="16"/>
  <c r="Q9" i="17"/>
  <c r="E49" i="17"/>
  <c r="K45" i="17"/>
  <c r="J45" i="17"/>
  <c r="M45" i="17"/>
  <c r="L45" i="17"/>
  <c r="I45" i="17"/>
  <c r="M8" i="18"/>
  <c r="J32" i="18"/>
  <c r="I32" i="18"/>
  <c r="AA41" i="18"/>
  <c r="Z41" i="18"/>
  <c r="AB41" i="18"/>
  <c r="W50" i="18"/>
  <c r="E90" i="18"/>
  <c r="L118" i="18"/>
  <c r="AA114" i="18"/>
  <c r="Z114" i="18"/>
  <c r="O132" i="18"/>
  <c r="S136" i="18"/>
  <c r="R136" i="18"/>
  <c r="V160" i="18"/>
  <c r="S158" i="18"/>
  <c r="R158" i="18"/>
  <c r="I35" i="21"/>
  <c r="H35" i="21"/>
  <c r="J35" i="21"/>
  <c r="K48" i="14"/>
  <c r="J48" i="14"/>
  <c r="I48" i="14"/>
  <c r="K57" i="14"/>
  <c r="J57" i="14"/>
  <c r="I57" i="14"/>
  <c r="H65" i="14"/>
  <c r="C79" i="14"/>
  <c r="K74" i="14"/>
  <c r="J74" i="14"/>
  <c r="I74" i="14"/>
  <c r="K83" i="14"/>
  <c r="J83" i="14"/>
  <c r="I83" i="14"/>
  <c r="F93" i="14"/>
  <c r="K91" i="14"/>
  <c r="J91" i="14"/>
  <c r="I91" i="14"/>
  <c r="K100" i="14"/>
  <c r="J100" i="14"/>
  <c r="I100" i="14"/>
  <c r="K109" i="14"/>
  <c r="J109" i="14"/>
  <c r="I109" i="14"/>
  <c r="D121" i="14"/>
  <c r="K117" i="14"/>
  <c r="J117" i="14"/>
  <c r="I117" i="14"/>
  <c r="K126" i="14"/>
  <c r="J126" i="14"/>
  <c r="I126" i="14"/>
  <c r="G135" i="14"/>
  <c r="K134" i="14"/>
  <c r="J134" i="14"/>
  <c r="I134" i="14"/>
  <c r="K143" i="14"/>
  <c r="J143" i="14"/>
  <c r="I143" i="14"/>
  <c r="E163" i="14"/>
  <c r="G21" i="15"/>
  <c r="W19" i="15"/>
  <c r="Y19" i="15"/>
  <c r="E35" i="15"/>
  <c r="L34" i="15"/>
  <c r="J34" i="15"/>
  <c r="I34" i="15"/>
  <c r="M34" i="15"/>
  <c r="K34" i="15"/>
  <c r="F49" i="15"/>
  <c r="L52" i="15"/>
  <c r="J52" i="15"/>
  <c r="I52" i="15"/>
  <c r="M52" i="15"/>
  <c r="K52" i="15"/>
  <c r="G63" i="15"/>
  <c r="L69" i="15"/>
  <c r="J69" i="15"/>
  <c r="I69" i="15"/>
  <c r="M69" i="15"/>
  <c r="K69" i="15"/>
  <c r="H77" i="15"/>
  <c r="L86" i="15"/>
  <c r="J86" i="15"/>
  <c r="I86" i="15"/>
  <c r="M86" i="15"/>
  <c r="K86" i="15"/>
  <c r="L103" i="15"/>
  <c r="J103" i="15"/>
  <c r="I103" i="15"/>
  <c r="M103" i="15"/>
  <c r="K103" i="15"/>
  <c r="L121" i="15"/>
  <c r="J121" i="15"/>
  <c r="I121" i="15"/>
  <c r="M121" i="15"/>
  <c r="K121" i="15"/>
  <c r="L138" i="15"/>
  <c r="J138" i="15"/>
  <c r="I138" i="15"/>
  <c r="M138" i="15"/>
  <c r="K138" i="15"/>
  <c r="L155" i="15"/>
  <c r="J155" i="15"/>
  <c r="I155" i="15"/>
  <c r="M155" i="15"/>
  <c r="K155" i="15"/>
  <c r="R9" i="16"/>
  <c r="Z20" i="16"/>
  <c r="X20" i="16"/>
  <c r="K54" i="16"/>
  <c r="J54" i="16"/>
  <c r="I54" i="16"/>
  <c r="M54" i="16"/>
  <c r="L54" i="16"/>
  <c r="K58" i="16"/>
  <c r="J58" i="16"/>
  <c r="L58" i="16"/>
  <c r="I58" i="16"/>
  <c r="C77" i="16"/>
  <c r="M87" i="16"/>
  <c r="L87" i="16"/>
  <c r="J87" i="16"/>
  <c r="I87" i="16"/>
  <c r="K87" i="16"/>
  <c r="F93" i="16"/>
  <c r="K123" i="16"/>
  <c r="J123" i="16"/>
  <c r="I123" i="16"/>
  <c r="L123" i="16"/>
  <c r="G133" i="16"/>
  <c r="M127" i="16"/>
  <c r="K127" i="16"/>
  <c r="J127" i="16"/>
  <c r="L127" i="16"/>
  <c r="I127" i="16"/>
  <c r="D135" i="16"/>
  <c r="L156" i="16"/>
  <c r="J156" i="16"/>
  <c r="I156" i="16"/>
  <c r="K156" i="16"/>
  <c r="E37" i="17"/>
  <c r="M62" i="17"/>
  <c r="P8" i="18"/>
  <c r="AA11" i="18"/>
  <c r="Z11" i="18"/>
  <c r="AB11" i="18"/>
  <c r="D34" i="18"/>
  <c r="J30" i="18"/>
  <c r="I30" i="18"/>
  <c r="S32" i="18"/>
  <c r="R32" i="18"/>
  <c r="X36" i="18"/>
  <c r="F48" i="18"/>
  <c r="N76" i="18"/>
  <c r="K80" i="18"/>
  <c r="J80" i="18"/>
  <c r="I80" i="18"/>
  <c r="P90" i="18"/>
  <c r="S84" i="18"/>
  <c r="R84" i="18"/>
  <c r="J103" i="18"/>
  <c r="I103" i="18"/>
  <c r="X118" i="18"/>
  <c r="J153" i="18"/>
  <c r="I153" i="18"/>
  <c r="J155" i="18"/>
  <c r="I155" i="18"/>
  <c r="M14" i="13"/>
  <c r="M18" i="13"/>
  <c r="M24" i="13"/>
  <c r="M32" i="13"/>
  <c r="J15" i="14"/>
  <c r="I15" i="14"/>
  <c r="H23" i="14"/>
  <c r="K15" i="14"/>
  <c r="U15" i="14"/>
  <c r="T15" i="14"/>
  <c r="V15" i="14"/>
  <c r="C37" i="14"/>
  <c r="J32" i="14"/>
  <c r="I32" i="14"/>
  <c r="K32" i="14"/>
  <c r="J41" i="14"/>
  <c r="I41" i="14"/>
  <c r="K41" i="14"/>
  <c r="F51" i="14"/>
  <c r="J49" i="14"/>
  <c r="I49" i="14"/>
  <c r="K49" i="14"/>
  <c r="J58" i="14"/>
  <c r="I58" i="14"/>
  <c r="K58" i="14"/>
  <c r="J67" i="14"/>
  <c r="I67" i="14"/>
  <c r="K67" i="14"/>
  <c r="D79" i="14"/>
  <c r="J75" i="14"/>
  <c r="I75" i="14"/>
  <c r="K75" i="14"/>
  <c r="J84" i="14"/>
  <c r="I84" i="14"/>
  <c r="K84" i="14"/>
  <c r="G93" i="14"/>
  <c r="J92" i="14"/>
  <c r="I92" i="14"/>
  <c r="K92" i="14"/>
  <c r="J101" i="14"/>
  <c r="I101" i="14"/>
  <c r="K101" i="14"/>
  <c r="J110" i="14"/>
  <c r="I110" i="14"/>
  <c r="K110" i="14"/>
  <c r="E121" i="14"/>
  <c r="J118" i="14"/>
  <c r="I118" i="14"/>
  <c r="K118" i="14"/>
  <c r="J127" i="14"/>
  <c r="I127" i="14"/>
  <c r="H135" i="14"/>
  <c r="K127" i="14"/>
  <c r="C149" i="14"/>
  <c r="J144" i="14"/>
  <c r="I144" i="14"/>
  <c r="K144" i="14"/>
  <c r="F163" i="14"/>
  <c r="J156" i="14"/>
  <c r="K156" i="14"/>
  <c r="I156" i="14"/>
  <c r="K159" i="14"/>
  <c r="I159" i="14"/>
  <c r="J159" i="14"/>
  <c r="K16" i="15"/>
  <c r="I16" i="15"/>
  <c r="L16" i="15"/>
  <c r="J16" i="15"/>
  <c r="M16" i="15"/>
  <c r="K27" i="15"/>
  <c r="I27" i="15"/>
  <c r="L27" i="15"/>
  <c r="J27" i="15"/>
  <c r="M27" i="15"/>
  <c r="H35" i="15"/>
  <c r="K44" i="15"/>
  <c r="I44" i="15"/>
  <c r="L44" i="15"/>
  <c r="J44" i="15"/>
  <c r="M44" i="15"/>
  <c r="K61" i="15"/>
  <c r="I61" i="15"/>
  <c r="L61" i="15"/>
  <c r="J61" i="15"/>
  <c r="M61" i="15"/>
  <c r="K79" i="15"/>
  <c r="I79" i="15"/>
  <c r="L79" i="15"/>
  <c r="J79" i="15"/>
  <c r="M79" i="15"/>
  <c r="K96" i="15"/>
  <c r="I96" i="15"/>
  <c r="L96" i="15"/>
  <c r="J96" i="15"/>
  <c r="M96" i="15"/>
  <c r="K113" i="15"/>
  <c r="I113" i="15"/>
  <c r="L113" i="15"/>
  <c r="J113" i="15"/>
  <c r="M113" i="15"/>
  <c r="K130" i="15"/>
  <c r="I130" i="15"/>
  <c r="L130" i="15"/>
  <c r="J130" i="15"/>
  <c r="M130" i="15"/>
  <c r="T9" i="16"/>
  <c r="I26" i="16"/>
  <c r="L26" i="16"/>
  <c r="K26" i="16"/>
  <c r="J26" i="16"/>
  <c r="E37" i="16"/>
  <c r="K62" i="16"/>
  <c r="J62" i="16"/>
  <c r="I62" i="16"/>
  <c r="L62" i="16"/>
  <c r="K67" i="16"/>
  <c r="J67" i="16"/>
  <c r="L67" i="16"/>
  <c r="I67" i="16"/>
  <c r="F77" i="16"/>
  <c r="D79" i="16"/>
  <c r="M96" i="16"/>
  <c r="L96" i="16"/>
  <c r="J96" i="16"/>
  <c r="I96" i="16"/>
  <c r="K96" i="16"/>
  <c r="E119" i="16"/>
  <c r="K131" i="16"/>
  <c r="J131" i="16"/>
  <c r="I131" i="16"/>
  <c r="L131" i="16"/>
  <c r="H135" i="16"/>
  <c r="K136" i="16"/>
  <c r="J136" i="16"/>
  <c r="L136" i="16"/>
  <c r="I136" i="16"/>
  <c r="F37" i="17"/>
  <c r="M71" i="17"/>
  <c r="M80" i="17"/>
  <c r="H79" i="17"/>
  <c r="M100" i="17"/>
  <c r="X8" i="18"/>
  <c r="E34" i="18"/>
  <c r="K52" i="18"/>
  <c r="J52" i="18"/>
  <c r="I52" i="18"/>
  <c r="L62" i="18"/>
  <c r="O76" i="18"/>
  <c r="V104" i="18"/>
  <c r="J101" i="18"/>
  <c r="I101" i="18"/>
  <c r="AA110" i="18"/>
  <c r="Z110" i="18"/>
  <c r="Y118" i="18"/>
  <c r="S131" i="18"/>
  <c r="R131" i="18"/>
  <c r="D148" i="18"/>
  <c r="I16" i="14"/>
  <c r="K16" i="14"/>
  <c r="J16" i="14"/>
  <c r="I25" i="14"/>
  <c r="K25" i="14"/>
  <c r="J25" i="14"/>
  <c r="D37" i="14"/>
  <c r="I33" i="14"/>
  <c r="K33" i="14"/>
  <c r="J33" i="14"/>
  <c r="I42" i="14"/>
  <c r="J42" i="14"/>
  <c r="K42" i="14"/>
  <c r="G51" i="14"/>
  <c r="I50" i="14"/>
  <c r="J50" i="14"/>
  <c r="K50" i="14"/>
  <c r="I59" i="14"/>
  <c r="K59" i="14"/>
  <c r="J59" i="14"/>
  <c r="I68" i="14"/>
  <c r="K68" i="14"/>
  <c r="J68" i="14"/>
  <c r="E79" i="14"/>
  <c r="I76" i="14"/>
  <c r="K76" i="14"/>
  <c r="J76" i="14"/>
  <c r="I85" i="14"/>
  <c r="H93" i="14"/>
  <c r="J85" i="14"/>
  <c r="K85" i="14"/>
  <c r="C107" i="14"/>
  <c r="I102" i="14"/>
  <c r="K102" i="14"/>
  <c r="J102" i="14"/>
  <c r="I111" i="14"/>
  <c r="K111" i="14"/>
  <c r="J111" i="14"/>
  <c r="F121" i="14"/>
  <c r="I119" i="14"/>
  <c r="J119" i="14"/>
  <c r="K119" i="14"/>
  <c r="I128" i="14"/>
  <c r="K128" i="14"/>
  <c r="J128" i="14"/>
  <c r="I137" i="14"/>
  <c r="K137" i="14"/>
  <c r="J137" i="14"/>
  <c r="D149" i="14"/>
  <c r="I145" i="14"/>
  <c r="K145" i="14"/>
  <c r="J145" i="14"/>
  <c r="I148" i="14"/>
  <c r="J148" i="14"/>
  <c r="K148" i="14"/>
  <c r="K155" i="14"/>
  <c r="H163" i="14"/>
  <c r="I155" i="14"/>
  <c r="J155" i="14"/>
  <c r="I161" i="14"/>
  <c r="J161" i="14"/>
  <c r="K161" i="14"/>
  <c r="I11" i="15"/>
  <c r="M11" i="15"/>
  <c r="L11" i="15"/>
  <c r="J11" i="15"/>
  <c r="K11" i="15"/>
  <c r="I19" i="15"/>
  <c r="M19" i="15"/>
  <c r="L19" i="15"/>
  <c r="J19" i="15"/>
  <c r="K19" i="15"/>
  <c r="I33" i="15"/>
  <c r="M33" i="15"/>
  <c r="L33" i="15"/>
  <c r="J33" i="15"/>
  <c r="K33" i="15"/>
  <c r="I51" i="15"/>
  <c r="M51" i="15"/>
  <c r="L51" i="15"/>
  <c r="J51" i="15"/>
  <c r="K51" i="15"/>
  <c r="I68" i="15"/>
  <c r="M68" i="15"/>
  <c r="L68" i="15"/>
  <c r="J68" i="15"/>
  <c r="K68" i="15"/>
  <c r="I85" i="15"/>
  <c r="M85" i="15"/>
  <c r="L85" i="15"/>
  <c r="J85" i="15"/>
  <c r="K85" i="15"/>
  <c r="I102" i="15"/>
  <c r="M102" i="15"/>
  <c r="L102" i="15"/>
  <c r="J102" i="15"/>
  <c r="K102" i="15"/>
  <c r="I137" i="15"/>
  <c r="M137" i="15"/>
  <c r="L137" i="15"/>
  <c r="J137" i="15"/>
  <c r="K137" i="15"/>
  <c r="C161" i="15"/>
  <c r="I154" i="15"/>
  <c r="M154" i="15"/>
  <c r="L154" i="15"/>
  <c r="J154" i="15"/>
  <c r="K154" i="15"/>
  <c r="C9" i="16"/>
  <c r="X10" i="16"/>
  <c r="Z10" i="16"/>
  <c r="X18" i="16"/>
  <c r="Z18" i="16"/>
  <c r="K71" i="16"/>
  <c r="J71" i="16"/>
  <c r="I71" i="16"/>
  <c r="L71" i="16"/>
  <c r="K75" i="16"/>
  <c r="J75" i="16"/>
  <c r="I75" i="16"/>
  <c r="L75" i="16"/>
  <c r="E79" i="16"/>
  <c r="M104" i="16"/>
  <c r="L104" i="16"/>
  <c r="J104" i="16"/>
  <c r="I104" i="16"/>
  <c r="K104" i="16"/>
  <c r="F119" i="16"/>
  <c r="C121" i="16"/>
  <c r="K140" i="16"/>
  <c r="J140" i="16"/>
  <c r="I140" i="16"/>
  <c r="L140" i="16"/>
  <c r="M144" i="16"/>
  <c r="K144" i="16"/>
  <c r="J144" i="16"/>
  <c r="I144" i="16"/>
  <c r="L144" i="16"/>
  <c r="D161" i="16"/>
  <c r="W12" i="17"/>
  <c r="Y12" i="17"/>
  <c r="M88" i="17"/>
  <c r="M97" i="17"/>
  <c r="M117" i="17"/>
  <c r="M34" i="18"/>
  <c r="S28" i="18"/>
  <c r="R28" i="18"/>
  <c r="W76" i="18"/>
  <c r="AA80" i="18"/>
  <c r="Z80" i="18"/>
  <c r="K99" i="18"/>
  <c r="J99" i="18"/>
  <c r="I99" i="18"/>
  <c r="S101" i="18"/>
  <c r="R101" i="18"/>
  <c r="AA131" i="18"/>
  <c r="Z131" i="18"/>
  <c r="AB131" i="18"/>
  <c r="C134" i="18"/>
  <c r="H148" i="18"/>
  <c r="K149" i="18"/>
  <c r="J149" i="18"/>
  <c r="I149" i="18"/>
  <c r="S153" i="18"/>
  <c r="R153" i="18"/>
  <c r="T153" i="18"/>
  <c r="H34" i="19"/>
  <c r="D78" i="21"/>
  <c r="K17" i="14"/>
  <c r="J17" i="14"/>
  <c r="I17" i="14"/>
  <c r="K26" i="14"/>
  <c r="J26" i="14"/>
  <c r="I26" i="14"/>
  <c r="E37" i="14"/>
  <c r="K34" i="14"/>
  <c r="I34" i="14"/>
  <c r="J34" i="14"/>
  <c r="H51" i="14"/>
  <c r="K43" i="14"/>
  <c r="J43" i="14"/>
  <c r="I43" i="14"/>
  <c r="C65" i="14"/>
  <c r="K60" i="14"/>
  <c r="J60" i="14"/>
  <c r="I60" i="14"/>
  <c r="K69" i="14"/>
  <c r="J69" i="14"/>
  <c r="I69" i="14"/>
  <c r="F79" i="14"/>
  <c r="K77" i="14"/>
  <c r="I77" i="14"/>
  <c r="J77" i="14"/>
  <c r="K86" i="14"/>
  <c r="J86" i="14"/>
  <c r="I86" i="14"/>
  <c r="K95" i="14"/>
  <c r="J95" i="14"/>
  <c r="I95" i="14"/>
  <c r="D107" i="14"/>
  <c r="K103" i="14"/>
  <c r="J103" i="14"/>
  <c r="I103" i="14"/>
  <c r="K112" i="14"/>
  <c r="I112" i="14"/>
  <c r="J112" i="14"/>
  <c r="G121" i="14"/>
  <c r="K120" i="14"/>
  <c r="J120" i="14"/>
  <c r="I120" i="14"/>
  <c r="K129" i="14"/>
  <c r="J129" i="14"/>
  <c r="I129" i="14"/>
  <c r="K138" i="14"/>
  <c r="J138" i="14"/>
  <c r="I138" i="14"/>
  <c r="E149" i="14"/>
  <c r="K146" i="14"/>
  <c r="I146" i="14"/>
  <c r="J146" i="14"/>
  <c r="J147" i="14"/>
  <c r="K147" i="14"/>
  <c r="I147" i="14"/>
  <c r="M14" i="15"/>
  <c r="K14" i="15"/>
  <c r="J14" i="15"/>
  <c r="L14" i="15"/>
  <c r="I14" i="15"/>
  <c r="M23" i="15"/>
  <c r="K23" i="15"/>
  <c r="J23" i="15"/>
  <c r="L23" i="15"/>
  <c r="I23" i="15"/>
  <c r="M40" i="15"/>
  <c r="K40" i="15"/>
  <c r="J40" i="15"/>
  <c r="L40" i="15"/>
  <c r="I40" i="15"/>
  <c r="M57" i="15"/>
  <c r="K57" i="15"/>
  <c r="J57" i="15"/>
  <c r="L57" i="15"/>
  <c r="I57" i="15"/>
  <c r="M74" i="15"/>
  <c r="K74" i="15"/>
  <c r="J74" i="15"/>
  <c r="L74" i="15"/>
  <c r="I74" i="15"/>
  <c r="M109" i="15"/>
  <c r="K109" i="15"/>
  <c r="J109" i="15"/>
  <c r="L109" i="15"/>
  <c r="I109" i="15"/>
  <c r="C133" i="15"/>
  <c r="M126" i="15"/>
  <c r="K126" i="15"/>
  <c r="J126" i="15"/>
  <c r="L126" i="15"/>
  <c r="I126" i="15"/>
  <c r="D147" i="15"/>
  <c r="M143" i="15"/>
  <c r="K143" i="15"/>
  <c r="J143" i="15"/>
  <c r="L143" i="15"/>
  <c r="I143" i="15"/>
  <c r="E161" i="15"/>
  <c r="M160" i="15"/>
  <c r="K160" i="15"/>
  <c r="J160" i="15"/>
  <c r="L160" i="15"/>
  <c r="I160" i="15"/>
  <c r="D9" i="16"/>
  <c r="L12" i="16"/>
  <c r="J12" i="16"/>
  <c r="I12" i="16"/>
  <c r="K12" i="16"/>
  <c r="L20" i="16"/>
  <c r="J20" i="16"/>
  <c r="I20" i="16"/>
  <c r="K20" i="16"/>
  <c r="L44" i="16"/>
  <c r="J44" i="16"/>
  <c r="I44" i="16"/>
  <c r="K44" i="16"/>
  <c r="E63" i="16"/>
  <c r="C65" i="16"/>
  <c r="K80" i="16"/>
  <c r="J80" i="16"/>
  <c r="I80" i="16"/>
  <c r="H79" i="16"/>
  <c r="M80" i="16"/>
  <c r="L80" i="16"/>
  <c r="K84" i="16"/>
  <c r="J84" i="16"/>
  <c r="L84" i="16"/>
  <c r="I84" i="16"/>
  <c r="D105" i="16"/>
  <c r="M113" i="16"/>
  <c r="L113" i="16"/>
  <c r="J113" i="16"/>
  <c r="I113" i="16"/>
  <c r="K113" i="16"/>
  <c r="G121" i="16"/>
  <c r="K153" i="16"/>
  <c r="J153" i="16"/>
  <c r="H161" i="16"/>
  <c r="L153" i="16"/>
  <c r="I153" i="16"/>
  <c r="W16" i="17"/>
  <c r="Y16" i="17"/>
  <c r="C35" i="17"/>
  <c r="F51" i="17"/>
  <c r="V20" i="18"/>
  <c r="X34" i="18"/>
  <c r="AA28" i="18"/>
  <c r="Z28" i="18"/>
  <c r="AB28" i="18"/>
  <c r="J45" i="18"/>
  <c r="I45" i="18"/>
  <c r="K69" i="18"/>
  <c r="J69" i="18"/>
  <c r="I69" i="18"/>
  <c r="F106" i="18"/>
  <c r="K121" i="18"/>
  <c r="J121" i="18"/>
  <c r="I121" i="18"/>
  <c r="H120" i="18"/>
  <c r="P148" i="18"/>
  <c r="X11" i="19"/>
  <c r="M103" i="22"/>
  <c r="L103" i="22"/>
  <c r="K103" i="22"/>
  <c r="J103" i="22"/>
  <c r="N103" i="22"/>
  <c r="M9" i="15"/>
  <c r="K9" i="15"/>
  <c r="I9" i="15"/>
  <c r="L9" i="15"/>
  <c r="J9" i="15"/>
  <c r="M13" i="15"/>
  <c r="K13" i="15"/>
  <c r="I13" i="15"/>
  <c r="H21" i="15"/>
  <c r="L13" i="15"/>
  <c r="J13" i="15"/>
  <c r="M17" i="15"/>
  <c r="K17" i="15"/>
  <c r="I17" i="15"/>
  <c r="L17" i="15"/>
  <c r="J17" i="15"/>
  <c r="F35" i="15"/>
  <c r="M29" i="15"/>
  <c r="K29" i="15"/>
  <c r="I29" i="15"/>
  <c r="L29" i="15"/>
  <c r="J29" i="15"/>
  <c r="M38" i="15"/>
  <c r="K38" i="15"/>
  <c r="I38" i="15"/>
  <c r="L38" i="15"/>
  <c r="J38" i="15"/>
  <c r="G49" i="15"/>
  <c r="M46" i="15"/>
  <c r="K46" i="15"/>
  <c r="I46" i="15"/>
  <c r="L46" i="15"/>
  <c r="J46" i="15"/>
  <c r="M55" i="15"/>
  <c r="K55" i="15"/>
  <c r="I55" i="15"/>
  <c r="H63" i="15"/>
  <c r="L55" i="15"/>
  <c r="J55" i="15"/>
  <c r="M72" i="15"/>
  <c r="K72" i="15"/>
  <c r="I72" i="15"/>
  <c r="L72" i="15"/>
  <c r="J72" i="15"/>
  <c r="M81" i="15"/>
  <c r="K81" i="15"/>
  <c r="I81" i="15"/>
  <c r="L81" i="15"/>
  <c r="J81" i="15"/>
  <c r="M89" i="15"/>
  <c r="K89" i="15"/>
  <c r="I89" i="15"/>
  <c r="L89" i="15"/>
  <c r="J89" i="15"/>
  <c r="C105" i="15"/>
  <c r="M98" i="15"/>
  <c r="K98" i="15"/>
  <c r="I98" i="15"/>
  <c r="L98" i="15"/>
  <c r="J98" i="15"/>
  <c r="M107" i="15"/>
  <c r="K107" i="15"/>
  <c r="I107" i="15"/>
  <c r="L107" i="15"/>
  <c r="J107" i="15"/>
  <c r="D119" i="15"/>
  <c r="M115" i="15"/>
  <c r="K115" i="15"/>
  <c r="I115" i="15"/>
  <c r="L115" i="15"/>
  <c r="J115" i="15"/>
  <c r="M124" i="15"/>
  <c r="K124" i="15"/>
  <c r="I124" i="15"/>
  <c r="L124" i="15"/>
  <c r="J124" i="15"/>
  <c r="E133" i="15"/>
  <c r="M132" i="15"/>
  <c r="K132" i="15"/>
  <c r="I132" i="15"/>
  <c r="L132" i="15"/>
  <c r="J132" i="15"/>
  <c r="F147" i="15"/>
  <c r="M141" i="15"/>
  <c r="K141" i="15"/>
  <c r="I141" i="15"/>
  <c r="L141" i="15"/>
  <c r="J141" i="15"/>
  <c r="M150" i="15"/>
  <c r="K150" i="15"/>
  <c r="I150" i="15"/>
  <c r="L150" i="15"/>
  <c r="J150" i="15"/>
  <c r="G161" i="15"/>
  <c r="M158" i="15"/>
  <c r="K158" i="15"/>
  <c r="I158" i="15"/>
  <c r="L158" i="15"/>
  <c r="J158" i="15"/>
  <c r="E9" i="16"/>
  <c r="C21" i="16"/>
  <c r="L30" i="16"/>
  <c r="K30" i="16"/>
  <c r="I30" i="16"/>
  <c r="J30" i="16"/>
  <c r="C37" i="16"/>
  <c r="M39" i="16"/>
  <c r="L39" i="16"/>
  <c r="K39" i="16"/>
  <c r="I39" i="16"/>
  <c r="J39" i="16"/>
  <c r="L47" i="16"/>
  <c r="K47" i="16"/>
  <c r="I47" i="16"/>
  <c r="J47" i="16"/>
  <c r="D51" i="16"/>
  <c r="C63" i="16"/>
  <c r="M56" i="16"/>
  <c r="L56" i="16"/>
  <c r="K56" i="16"/>
  <c r="I56" i="16"/>
  <c r="J56" i="16"/>
  <c r="E65" i="16"/>
  <c r="D77" i="16"/>
  <c r="L73" i="16"/>
  <c r="K73" i="16"/>
  <c r="I73" i="16"/>
  <c r="J73" i="16"/>
  <c r="F79" i="16"/>
  <c r="L82" i="16"/>
  <c r="K82" i="16"/>
  <c r="I82" i="16"/>
  <c r="J82" i="16"/>
  <c r="E91" i="16"/>
  <c r="L90" i="16"/>
  <c r="K90" i="16"/>
  <c r="I90" i="16"/>
  <c r="J90" i="16"/>
  <c r="G93" i="16"/>
  <c r="F105" i="16"/>
  <c r="L99" i="16"/>
  <c r="K99" i="16"/>
  <c r="I99" i="16"/>
  <c r="J99" i="16"/>
  <c r="H107" i="16"/>
  <c r="L108" i="16"/>
  <c r="K108" i="16"/>
  <c r="I108" i="16"/>
  <c r="J108" i="16"/>
  <c r="G119" i="16"/>
  <c r="L116" i="16"/>
  <c r="K116" i="16"/>
  <c r="I116" i="16"/>
  <c r="J116" i="16"/>
  <c r="L125" i="16"/>
  <c r="K125" i="16"/>
  <c r="I125" i="16"/>
  <c r="H133" i="16"/>
  <c r="J125" i="16"/>
  <c r="L142" i="16"/>
  <c r="K142" i="16"/>
  <c r="I142" i="16"/>
  <c r="J142" i="16"/>
  <c r="C149" i="16"/>
  <c r="L151" i="16"/>
  <c r="K151" i="16"/>
  <c r="I151" i="16"/>
  <c r="J151" i="16"/>
  <c r="M159" i="16"/>
  <c r="L159" i="16"/>
  <c r="K159" i="16"/>
  <c r="I159" i="16"/>
  <c r="J159" i="16"/>
  <c r="L10" i="17"/>
  <c r="K10" i="17"/>
  <c r="I10" i="17"/>
  <c r="J10" i="17"/>
  <c r="H9" i="17"/>
  <c r="M123" i="17" s="1"/>
  <c r="S9" i="17"/>
  <c r="F21" i="17"/>
  <c r="Q21" i="17"/>
  <c r="M14" i="17"/>
  <c r="L14" i="17"/>
  <c r="K14" i="17"/>
  <c r="I14" i="17"/>
  <c r="J14" i="17"/>
  <c r="K24" i="17"/>
  <c r="J24" i="17"/>
  <c r="M24" i="17"/>
  <c r="H23" i="17"/>
  <c r="I24" i="17"/>
  <c r="L24" i="17"/>
  <c r="G35" i="17"/>
  <c r="K41" i="17"/>
  <c r="J41" i="17"/>
  <c r="H49" i="17"/>
  <c r="M41" i="17"/>
  <c r="I41" i="17"/>
  <c r="L41" i="17"/>
  <c r="F20" i="18"/>
  <c r="V22" i="18"/>
  <c r="S24" i="18"/>
  <c r="R24" i="18"/>
  <c r="T24" i="18"/>
  <c r="J26" i="18"/>
  <c r="I26" i="18"/>
  <c r="H34" i="18"/>
  <c r="D36" i="18"/>
  <c r="Y36" i="18"/>
  <c r="AA37" i="18"/>
  <c r="Z37" i="18"/>
  <c r="J41" i="18"/>
  <c r="I41" i="18"/>
  <c r="G50" i="18"/>
  <c r="P62" i="18"/>
  <c r="S58" i="18"/>
  <c r="R58" i="18"/>
  <c r="J60" i="18"/>
  <c r="I60" i="18"/>
  <c r="L64" i="18"/>
  <c r="AA71" i="18"/>
  <c r="Z71" i="18"/>
  <c r="AB71" i="18"/>
  <c r="J75" i="18"/>
  <c r="I75" i="18"/>
  <c r="N78" i="18"/>
  <c r="U90" i="18"/>
  <c r="Q92" i="18"/>
  <c r="S93" i="18"/>
  <c r="R93" i="18"/>
  <c r="J95" i="18"/>
  <c r="I95" i="18"/>
  <c r="C104" i="18"/>
  <c r="V106" i="18"/>
  <c r="J110" i="18"/>
  <c r="I110" i="18"/>
  <c r="H118" i="18"/>
  <c r="D120" i="18"/>
  <c r="X120" i="18"/>
  <c r="S127" i="18"/>
  <c r="R127" i="18"/>
  <c r="K129" i="18"/>
  <c r="J129" i="18"/>
  <c r="I129" i="18"/>
  <c r="F134" i="18"/>
  <c r="M146" i="18"/>
  <c r="AA140" i="18"/>
  <c r="Z140" i="18"/>
  <c r="K144" i="18"/>
  <c r="J144" i="18"/>
  <c r="I144" i="18"/>
  <c r="AB155" i="18"/>
  <c r="AA155" i="18"/>
  <c r="Z155" i="18"/>
  <c r="P94" i="19"/>
  <c r="E119" i="22"/>
  <c r="C163" i="14"/>
  <c r="J158" i="14"/>
  <c r="K158" i="14"/>
  <c r="I158" i="14"/>
  <c r="L24" i="15"/>
  <c r="J24" i="15"/>
  <c r="M24" i="15"/>
  <c r="K24" i="15"/>
  <c r="I24" i="15"/>
  <c r="G35" i="15"/>
  <c r="L32" i="15"/>
  <c r="J32" i="15"/>
  <c r="M32" i="15"/>
  <c r="K32" i="15"/>
  <c r="I32" i="15"/>
  <c r="L41" i="15"/>
  <c r="J41" i="15"/>
  <c r="H49" i="15"/>
  <c r="M41" i="15"/>
  <c r="K41" i="15"/>
  <c r="I41" i="15"/>
  <c r="L58" i="15"/>
  <c r="J58" i="15"/>
  <c r="M58" i="15"/>
  <c r="K58" i="15"/>
  <c r="I58" i="15"/>
  <c r="L67" i="15"/>
  <c r="J67" i="15"/>
  <c r="M67" i="15"/>
  <c r="K67" i="15"/>
  <c r="I67" i="15"/>
  <c r="L75" i="15"/>
  <c r="J75" i="15"/>
  <c r="M75" i="15"/>
  <c r="K75" i="15"/>
  <c r="I75" i="15"/>
  <c r="C91" i="15"/>
  <c r="L84" i="15"/>
  <c r="J84" i="15"/>
  <c r="M84" i="15"/>
  <c r="K84" i="15"/>
  <c r="I84" i="15"/>
  <c r="L93" i="15"/>
  <c r="J93" i="15"/>
  <c r="M93" i="15"/>
  <c r="K93" i="15"/>
  <c r="I93" i="15"/>
  <c r="D105" i="15"/>
  <c r="L101" i="15"/>
  <c r="J101" i="15"/>
  <c r="M101" i="15"/>
  <c r="K101" i="15"/>
  <c r="I101" i="15"/>
  <c r="L110" i="15"/>
  <c r="J110" i="15"/>
  <c r="M110" i="15"/>
  <c r="K110" i="15"/>
  <c r="I110" i="15"/>
  <c r="E119" i="15"/>
  <c r="L118" i="15"/>
  <c r="J118" i="15"/>
  <c r="M118" i="15"/>
  <c r="K118" i="15"/>
  <c r="I118" i="15"/>
  <c r="F133" i="15"/>
  <c r="L127" i="15"/>
  <c r="J127" i="15"/>
  <c r="M127" i="15"/>
  <c r="K127" i="15"/>
  <c r="I127" i="15"/>
  <c r="L136" i="15"/>
  <c r="J136" i="15"/>
  <c r="M136" i="15"/>
  <c r="K136" i="15"/>
  <c r="I136" i="15"/>
  <c r="G147" i="15"/>
  <c r="L144" i="15"/>
  <c r="J144" i="15"/>
  <c r="M144" i="15"/>
  <c r="K144" i="15"/>
  <c r="I144" i="15"/>
  <c r="L153" i="15"/>
  <c r="J153" i="15"/>
  <c r="H161" i="15"/>
  <c r="M153" i="15"/>
  <c r="K153" i="15"/>
  <c r="I153" i="15"/>
  <c r="F9" i="16"/>
  <c r="L11" i="16"/>
  <c r="J11" i="16"/>
  <c r="K11" i="16"/>
  <c r="I11" i="16"/>
  <c r="D21" i="16"/>
  <c r="L15" i="16"/>
  <c r="J15" i="16"/>
  <c r="M15" i="16"/>
  <c r="K15" i="16"/>
  <c r="I15" i="16"/>
  <c r="L19" i="16"/>
  <c r="J19" i="16"/>
  <c r="K19" i="16"/>
  <c r="I19" i="16"/>
  <c r="C23" i="16"/>
  <c r="L25" i="16"/>
  <c r="J25" i="16"/>
  <c r="K25" i="16"/>
  <c r="I25" i="16"/>
  <c r="L33" i="16"/>
  <c r="K33" i="16"/>
  <c r="J33" i="16"/>
  <c r="I33" i="16"/>
  <c r="D37" i="16"/>
  <c r="C49" i="16"/>
  <c r="L42" i="16"/>
  <c r="K42" i="16"/>
  <c r="J42" i="16"/>
  <c r="I42" i="16"/>
  <c r="E51" i="16"/>
  <c r="D63" i="16"/>
  <c r="L59" i="16"/>
  <c r="K59" i="16"/>
  <c r="J59" i="16"/>
  <c r="I59" i="16"/>
  <c r="F65" i="16"/>
  <c r="L68" i="16"/>
  <c r="K68" i="16"/>
  <c r="J68" i="16"/>
  <c r="I68" i="16"/>
  <c r="E77" i="16"/>
  <c r="L76" i="16"/>
  <c r="K76" i="16"/>
  <c r="J76" i="16"/>
  <c r="I76" i="16"/>
  <c r="G79" i="16"/>
  <c r="F91" i="16"/>
  <c r="L85" i="16"/>
  <c r="K85" i="16"/>
  <c r="J85" i="16"/>
  <c r="I85" i="16"/>
  <c r="L94" i="16"/>
  <c r="K94" i="16"/>
  <c r="J94" i="16"/>
  <c r="I94" i="16"/>
  <c r="H93" i="16"/>
  <c r="G105" i="16"/>
  <c r="L102" i="16"/>
  <c r="K102" i="16"/>
  <c r="J102" i="16"/>
  <c r="I102" i="16"/>
  <c r="L111" i="16"/>
  <c r="K111" i="16"/>
  <c r="J111" i="16"/>
  <c r="H119" i="16"/>
  <c r="I111" i="16"/>
  <c r="L128" i="16"/>
  <c r="K128" i="16"/>
  <c r="J128" i="16"/>
  <c r="I128" i="16"/>
  <c r="C135" i="16"/>
  <c r="L137" i="16"/>
  <c r="K137" i="16"/>
  <c r="J137" i="16"/>
  <c r="I137" i="16"/>
  <c r="L145" i="16"/>
  <c r="K145" i="16"/>
  <c r="J145" i="16"/>
  <c r="M145" i="16"/>
  <c r="I145" i="16"/>
  <c r="D149" i="16"/>
  <c r="C161" i="16"/>
  <c r="L154" i="16"/>
  <c r="K154" i="16"/>
  <c r="J154" i="16"/>
  <c r="I154" i="16"/>
  <c r="G21" i="17"/>
  <c r="L17" i="17"/>
  <c r="K17" i="17"/>
  <c r="M17" i="17"/>
  <c r="J17" i="17"/>
  <c r="I17" i="17"/>
  <c r="J27" i="17"/>
  <c r="I27" i="17"/>
  <c r="M27" i="17"/>
  <c r="H35" i="17"/>
  <c r="L27" i="17"/>
  <c r="K27" i="17"/>
  <c r="J44" i="17"/>
  <c r="I44" i="17"/>
  <c r="M44" i="17"/>
  <c r="L44" i="17"/>
  <c r="K44" i="17"/>
  <c r="U8" i="18"/>
  <c r="G20" i="18"/>
  <c r="S19" i="18"/>
  <c r="R19" i="18"/>
  <c r="C22" i="18"/>
  <c r="L34" i="18"/>
  <c r="AA32" i="18"/>
  <c r="Z32" i="18"/>
  <c r="H36" i="18"/>
  <c r="J37" i="18"/>
  <c r="I37" i="18"/>
  <c r="N48" i="18"/>
  <c r="S54" i="18"/>
  <c r="R54" i="18"/>
  <c r="Q62" i="18"/>
  <c r="J56" i="18"/>
  <c r="I56" i="18"/>
  <c r="M64" i="18"/>
  <c r="AA67" i="18"/>
  <c r="Z67" i="18"/>
  <c r="V76" i="18"/>
  <c r="J71" i="18"/>
  <c r="I71" i="18"/>
  <c r="D90" i="18"/>
  <c r="X90" i="18"/>
  <c r="S88" i="18"/>
  <c r="R88" i="18"/>
  <c r="T88" i="18"/>
  <c r="F104" i="18"/>
  <c r="AA101" i="18"/>
  <c r="Z101" i="18"/>
  <c r="AB101" i="18"/>
  <c r="W106" i="18"/>
  <c r="E120" i="18"/>
  <c r="S123" i="18"/>
  <c r="R123" i="18"/>
  <c r="N132" i="18"/>
  <c r="K125" i="18"/>
  <c r="J125" i="18"/>
  <c r="I125" i="18"/>
  <c r="AA136" i="18"/>
  <c r="Z136" i="18"/>
  <c r="AB136" i="18"/>
  <c r="P146" i="18"/>
  <c r="J140" i="18"/>
  <c r="I140" i="18"/>
  <c r="L148" i="18"/>
  <c r="J160" i="14"/>
  <c r="K160" i="14"/>
  <c r="I160" i="14"/>
  <c r="C21" i="15"/>
  <c r="J30" i="15"/>
  <c r="M30" i="15"/>
  <c r="K30" i="15"/>
  <c r="I30" i="15"/>
  <c r="L30" i="15"/>
  <c r="J39" i="15"/>
  <c r="M39" i="15"/>
  <c r="L39" i="15"/>
  <c r="K39" i="15"/>
  <c r="I39" i="15"/>
  <c r="J47" i="15"/>
  <c r="M47" i="15"/>
  <c r="K47" i="15"/>
  <c r="I47" i="15"/>
  <c r="L47" i="15"/>
  <c r="C63" i="15"/>
  <c r="J56" i="15"/>
  <c r="M56" i="15"/>
  <c r="L56" i="15"/>
  <c r="K56" i="15"/>
  <c r="I56" i="15"/>
  <c r="J65" i="15"/>
  <c r="M65" i="15"/>
  <c r="K65" i="15"/>
  <c r="I65" i="15"/>
  <c r="L65" i="15"/>
  <c r="D77" i="15"/>
  <c r="J73" i="15"/>
  <c r="M73" i="15"/>
  <c r="L73" i="15"/>
  <c r="K73" i="15"/>
  <c r="I73" i="15"/>
  <c r="J82" i="15"/>
  <c r="M82" i="15"/>
  <c r="K82" i="15"/>
  <c r="I82" i="15"/>
  <c r="L82" i="15"/>
  <c r="E91" i="15"/>
  <c r="J90" i="15"/>
  <c r="M90" i="15"/>
  <c r="L90" i="15"/>
  <c r="K90" i="15"/>
  <c r="I90" i="15"/>
  <c r="F105" i="15"/>
  <c r="J99" i="15"/>
  <c r="M99" i="15"/>
  <c r="K99" i="15"/>
  <c r="I99" i="15"/>
  <c r="L99" i="15"/>
  <c r="J108" i="15"/>
  <c r="M108" i="15"/>
  <c r="L108" i="15"/>
  <c r="K108" i="15"/>
  <c r="I108" i="15"/>
  <c r="G119" i="15"/>
  <c r="J116" i="15"/>
  <c r="M116" i="15"/>
  <c r="K116" i="15"/>
  <c r="I116" i="15"/>
  <c r="L116" i="15"/>
  <c r="J125" i="15"/>
  <c r="H133" i="15"/>
  <c r="M125" i="15"/>
  <c r="L125" i="15"/>
  <c r="K125" i="15"/>
  <c r="I125" i="15"/>
  <c r="J142" i="15"/>
  <c r="M142" i="15"/>
  <c r="L142" i="15"/>
  <c r="K142" i="15"/>
  <c r="I142" i="15"/>
  <c r="J151" i="15"/>
  <c r="M151" i="15"/>
  <c r="K151" i="15"/>
  <c r="I151" i="15"/>
  <c r="L151" i="15"/>
  <c r="J159" i="15"/>
  <c r="M159" i="15"/>
  <c r="L159" i="15"/>
  <c r="K159" i="15"/>
  <c r="I159" i="15"/>
  <c r="J10" i="16"/>
  <c r="H9" i="16"/>
  <c r="M10" i="16"/>
  <c r="L10" i="16"/>
  <c r="K10" i="16"/>
  <c r="I10" i="16"/>
  <c r="F21" i="16"/>
  <c r="J14" i="16"/>
  <c r="L14" i="16"/>
  <c r="K14" i="16"/>
  <c r="I14" i="16"/>
  <c r="J18" i="16"/>
  <c r="L18" i="16"/>
  <c r="K18" i="16"/>
  <c r="I18" i="16"/>
  <c r="E23" i="16"/>
  <c r="D35" i="16"/>
  <c r="J31" i="16"/>
  <c r="I31" i="16"/>
  <c r="L31" i="16"/>
  <c r="K31" i="16"/>
  <c r="F37" i="16"/>
  <c r="J40" i="16"/>
  <c r="I40" i="16"/>
  <c r="K40" i="16"/>
  <c r="L40" i="16"/>
  <c r="E49" i="16"/>
  <c r="J48" i="16"/>
  <c r="I48" i="16"/>
  <c r="M48" i="16"/>
  <c r="L48" i="16"/>
  <c r="K48" i="16"/>
  <c r="G51" i="16"/>
  <c r="F63" i="16"/>
  <c r="J57" i="16"/>
  <c r="I57" i="16"/>
  <c r="L57" i="16"/>
  <c r="K57" i="16"/>
  <c r="J66" i="16"/>
  <c r="I66" i="16"/>
  <c r="H65" i="16"/>
  <c r="L66" i="16"/>
  <c r="K66" i="16"/>
  <c r="G77" i="16"/>
  <c r="J74" i="16"/>
  <c r="I74" i="16"/>
  <c r="L74" i="16"/>
  <c r="K74" i="16"/>
  <c r="J83" i="16"/>
  <c r="I83" i="16"/>
  <c r="H91" i="16"/>
  <c r="M83" i="16"/>
  <c r="L83" i="16"/>
  <c r="K83" i="16"/>
  <c r="J100" i="16"/>
  <c r="I100" i="16"/>
  <c r="L100" i="16"/>
  <c r="K100" i="16"/>
  <c r="C107" i="16"/>
  <c r="J109" i="16"/>
  <c r="I109" i="16"/>
  <c r="K109" i="16"/>
  <c r="L109" i="16"/>
  <c r="J117" i="16"/>
  <c r="I117" i="16"/>
  <c r="M117" i="16"/>
  <c r="L117" i="16"/>
  <c r="K117" i="16"/>
  <c r="D121" i="16"/>
  <c r="C133" i="16"/>
  <c r="J126" i="16"/>
  <c r="I126" i="16"/>
  <c r="M126" i="16"/>
  <c r="L126" i="16"/>
  <c r="K126" i="16"/>
  <c r="E135" i="16"/>
  <c r="D147" i="16"/>
  <c r="J143" i="16"/>
  <c r="I143" i="16"/>
  <c r="L143" i="16"/>
  <c r="K143" i="16"/>
  <c r="F149" i="16"/>
  <c r="J152" i="16"/>
  <c r="I152" i="16"/>
  <c r="M152" i="16"/>
  <c r="L152" i="16"/>
  <c r="K152" i="16"/>
  <c r="E161" i="16"/>
  <c r="J160" i="16"/>
  <c r="I160" i="16"/>
  <c r="L160" i="16"/>
  <c r="K160" i="16"/>
  <c r="C9" i="17"/>
  <c r="M40" i="17"/>
  <c r="J40" i="17"/>
  <c r="I40" i="17"/>
  <c r="L40" i="17"/>
  <c r="K40" i="17"/>
  <c r="E8" i="18"/>
  <c r="S11" i="18"/>
  <c r="R11" i="18"/>
  <c r="N20" i="18"/>
  <c r="K13" i="18"/>
  <c r="J13" i="18"/>
  <c r="I13" i="18"/>
  <c r="AA24" i="18"/>
  <c r="Z24" i="18"/>
  <c r="P34" i="18"/>
  <c r="K28" i="18"/>
  <c r="J28" i="18"/>
  <c r="I28" i="18"/>
  <c r="L36" i="18"/>
  <c r="S45" i="18"/>
  <c r="R45" i="18"/>
  <c r="J47" i="18"/>
  <c r="I47" i="18"/>
  <c r="O50" i="18"/>
  <c r="X62" i="18"/>
  <c r="AA58" i="18"/>
  <c r="Z58" i="18"/>
  <c r="F76" i="18"/>
  <c r="V78" i="18"/>
  <c r="S80" i="18"/>
  <c r="R80" i="18"/>
  <c r="J82" i="18"/>
  <c r="I82" i="18"/>
  <c r="H90" i="18"/>
  <c r="D92" i="18"/>
  <c r="Y92" i="18"/>
  <c r="AA93" i="18"/>
  <c r="Z93" i="18"/>
  <c r="K97" i="18"/>
  <c r="J97" i="18"/>
  <c r="I97" i="18"/>
  <c r="G106" i="18"/>
  <c r="P118" i="18"/>
  <c r="S114" i="18"/>
  <c r="R114" i="18"/>
  <c r="K116" i="18"/>
  <c r="J116" i="18"/>
  <c r="I116" i="18"/>
  <c r="L120" i="18"/>
  <c r="AA127" i="18"/>
  <c r="Z127" i="18"/>
  <c r="J131" i="18"/>
  <c r="I131" i="18"/>
  <c r="N134" i="18"/>
  <c r="U146" i="18"/>
  <c r="Q148" i="18"/>
  <c r="S149" i="18"/>
  <c r="R149" i="18"/>
  <c r="K151" i="18"/>
  <c r="J151" i="18"/>
  <c r="I151" i="18"/>
  <c r="C160" i="18"/>
  <c r="F36" i="21"/>
  <c r="I52" i="21"/>
  <c r="H52" i="21"/>
  <c r="J52" i="21"/>
  <c r="J142" i="21"/>
  <c r="I142" i="21"/>
  <c r="H142" i="21"/>
  <c r="I34" i="16"/>
  <c r="L34" i="16"/>
  <c r="K34" i="16"/>
  <c r="J34" i="16"/>
  <c r="G37" i="16"/>
  <c r="F49" i="16"/>
  <c r="I43" i="16"/>
  <c r="M43" i="16"/>
  <c r="L43" i="16"/>
  <c r="K43" i="16"/>
  <c r="J43" i="16"/>
  <c r="I52" i="16"/>
  <c r="H51" i="16"/>
  <c r="L52" i="16"/>
  <c r="K52" i="16"/>
  <c r="J52" i="16"/>
  <c r="G63" i="16"/>
  <c r="I60" i="16"/>
  <c r="M60" i="16"/>
  <c r="L60" i="16"/>
  <c r="K60" i="16"/>
  <c r="J60" i="16"/>
  <c r="I69" i="16"/>
  <c r="H77" i="16"/>
  <c r="L69" i="16"/>
  <c r="K69" i="16"/>
  <c r="J69" i="16"/>
  <c r="I86" i="16"/>
  <c r="L86" i="16"/>
  <c r="K86" i="16"/>
  <c r="J86" i="16"/>
  <c r="C93" i="16"/>
  <c r="I95" i="16"/>
  <c r="L95" i="16"/>
  <c r="K95" i="16"/>
  <c r="J95" i="16"/>
  <c r="I103" i="16"/>
  <c r="L103" i="16"/>
  <c r="K103" i="16"/>
  <c r="J103" i="16"/>
  <c r="D107" i="16"/>
  <c r="C119" i="16"/>
  <c r="I112" i="16"/>
  <c r="L112" i="16"/>
  <c r="K112" i="16"/>
  <c r="J112" i="16"/>
  <c r="E121" i="16"/>
  <c r="D133" i="16"/>
  <c r="I129" i="16"/>
  <c r="M129" i="16"/>
  <c r="L129" i="16"/>
  <c r="K129" i="16"/>
  <c r="J129" i="16"/>
  <c r="F135" i="16"/>
  <c r="I138" i="16"/>
  <c r="L138" i="16"/>
  <c r="K138" i="16"/>
  <c r="J138" i="16"/>
  <c r="E147" i="16"/>
  <c r="I146" i="16"/>
  <c r="M146" i="16"/>
  <c r="L146" i="16"/>
  <c r="J146" i="16"/>
  <c r="K146" i="16"/>
  <c r="G149" i="16"/>
  <c r="F161" i="16"/>
  <c r="I155" i="16"/>
  <c r="M155" i="16"/>
  <c r="L155" i="16"/>
  <c r="K155" i="16"/>
  <c r="J155" i="16"/>
  <c r="D9" i="17"/>
  <c r="I12" i="17"/>
  <c r="M12" i="17"/>
  <c r="L12" i="17"/>
  <c r="K12" i="17"/>
  <c r="J12" i="17"/>
  <c r="I16" i="17"/>
  <c r="M16" i="17"/>
  <c r="L16" i="17"/>
  <c r="K16" i="17"/>
  <c r="J16" i="17"/>
  <c r="K32" i="17"/>
  <c r="J32" i="17"/>
  <c r="I32" i="17"/>
  <c r="M32" i="17"/>
  <c r="L32" i="17"/>
  <c r="J9" i="18"/>
  <c r="I9" i="18"/>
  <c r="H8" i="18"/>
  <c r="O20" i="18"/>
  <c r="AA19" i="18"/>
  <c r="Z19" i="18"/>
  <c r="J24" i="18"/>
  <c r="I24" i="18"/>
  <c r="P36" i="18"/>
  <c r="V48" i="18"/>
  <c r="S41" i="18"/>
  <c r="R41" i="18"/>
  <c r="J43" i="18"/>
  <c r="I43" i="18"/>
  <c r="D62" i="18"/>
  <c r="AA54" i="18"/>
  <c r="Z54" i="18"/>
  <c r="Y62" i="18"/>
  <c r="J58" i="18"/>
  <c r="I58" i="18"/>
  <c r="U64" i="18"/>
  <c r="G76" i="18"/>
  <c r="S75" i="18"/>
  <c r="R75" i="18"/>
  <c r="C78" i="18"/>
  <c r="L90" i="18"/>
  <c r="AA88" i="18"/>
  <c r="Z88" i="18"/>
  <c r="AB88" i="18"/>
  <c r="H92" i="18"/>
  <c r="J93" i="18"/>
  <c r="I93" i="18"/>
  <c r="N104" i="18"/>
  <c r="S110" i="18"/>
  <c r="R110" i="18"/>
  <c r="Q118" i="18"/>
  <c r="J112" i="18"/>
  <c r="I112" i="18"/>
  <c r="M120" i="18"/>
  <c r="AA123" i="18"/>
  <c r="Z123" i="18"/>
  <c r="AB123" i="18"/>
  <c r="V132" i="18"/>
  <c r="J127" i="18"/>
  <c r="I127" i="18"/>
  <c r="D146" i="18"/>
  <c r="X146" i="18"/>
  <c r="S144" i="18"/>
  <c r="R144" i="18"/>
  <c r="T144" i="18"/>
  <c r="F160" i="18"/>
  <c r="J158" i="18"/>
  <c r="I158" i="18"/>
  <c r="O65" i="19"/>
  <c r="X80" i="19"/>
  <c r="W79" i="19"/>
  <c r="K154" i="14"/>
  <c r="J154" i="14"/>
  <c r="I154" i="14"/>
  <c r="G163" i="14"/>
  <c r="K162" i="14"/>
  <c r="J162" i="14"/>
  <c r="I162" i="14"/>
  <c r="E21" i="15"/>
  <c r="C35" i="15"/>
  <c r="L28" i="15"/>
  <c r="K28" i="15"/>
  <c r="M28" i="15"/>
  <c r="J28" i="15"/>
  <c r="I28" i="15"/>
  <c r="L37" i="15"/>
  <c r="K37" i="15"/>
  <c r="I37" i="15"/>
  <c r="M37" i="15"/>
  <c r="J37" i="15"/>
  <c r="D49" i="15"/>
  <c r="L45" i="15"/>
  <c r="K45" i="15"/>
  <c r="M45" i="15"/>
  <c r="J45" i="15"/>
  <c r="I45" i="15"/>
  <c r="L54" i="15"/>
  <c r="K54" i="15"/>
  <c r="I54" i="15"/>
  <c r="M54" i="15"/>
  <c r="J54" i="15"/>
  <c r="E63" i="15"/>
  <c r="L62" i="15"/>
  <c r="K62" i="15"/>
  <c r="M62" i="15"/>
  <c r="J62" i="15"/>
  <c r="I62" i="15"/>
  <c r="F77" i="15"/>
  <c r="L71" i="15"/>
  <c r="K71" i="15"/>
  <c r="I71" i="15"/>
  <c r="M71" i="15"/>
  <c r="J71" i="15"/>
  <c r="L80" i="15"/>
  <c r="K80" i="15"/>
  <c r="M80" i="15"/>
  <c r="J80" i="15"/>
  <c r="I80" i="15"/>
  <c r="G91" i="15"/>
  <c r="L88" i="15"/>
  <c r="K88" i="15"/>
  <c r="I88" i="15"/>
  <c r="M88" i="15"/>
  <c r="J88" i="15"/>
  <c r="H105" i="15"/>
  <c r="L97" i="15"/>
  <c r="K97" i="15"/>
  <c r="M97" i="15"/>
  <c r="J97" i="15"/>
  <c r="I97" i="15"/>
  <c r="L114" i="15"/>
  <c r="K114" i="15"/>
  <c r="M114" i="15"/>
  <c r="J114" i="15"/>
  <c r="I114" i="15"/>
  <c r="L123" i="15"/>
  <c r="K123" i="15"/>
  <c r="I123" i="15"/>
  <c r="M123" i="15"/>
  <c r="J123" i="15"/>
  <c r="L131" i="15"/>
  <c r="K131" i="15"/>
  <c r="M131" i="15"/>
  <c r="J131" i="15"/>
  <c r="I131" i="15"/>
  <c r="C147" i="15"/>
  <c r="L140" i="15"/>
  <c r="K140" i="15"/>
  <c r="I140" i="15"/>
  <c r="M140" i="15"/>
  <c r="J140" i="15"/>
  <c r="L149" i="15"/>
  <c r="K149" i="15"/>
  <c r="M149" i="15"/>
  <c r="J149" i="15"/>
  <c r="I149" i="15"/>
  <c r="D161" i="15"/>
  <c r="L157" i="15"/>
  <c r="K157" i="15"/>
  <c r="I157" i="15"/>
  <c r="M157" i="15"/>
  <c r="J157" i="15"/>
  <c r="H21" i="16"/>
  <c r="L13" i="16"/>
  <c r="K13" i="16"/>
  <c r="J13" i="16"/>
  <c r="I13" i="16"/>
  <c r="L17" i="16"/>
  <c r="K17" i="16"/>
  <c r="J17" i="16"/>
  <c r="I17" i="16"/>
  <c r="G23" i="16"/>
  <c r="F35" i="16"/>
  <c r="L29" i="16"/>
  <c r="K29" i="16"/>
  <c r="J29" i="16"/>
  <c r="I29" i="16"/>
  <c r="L38" i="16"/>
  <c r="K38" i="16"/>
  <c r="J38" i="16"/>
  <c r="I38" i="16"/>
  <c r="H37" i="16"/>
  <c r="G49" i="16"/>
  <c r="L46" i="16"/>
  <c r="K46" i="16"/>
  <c r="I46" i="16"/>
  <c r="J46" i="16"/>
  <c r="H63" i="16"/>
  <c r="L55" i="16"/>
  <c r="K55" i="16"/>
  <c r="M55" i="16"/>
  <c r="J55" i="16"/>
  <c r="I55" i="16"/>
  <c r="L72" i="16"/>
  <c r="K72" i="16"/>
  <c r="J72" i="16"/>
  <c r="I72" i="16"/>
  <c r="C79" i="16"/>
  <c r="L81" i="16"/>
  <c r="K81" i="16"/>
  <c r="J81" i="16"/>
  <c r="I81" i="16"/>
  <c r="L89" i="16"/>
  <c r="K89" i="16"/>
  <c r="M89" i="16"/>
  <c r="J89" i="16"/>
  <c r="I89" i="16"/>
  <c r="D93" i="16"/>
  <c r="C105" i="16"/>
  <c r="L98" i="16"/>
  <c r="K98" i="16"/>
  <c r="M98" i="16"/>
  <c r="J98" i="16"/>
  <c r="I98" i="16"/>
  <c r="E107" i="16"/>
  <c r="D119" i="16"/>
  <c r="L115" i="16"/>
  <c r="K115" i="16"/>
  <c r="I115" i="16"/>
  <c r="M115" i="16"/>
  <c r="J115" i="16"/>
  <c r="F121" i="16"/>
  <c r="L124" i="16"/>
  <c r="K124" i="16"/>
  <c r="M124" i="16"/>
  <c r="J124" i="16"/>
  <c r="I124" i="16"/>
  <c r="E133" i="16"/>
  <c r="L132" i="16"/>
  <c r="K132" i="16"/>
  <c r="J132" i="16"/>
  <c r="I132" i="16"/>
  <c r="G135" i="16"/>
  <c r="F147" i="16"/>
  <c r="L141" i="16"/>
  <c r="K141" i="16"/>
  <c r="J141" i="16"/>
  <c r="I141" i="16"/>
  <c r="L150" i="16"/>
  <c r="K150" i="16"/>
  <c r="H149" i="16"/>
  <c r="M150" i="16"/>
  <c r="J150" i="16"/>
  <c r="I150" i="16"/>
  <c r="G161" i="16"/>
  <c r="L158" i="16"/>
  <c r="K158" i="16"/>
  <c r="J158" i="16"/>
  <c r="I158" i="16"/>
  <c r="E9" i="17"/>
  <c r="C21" i="17"/>
  <c r="J20" i="17"/>
  <c r="I20" i="17"/>
  <c r="M20" i="17"/>
  <c r="L20" i="17"/>
  <c r="K20" i="17"/>
  <c r="L8" i="18"/>
  <c r="AA15" i="18"/>
  <c r="Z15" i="18"/>
  <c r="J19" i="18"/>
  <c r="I19" i="18"/>
  <c r="N22" i="18"/>
  <c r="U34" i="18"/>
  <c r="Q36" i="18"/>
  <c r="S37" i="18"/>
  <c r="R37" i="18"/>
  <c r="K39" i="18"/>
  <c r="J39" i="18"/>
  <c r="I39" i="18"/>
  <c r="C48" i="18"/>
  <c r="V50" i="18"/>
  <c r="J54" i="18"/>
  <c r="H62" i="18"/>
  <c r="I54" i="18"/>
  <c r="D64" i="18"/>
  <c r="X64" i="18"/>
  <c r="S71" i="18"/>
  <c r="R71" i="18"/>
  <c r="J73" i="18"/>
  <c r="I73" i="18"/>
  <c r="F78" i="18"/>
  <c r="M90" i="18"/>
  <c r="AA84" i="18"/>
  <c r="Z84" i="18"/>
  <c r="J88" i="18"/>
  <c r="I88" i="18"/>
  <c r="N106" i="18"/>
  <c r="K108" i="18"/>
  <c r="J108" i="18"/>
  <c r="I108" i="18"/>
  <c r="P120" i="18"/>
  <c r="J123" i="18"/>
  <c r="I123" i="18"/>
  <c r="W132" i="18"/>
  <c r="E146" i="18"/>
  <c r="S140" i="18"/>
  <c r="R140" i="18"/>
  <c r="J142" i="18"/>
  <c r="I142" i="18"/>
  <c r="X148" i="18"/>
  <c r="AA153" i="18"/>
  <c r="Z153" i="18"/>
  <c r="AB153" i="18"/>
  <c r="F23" i="17"/>
  <c r="M26" i="17"/>
  <c r="L26" i="17"/>
  <c r="I26" i="17"/>
  <c r="K26" i="17"/>
  <c r="J26" i="17"/>
  <c r="E35" i="17"/>
  <c r="M34" i="17"/>
  <c r="L34" i="17"/>
  <c r="I34" i="17"/>
  <c r="K34" i="17"/>
  <c r="J34" i="17"/>
  <c r="G37" i="17"/>
  <c r="F49" i="17"/>
  <c r="M43" i="17"/>
  <c r="L43" i="17"/>
  <c r="I43" i="17"/>
  <c r="K43" i="17"/>
  <c r="J43" i="17"/>
  <c r="F8" i="18"/>
  <c r="N8" i="18"/>
  <c r="V8" i="18"/>
  <c r="I12" i="18"/>
  <c r="H20" i="18"/>
  <c r="J12" i="18"/>
  <c r="P20" i="18"/>
  <c r="X20" i="18"/>
  <c r="K16" i="18"/>
  <c r="I16" i="18"/>
  <c r="J16" i="18"/>
  <c r="D22" i="18"/>
  <c r="L22" i="18"/>
  <c r="I25" i="18"/>
  <c r="J25" i="18"/>
  <c r="F34" i="18"/>
  <c r="N34" i="18"/>
  <c r="V34" i="18"/>
  <c r="I29" i="18"/>
  <c r="J29" i="18"/>
  <c r="K33" i="18"/>
  <c r="I33" i="18"/>
  <c r="J33" i="18"/>
  <c r="I38" i="18"/>
  <c r="J38" i="18"/>
  <c r="D48" i="18"/>
  <c r="L48" i="18"/>
  <c r="K42" i="18"/>
  <c r="I42" i="18"/>
  <c r="J42" i="18"/>
  <c r="I46" i="18"/>
  <c r="J46" i="18"/>
  <c r="K51" i="18"/>
  <c r="I51" i="18"/>
  <c r="J51" i="18"/>
  <c r="H50" i="18"/>
  <c r="P50" i="18"/>
  <c r="X50" i="18"/>
  <c r="I55" i="18"/>
  <c r="J55" i="18"/>
  <c r="I59" i="18"/>
  <c r="J59" i="18"/>
  <c r="F64" i="18"/>
  <c r="N64" i="18"/>
  <c r="V64" i="18"/>
  <c r="I68" i="18"/>
  <c r="H76" i="18"/>
  <c r="J68" i="18"/>
  <c r="P76" i="18"/>
  <c r="X76" i="18"/>
  <c r="I72" i="18"/>
  <c r="J72" i="18"/>
  <c r="D78" i="18"/>
  <c r="L78" i="18"/>
  <c r="K81" i="18"/>
  <c r="I81" i="18"/>
  <c r="J81" i="18"/>
  <c r="F90" i="18"/>
  <c r="N90" i="18"/>
  <c r="V90" i="18"/>
  <c r="K85" i="18"/>
  <c r="I85" i="18"/>
  <c r="J85" i="18"/>
  <c r="K89" i="18"/>
  <c r="I89" i="18"/>
  <c r="J89" i="18"/>
  <c r="I94" i="18"/>
  <c r="J94" i="18"/>
  <c r="D104" i="18"/>
  <c r="L104" i="18"/>
  <c r="K98" i="18"/>
  <c r="I98" i="18"/>
  <c r="J98" i="18"/>
  <c r="I102" i="18"/>
  <c r="J102" i="18"/>
  <c r="I107" i="18"/>
  <c r="J107" i="18"/>
  <c r="H106" i="18"/>
  <c r="P106" i="18"/>
  <c r="X106" i="18"/>
  <c r="I111" i="18"/>
  <c r="J111" i="18"/>
  <c r="K115" i="18"/>
  <c r="I115" i="18"/>
  <c r="J115" i="18"/>
  <c r="F120" i="18"/>
  <c r="N120" i="18"/>
  <c r="V120" i="18"/>
  <c r="K124" i="18"/>
  <c r="I124" i="18"/>
  <c r="H132" i="18"/>
  <c r="J124" i="18"/>
  <c r="P132" i="18"/>
  <c r="X132" i="18"/>
  <c r="I128" i="18"/>
  <c r="J128" i="18"/>
  <c r="D134" i="18"/>
  <c r="L134" i="18"/>
  <c r="K137" i="18"/>
  <c r="I137" i="18"/>
  <c r="J137" i="18"/>
  <c r="F146" i="18"/>
  <c r="N146" i="18"/>
  <c r="V146" i="18"/>
  <c r="I141" i="18"/>
  <c r="J141" i="18"/>
  <c r="K145" i="18"/>
  <c r="I145" i="18"/>
  <c r="J145" i="18"/>
  <c r="I150" i="18"/>
  <c r="J150" i="18"/>
  <c r="D160" i="18"/>
  <c r="L160" i="18"/>
  <c r="K154" i="18"/>
  <c r="I154" i="18"/>
  <c r="J154" i="18"/>
  <c r="J156" i="18"/>
  <c r="I156" i="18"/>
  <c r="H26" i="19"/>
  <c r="X71" i="19"/>
  <c r="X95" i="19"/>
  <c r="D50" i="21"/>
  <c r="J157" i="21"/>
  <c r="I157" i="21"/>
  <c r="H157" i="21"/>
  <c r="G23" i="17"/>
  <c r="F35" i="17"/>
  <c r="L29" i="17"/>
  <c r="K29" i="17"/>
  <c r="J29" i="17"/>
  <c r="I29" i="17"/>
  <c r="M29" i="17"/>
  <c r="L38" i="17"/>
  <c r="K38" i="17"/>
  <c r="J38" i="17"/>
  <c r="I38" i="17"/>
  <c r="M38" i="17"/>
  <c r="H37" i="17"/>
  <c r="G49" i="17"/>
  <c r="L46" i="17"/>
  <c r="K46" i="17"/>
  <c r="J46" i="17"/>
  <c r="I46" i="17"/>
  <c r="M46" i="17"/>
  <c r="G8" i="18"/>
  <c r="O8" i="18"/>
  <c r="W8" i="18"/>
  <c r="S12" i="18"/>
  <c r="Q20" i="18"/>
  <c r="R12" i="18"/>
  <c r="AB12" i="18"/>
  <c r="AA12" i="18"/>
  <c r="Y20" i="18"/>
  <c r="Z12" i="18"/>
  <c r="S16" i="18"/>
  <c r="R16" i="18"/>
  <c r="AB16" i="18"/>
  <c r="AA16" i="18"/>
  <c r="Z16" i="18"/>
  <c r="E22" i="18"/>
  <c r="M22" i="18"/>
  <c r="U22" i="18"/>
  <c r="T25" i="18"/>
  <c r="S25" i="18"/>
  <c r="R25" i="18"/>
  <c r="AB25" i="18"/>
  <c r="AA25" i="18"/>
  <c r="Z25" i="18"/>
  <c r="G34" i="18"/>
  <c r="O34" i="18"/>
  <c r="W34" i="18"/>
  <c r="S29" i="18"/>
  <c r="R29" i="18"/>
  <c r="AB29" i="18"/>
  <c r="AA29" i="18"/>
  <c r="Z29" i="18"/>
  <c r="S33" i="18"/>
  <c r="R33" i="18"/>
  <c r="AB33" i="18"/>
  <c r="AA33" i="18"/>
  <c r="Z33" i="18"/>
  <c r="C36" i="18"/>
  <c r="S38" i="18"/>
  <c r="R38" i="18"/>
  <c r="AA38" i="18"/>
  <c r="Z38" i="18"/>
  <c r="E48" i="18"/>
  <c r="M48" i="18"/>
  <c r="U48" i="18"/>
  <c r="S42" i="18"/>
  <c r="R42" i="18"/>
  <c r="AB42" i="18"/>
  <c r="AA42" i="18"/>
  <c r="Z42" i="18"/>
  <c r="S46" i="18"/>
  <c r="R46" i="18"/>
  <c r="AB46" i="18"/>
  <c r="AA46" i="18"/>
  <c r="Z46" i="18"/>
  <c r="S51" i="18"/>
  <c r="R51" i="18"/>
  <c r="Q50" i="18"/>
  <c r="AA51" i="18"/>
  <c r="Y50" i="18"/>
  <c r="Z51" i="18"/>
  <c r="C62" i="18"/>
  <c r="T55" i="18"/>
  <c r="S55" i="18"/>
  <c r="R55" i="18"/>
  <c r="AA55" i="18"/>
  <c r="Z55" i="18"/>
  <c r="S59" i="18"/>
  <c r="R59" i="18"/>
  <c r="AA59" i="18"/>
  <c r="Z59" i="18"/>
  <c r="G64" i="18"/>
  <c r="O64" i="18"/>
  <c r="W64" i="18"/>
  <c r="S68" i="18"/>
  <c r="Q76" i="18"/>
  <c r="R68" i="18"/>
  <c r="AA68" i="18"/>
  <c r="Y76" i="18"/>
  <c r="Z68" i="18"/>
  <c r="S72" i="18"/>
  <c r="R72" i="18"/>
  <c r="AA72" i="18"/>
  <c r="Z72" i="18"/>
  <c r="E78" i="18"/>
  <c r="M78" i="18"/>
  <c r="U78" i="18"/>
  <c r="T81" i="18"/>
  <c r="S81" i="18"/>
  <c r="R81" i="18"/>
  <c r="AA81" i="18"/>
  <c r="Z81" i="18"/>
  <c r="G90" i="18"/>
  <c r="O90" i="18"/>
  <c r="W90" i="18"/>
  <c r="S85" i="18"/>
  <c r="R85" i="18"/>
  <c r="AB85" i="18"/>
  <c r="AA85" i="18"/>
  <c r="Z85" i="18"/>
  <c r="S89" i="18"/>
  <c r="R89" i="18"/>
  <c r="AA89" i="18"/>
  <c r="Z89" i="18"/>
  <c r="C92" i="18"/>
  <c r="S94" i="18"/>
  <c r="R94" i="18"/>
  <c r="AA94" i="18"/>
  <c r="Z94" i="18"/>
  <c r="E104" i="18"/>
  <c r="M104" i="18"/>
  <c r="U104" i="18"/>
  <c r="S98" i="18"/>
  <c r="R98" i="18"/>
  <c r="AA98" i="18"/>
  <c r="Z98" i="18"/>
  <c r="S102" i="18"/>
  <c r="R102" i="18"/>
  <c r="AB102" i="18"/>
  <c r="AA102" i="18"/>
  <c r="Z102" i="18"/>
  <c r="S107" i="18"/>
  <c r="Q106" i="18"/>
  <c r="R107" i="18"/>
  <c r="AB107" i="18"/>
  <c r="AA107" i="18"/>
  <c r="Y106" i="18"/>
  <c r="Z107" i="18"/>
  <c r="C118" i="18"/>
  <c r="T111" i="18"/>
  <c r="S111" i="18"/>
  <c r="R111" i="18"/>
  <c r="AB111" i="18"/>
  <c r="AA111" i="18"/>
  <c r="Z111" i="18"/>
  <c r="S115" i="18"/>
  <c r="R115" i="18"/>
  <c r="AA115" i="18"/>
  <c r="Z115" i="18"/>
  <c r="G120" i="18"/>
  <c r="O120" i="18"/>
  <c r="W120" i="18"/>
  <c r="S124" i="18"/>
  <c r="Q132" i="18"/>
  <c r="R124" i="18"/>
  <c r="AB124" i="18"/>
  <c r="AA124" i="18"/>
  <c r="Y132" i="18"/>
  <c r="Z124" i="18"/>
  <c r="S128" i="18"/>
  <c r="R128" i="18"/>
  <c r="AB128" i="18"/>
  <c r="AA128" i="18"/>
  <c r="Z128" i="18"/>
  <c r="E134" i="18"/>
  <c r="M134" i="18"/>
  <c r="U134" i="18"/>
  <c r="T137" i="18"/>
  <c r="S137" i="18"/>
  <c r="R137" i="18"/>
  <c r="AB137" i="18"/>
  <c r="AA137" i="18"/>
  <c r="Z137" i="18"/>
  <c r="G146" i="18"/>
  <c r="O146" i="18"/>
  <c r="W146" i="18"/>
  <c r="S141" i="18"/>
  <c r="R141" i="18"/>
  <c r="AB141" i="18"/>
  <c r="AA141" i="18"/>
  <c r="Z141" i="18"/>
  <c r="S145" i="18"/>
  <c r="R145" i="18"/>
  <c r="AB145" i="18"/>
  <c r="AA145" i="18"/>
  <c r="Z145" i="18"/>
  <c r="C148" i="18"/>
  <c r="S150" i="18"/>
  <c r="R150" i="18"/>
  <c r="AA150" i="18"/>
  <c r="Z150" i="18"/>
  <c r="E160" i="18"/>
  <c r="M160" i="18"/>
  <c r="U160" i="18"/>
  <c r="S154" i="18"/>
  <c r="R154" i="18"/>
  <c r="AB154" i="18"/>
  <c r="AA154" i="18"/>
  <c r="Z154" i="18"/>
  <c r="AA156" i="18"/>
  <c r="Z156" i="18"/>
  <c r="H17" i="19"/>
  <c r="E22" i="21"/>
  <c r="I27" i="21"/>
  <c r="H27" i="21"/>
  <c r="J27" i="21"/>
  <c r="I55" i="21"/>
  <c r="H55" i="21"/>
  <c r="J55" i="21"/>
  <c r="M69" i="22"/>
  <c r="L69" i="22"/>
  <c r="K69" i="22"/>
  <c r="J69" i="22"/>
  <c r="I77" i="22"/>
  <c r="N69" i="22"/>
  <c r="S9" i="18"/>
  <c r="R9" i="18"/>
  <c r="Q8" i="18"/>
  <c r="T9" i="18"/>
  <c r="AA9" i="18"/>
  <c r="Z9" i="18"/>
  <c r="Y8" i="18"/>
  <c r="AB149" i="18" s="1"/>
  <c r="AB9" i="18"/>
  <c r="C20" i="18"/>
  <c r="S13" i="18"/>
  <c r="R13" i="18"/>
  <c r="T13" i="18"/>
  <c r="AA13" i="18"/>
  <c r="Z13" i="18"/>
  <c r="AB13" i="18"/>
  <c r="S17" i="18"/>
  <c r="R17" i="18"/>
  <c r="AA17" i="18"/>
  <c r="Z17" i="18"/>
  <c r="G22" i="18"/>
  <c r="O22" i="18"/>
  <c r="W22" i="18"/>
  <c r="S26" i="18"/>
  <c r="R26" i="18"/>
  <c r="Q34" i="18"/>
  <c r="T26" i="18"/>
  <c r="AA26" i="18"/>
  <c r="Z26" i="18"/>
  <c r="Y34" i="18"/>
  <c r="AB26" i="18"/>
  <c r="S30" i="18"/>
  <c r="R30" i="18"/>
  <c r="T30" i="18"/>
  <c r="AA30" i="18"/>
  <c r="Z30" i="18"/>
  <c r="E36" i="18"/>
  <c r="M36" i="18"/>
  <c r="U36" i="18"/>
  <c r="S39" i="18"/>
  <c r="R39" i="18"/>
  <c r="T39" i="18"/>
  <c r="AA39" i="18"/>
  <c r="Z39" i="18"/>
  <c r="AB39" i="18"/>
  <c r="G48" i="18"/>
  <c r="O48" i="18"/>
  <c r="W48" i="18"/>
  <c r="S43" i="18"/>
  <c r="R43" i="18"/>
  <c r="AA43" i="18"/>
  <c r="Z43" i="18"/>
  <c r="AB43" i="18"/>
  <c r="S47" i="18"/>
  <c r="R47" i="18"/>
  <c r="T47" i="18"/>
  <c r="AA47" i="18"/>
  <c r="Z47" i="18"/>
  <c r="C50" i="18"/>
  <c r="S52" i="18"/>
  <c r="R52" i="18"/>
  <c r="AA52" i="18"/>
  <c r="Z52" i="18"/>
  <c r="E62" i="18"/>
  <c r="M62" i="18"/>
  <c r="U62" i="18"/>
  <c r="S56" i="18"/>
  <c r="R56" i="18"/>
  <c r="T56" i="18"/>
  <c r="AA56" i="18"/>
  <c r="Z56" i="18"/>
  <c r="S60" i="18"/>
  <c r="R60" i="18"/>
  <c r="AA60" i="18"/>
  <c r="Z60" i="18"/>
  <c r="AB60" i="18"/>
  <c r="S65" i="18"/>
  <c r="R65" i="18"/>
  <c r="Q64" i="18"/>
  <c r="T65" i="18"/>
  <c r="AA65" i="18"/>
  <c r="Z65" i="18"/>
  <c r="Y64" i="18"/>
  <c r="AB65" i="18"/>
  <c r="C76" i="18"/>
  <c r="S69" i="18"/>
  <c r="R69" i="18"/>
  <c r="T69" i="18"/>
  <c r="AA69" i="18"/>
  <c r="Z69" i="18"/>
  <c r="AB69" i="18"/>
  <c r="S73" i="18"/>
  <c r="R73" i="18"/>
  <c r="AA73" i="18"/>
  <c r="Z73" i="18"/>
  <c r="G78" i="18"/>
  <c r="O78" i="18"/>
  <c r="W78" i="18"/>
  <c r="S82" i="18"/>
  <c r="R82" i="18"/>
  <c r="Q90" i="18"/>
  <c r="T82" i="18"/>
  <c r="AA82" i="18"/>
  <c r="Z82" i="18"/>
  <c r="Y90" i="18"/>
  <c r="AB82" i="18"/>
  <c r="S86" i="18"/>
  <c r="R86" i="18"/>
  <c r="AA86" i="18"/>
  <c r="Z86" i="18"/>
  <c r="AB86" i="18"/>
  <c r="E92" i="18"/>
  <c r="M92" i="18"/>
  <c r="U92" i="18"/>
  <c r="S95" i="18"/>
  <c r="R95" i="18"/>
  <c r="T95" i="18"/>
  <c r="AA95" i="18"/>
  <c r="Z95" i="18"/>
  <c r="AB95" i="18"/>
  <c r="G104" i="18"/>
  <c r="O104" i="18"/>
  <c r="W104" i="18"/>
  <c r="S99" i="18"/>
  <c r="R99" i="18"/>
  <c r="AA99" i="18"/>
  <c r="Z99" i="18"/>
  <c r="AB99" i="18"/>
  <c r="S103" i="18"/>
  <c r="R103" i="18"/>
  <c r="AA103" i="18"/>
  <c r="Z103" i="18"/>
  <c r="AB103" i="18"/>
  <c r="C106" i="18"/>
  <c r="S108" i="18"/>
  <c r="R108" i="18"/>
  <c r="AA108" i="18"/>
  <c r="Z108" i="18"/>
  <c r="E118" i="18"/>
  <c r="M118" i="18"/>
  <c r="U118" i="18"/>
  <c r="S112" i="18"/>
  <c r="R112" i="18"/>
  <c r="AA112" i="18"/>
  <c r="Z112" i="18"/>
  <c r="AB112" i="18"/>
  <c r="S116" i="18"/>
  <c r="R116" i="18"/>
  <c r="AA116" i="18"/>
  <c r="Z116" i="18"/>
  <c r="AB116" i="18"/>
  <c r="S121" i="18"/>
  <c r="R121" i="18"/>
  <c r="Q120" i="18"/>
  <c r="T121" i="18"/>
  <c r="AA121" i="18"/>
  <c r="Z121" i="18"/>
  <c r="Y120" i="18"/>
  <c r="AB121" i="18"/>
  <c r="C132" i="18"/>
  <c r="S125" i="18"/>
  <c r="R125" i="18"/>
  <c r="T125" i="18"/>
  <c r="AA125" i="18"/>
  <c r="Z125" i="18"/>
  <c r="AB125" i="18"/>
  <c r="S129" i="18"/>
  <c r="R129" i="18"/>
  <c r="AA129" i="18"/>
  <c r="Z129" i="18"/>
  <c r="G134" i="18"/>
  <c r="O134" i="18"/>
  <c r="W134" i="18"/>
  <c r="S138" i="18"/>
  <c r="R138" i="18"/>
  <c r="Q146" i="18"/>
  <c r="T138" i="18"/>
  <c r="AA138" i="18"/>
  <c r="Z138" i="18"/>
  <c r="Y146" i="18"/>
  <c r="AB138" i="18"/>
  <c r="S142" i="18"/>
  <c r="R142" i="18"/>
  <c r="T142" i="18"/>
  <c r="AA142" i="18"/>
  <c r="Z142" i="18"/>
  <c r="E148" i="18"/>
  <c r="M148" i="18"/>
  <c r="U148" i="18"/>
  <c r="S151" i="18"/>
  <c r="R151" i="18"/>
  <c r="T151" i="18"/>
  <c r="AA151" i="18"/>
  <c r="Z151" i="18"/>
  <c r="AB151" i="18"/>
  <c r="G160" i="18"/>
  <c r="O160" i="18"/>
  <c r="W160" i="18"/>
  <c r="S155" i="18"/>
  <c r="R155" i="18"/>
  <c r="AA158" i="18"/>
  <c r="Z158" i="18"/>
  <c r="AB158" i="18"/>
  <c r="X45" i="19"/>
  <c r="H69" i="19"/>
  <c r="X99" i="19"/>
  <c r="I30" i="17"/>
  <c r="M30" i="17"/>
  <c r="L30" i="17"/>
  <c r="K30" i="17"/>
  <c r="J30" i="17"/>
  <c r="C37" i="17"/>
  <c r="I39" i="17"/>
  <c r="M39" i="17"/>
  <c r="L39" i="17"/>
  <c r="J39" i="17"/>
  <c r="K39" i="17"/>
  <c r="I47" i="17"/>
  <c r="M47" i="17"/>
  <c r="L47" i="17"/>
  <c r="K47" i="17"/>
  <c r="J47" i="17"/>
  <c r="I10" i="18"/>
  <c r="K10" i="18"/>
  <c r="J10" i="18"/>
  <c r="D20" i="18"/>
  <c r="L20" i="18"/>
  <c r="I14" i="18"/>
  <c r="J14" i="18"/>
  <c r="K14" i="18"/>
  <c r="I18" i="18"/>
  <c r="K18" i="18"/>
  <c r="J18" i="18"/>
  <c r="I23" i="18"/>
  <c r="J23" i="18"/>
  <c r="H22" i="18"/>
  <c r="P22" i="18"/>
  <c r="X22" i="18"/>
  <c r="I27" i="18"/>
  <c r="K27" i="18"/>
  <c r="J27" i="18"/>
  <c r="I31" i="18"/>
  <c r="J31" i="18"/>
  <c r="F36" i="18"/>
  <c r="N36" i="18"/>
  <c r="V36" i="18"/>
  <c r="I40" i="18"/>
  <c r="H48" i="18"/>
  <c r="J40" i="18"/>
  <c r="P48" i="18"/>
  <c r="X48" i="18"/>
  <c r="I44" i="18"/>
  <c r="K44" i="18"/>
  <c r="J44" i="18"/>
  <c r="D50" i="18"/>
  <c r="L50" i="18"/>
  <c r="I53" i="18"/>
  <c r="J53" i="18"/>
  <c r="F62" i="18"/>
  <c r="N62" i="18"/>
  <c r="V62" i="18"/>
  <c r="I57" i="18"/>
  <c r="J57" i="18"/>
  <c r="I61" i="18"/>
  <c r="K61" i="18"/>
  <c r="J61" i="18"/>
  <c r="I66" i="18"/>
  <c r="J66" i="18"/>
  <c r="K66" i="18"/>
  <c r="D76" i="18"/>
  <c r="L76" i="18"/>
  <c r="I70" i="18"/>
  <c r="K70" i="18"/>
  <c r="J70" i="18"/>
  <c r="I74" i="18"/>
  <c r="K74" i="18"/>
  <c r="J74" i="18"/>
  <c r="I79" i="18"/>
  <c r="H78" i="18"/>
  <c r="J79" i="18"/>
  <c r="P78" i="18"/>
  <c r="X78" i="18"/>
  <c r="I83" i="18"/>
  <c r="J83" i="18"/>
  <c r="I87" i="18"/>
  <c r="J87" i="18"/>
  <c r="F92" i="18"/>
  <c r="N92" i="18"/>
  <c r="V92" i="18"/>
  <c r="I96" i="18"/>
  <c r="H104" i="18"/>
  <c r="J96" i="18"/>
  <c r="P104" i="18"/>
  <c r="X104" i="18"/>
  <c r="I100" i="18"/>
  <c r="J100" i="18"/>
  <c r="K100" i="18"/>
  <c r="D106" i="18"/>
  <c r="L106" i="18"/>
  <c r="I109" i="18"/>
  <c r="K109" i="18"/>
  <c r="J109" i="18"/>
  <c r="F118" i="18"/>
  <c r="N118" i="18"/>
  <c r="V118" i="18"/>
  <c r="I113" i="18"/>
  <c r="J113" i="18"/>
  <c r="I117" i="18"/>
  <c r="J117" i="18"/>
  <c r="K117" i="18"/>
  <c r="I122" i="18"/>
  <c r="K122" i="18"/>
  <c r="J122" i="18"/>
  <c r="D132" i="18"/>
  <c r="L132" i="18"/>
  <c r="I126" i="18"/>
  <c r="J126" i="18"/>
  <c r="I130" i="18"/>
  <c r="K130" i="18"/>
  <c r="J130" i="18"/>
  <c r="I135" i="18"/>
  <c r="J135" i="18"/>
  <c r="K135" i="18"/>
  <c r="H134" i="18"/>
  <c r="P134" i="18"/>
  <c r="X134" i="18"/>
  <c r="I139" i="18"/>
  <c r="J139" i="18"/>
  <c r="I143" i="18"/>
  <c r="K143" i="18"/>
  <c r="J143" i="18"/>
  <c r="F148" i="18"/>
  <c r="N148" i="18"/>
  <c r="V148" i="18"/>
  <c r="I152" i="18"/>
  <c r="H160" i="18"/>
  <c r="J152" i="18"/>
  <c r="K152" i="18"/>
  <c r="P160" i="18"/>
  <c r="X160" i="18"/>
  <c r="L19" i="17"/>
  <c r="K19" i="17"/>
  <c r="M19" i="17"/>
  <c r="J19" i="17"/>
  <c r="I19" i="17"/>
  <c r="C23" i="17"/>
  <c r="L25" i="17"/>
  <c r="K25" i="17"/>
  <c r="M25" i="17"/>
  <c r="J25" i="17"/>
  <c r="I25" i="17"/>
  <c r="L33" i="17"/>
  <c r="K33" i="17"/>
  <c r="M33" i="17"/>
  <c r="J33" i="17"/>
  <c r="I33" i="17"/>
  <c r="D37" i="17"/>
  <c r="C49" i="17"/>
  <c r="L42" i="17"/>
  <c r="K42" i="17"/>
  <c r="M42" i="17"/>
  <c r="J42" i="17"/>
  <c r="I42" i="17"/>
  <c r="C8" i="18"/>
  <c r="T10" i="18"/>
  <c r="R10" i="18"/>
  <c r="S10" i="18"/>
  <c r="AB10" i="18"/>
  <c r="AA10" i="18"/>
  <c r="Z10" i="18"/>
  <c r="E20" i="18"/>
  <c r="M20" i="18"/>
  <c r="U20" i="18"/>
  <c r="S14" i="18"/>
  <c r="R14" i="18"/>
  <c r="AB14" i="18"/>
  <c r="AA14" i="18"/>
  <c r="Z14" i="18"/>
  <c r="T18" i="18"/>
  <c r="S18" i="18"/>
  <c r="R18" i="18"/>
  <c r="AB18" i="18"/>
  <c r="AA18" i="18"/>
  <c r="Z18" i="18"/>
  <c r="Q22" i="18"/>
  <c r="S23" i="18"/>
  <c r="R23" i="18"/>
  <c r="Y22" i="18"/>
  <c r="AB23" i="18"/>
  <c r="Z23" i="18"/>
  <c r="AA23" i="18"/>
  <c r="C34" i="18"/>
  <c r="R27" i="18"/>
  <c r="S27" i="18"/>
  <c r="AB27" i="18"/>
  <c r="AA27" i="18"/>
  <c r="Z27" i="18"/>
  <c r="T31" i="18"/>
  <c r="S31" i="18"/>
  <c r="R31" i="18"/>
  <c r="AB31" i="18"/>
  <c r="AA31" i="18"/>
  <c r="Z31" i="18"/>
  <c r="G36" i="18"/>
  <c r="O36" i="18"/>
  <c r="W36" i="18"/>
  <c r="Q48" i="18"/>
  <c r="S40" i="18"/>
  <c r="R40" i="18"/>
  <c r="Y48" i="18"/>
  <c r="AB40" i="18"/>
  <c r="Z40" i="18"/>
  <c r="AA40" i="18"/>
  <c r="R44" i="18"/>
  <c r="S44" i="18"/>
  <c r="AB44" i="18"/>
  <c r="AA44" i="18"/>
  <c r="Z44" i="18"/>
  <c r="E50" i="18"/>
  <c r="M50" i="18"/>
  <c r="U50" i="18"/>
  <c r="S53" i="18"/>
  <c r="R53" i="18"/>
  <c r="AB53" i="18"/>
  <c r="AA53" i="18"/>
  <c r="Z53" i="18"/>
  <c r="G62" i="18"/>
  <c r="O62" i="18"/>
  <c r="W62" i="18"/>
  <c r="T57" i="18"/>
  <c r="S57" i="18"/>
  <c r="R57" i="18"/>
  <c r="AB57" i="18"/>
  <c r="Z57" i="18"/>
  <c r="AA57" i="18"/>
  <c r="R61" i="18"/>
  <c r="S61" i="18"/>
  <c r="AB61" i="18"/>
  <c r="AA61" i="18"/>
  <c r="Z61" i="18"/>
  <c r="C64" i="18"/>
  <c r="T66" i="18"/>
  <c r="S66" i="18"/>
  <c r="R66" i="18"/>
  <c r="AB66" i="18"/>
  <c r="AA66" i="18"/>
  <c r="Z66" i="18"/>
  <c r="E76" i="18"/>
  <c r="M76" i="18"/>
  <c r="U76" i="18"/>
  <c r="S70" i="18"/>
  <c r="R70" i="18"/>
  <c r="AB70" i="18"/>
  <c r="AA70" i="18"/>
  <c r="Z70" i="18"/>
  <c r="S74" i="18"/>
  <c r="R74" i="18"/>
  <c r="AB74" i="18"/>
  <c r="Z74" i="18"/>
  <c r="AA74" i="18"/>
  <c r="Q78" i="18"/>
  <c r="R79" i="18"/>
  <c r="S79" i="18"/>
  <c r="Y78" i="18"/>
  <c r="AB79" i="18"/>
  <c r="AA79" i="18"/>
  <c r="Z79" i="18"/>
  <c r="C90" i="18"/>
  <c r="S83" i="18"/>
  <c r="R83" i="18"/>
  <c r="AB83" i="18"/>
  <c r="AA83" i="18"/>
  <c r="Z83" i="18"/>
  <c r="T87" i="18"/>
  <c r="S87" i="18"/>
  <c r="R87" i="18"/>
  <c r="AB87" i="18"/>
  <c r="AA87" i="18"/>
  <c r="Z87" i="18"/>
  <c r="G92" i="18"/>
  <c r="O92" i="18"/>
  <c r="W92" i="18"/>
  <c r="Q104" i="18"/>
  <c r="R96" i="18"/>
  <c r="S96" i="18"/>
  <c r="Y104" i="18"/>
  <c r="AB96" i="18"/>
  <c r="AA96" i="18"/>
  <c r="Z96" i="18"/>
  <c r="S100" i="18"/>
  <c r="R100" i="18"/>
  <c r="AB100" i="18"/>
  <c r="AA100" i="18"/>
  <c r="Z100" i="18"/>
  <c r="E106" i="18"/>
  <c r="M106" i="18"/>
  <c r="U106" i="18"/>
  <c r="S109" i="18"/>
  <c r="R109" i="18"/>
  <c r="AB109" i="18"/>
  <c r="Z109" i="18"/>
  <c r="AA109" i="18"/>
  <c r="G118" i="18"/>
  <c r="O118" i="18"/>
  <c r="W118" i="18"/>
  <c r="R113" i="18"/>
  <c r="S113" i="18"/>
  <c r="AB113" i="18"/>
  <c r="AA113" i="18"/>
  <c r="Z113" i="18"/>
  <c r="S117" i="18"/>
  <c r="R117" i="18"/>
  <c r="AB117" i="18"/>
  <c r="AA117" i="18"/>
  <c r="Z117" i="18"/>
  <c r="C120" i="18"/>
  <c r="T122" i="18"/>
  <c r="S122" i="18"/>
  <c r="R122" i="18"/>
  <c r="AB122" i="18"/>
  <c r="AA122" i="18"/>
  <c r="Z122" i="18"/>
  <c r="E132" i="18"/>
  <c r="M132" i="18"/>
  <c r="U132" i="18"/>
  <c r="S126" i="18"/>
  <c r="R126" i="18"/>
  <c r="AB126" i="18"/>
  <c r="Z126" i="18"/>
  <c r="AA126" i="18"/>
  <c r="T130" i="18"/>
  <c r="R130" i="18"/>
  <c r="S130" i="18"/>
  <c r="AB130" i="18"/>
  <c r="AA130" i="18"/>
  <c r="Z130" i="18"/>
  <c r="Q134" i="18"/>
  <c r="S135" i="18"/>
  <c r="R135" i="18"/>
  <c r="Y134" i="18"/>
  <c r="AB135" i="18"/>
  <c r="AA135" i="18"/>
  <c r="Z135" i="18"/>
  <c r="C146" i="18"/>
  <c r="S139" i="18"/>
  <c r="R139" i="18"/>
  <c r="AB139" i="18"/>
  <c r="Z139" i="18"/>
  <c r="AA139" i="18"/>
  <c r="T143" i="18"/>
  <c r="S143" i="18"/>
  <c r="R143" i="18"/>
  <c r="AB143" i="18"/>
  <c r="Z143" i="18"/>
  <c r="AA143" i="18"/>
  <c r="G148" i="18"/>
  <c r="O148" i="18"/>
  <c r="W148" i="18"/>
  <c r="Q160" i="18"/>
  <c r="S152" i="18"/>
  <c r="R152" i="18"/>
  <c r="Y160" i="18"/>
  <c r="AB152" i="18"/>
  <c r="AA152" i="18"/>
  <c r="Z152" i="18"/>
  <c r="S156" i="18"/>
  <c r="R156" i="18"/>
  <c r="T156" i="18"/>
  <c r="G51" i="19"/>
  <c r="I157" i="18"/>
  <c r="K157" i="18"/>
  <c r="J157" i="18"/>
  <c r="F22" i="21"/>
  <c r="E50" i="21"/>
  <c r="D64" i="21"/>
  <c r="J91" i="21"/>
  <c r="I91" i="21"/>
  <c r="H91" i="21"/>
  <c r="J125" i="21"/>
  <c r="I125" i="21"/>
  <c r="H125" i="21"/>
  <c r="M65" i="22"/>
  <c r="L65" i="22"/>
  <c r="K65" i="22"/>
  <c r="J65" i="22"/>
  <c r="N65" i="22"/>
  <c r="T157" i="18"/>
  <c r="S157" i="18"/>
  <c r="R157" i="18"/>
  <c r="AB157" i="18"/>
  <c r="AA157" i="18"/>
  <c r="Z157" i="18"/>
  <c r="I25" i="21"/>
  <c r="H25" i="21"/>
  <c r="J25" i="21"/>
  <c r="E36" i="21"/>
  <c r="I33" i="21"/>
  <c r="H33" i="21"/>
  <c r="J33" i="21"/>
  <c r="C35" i="22"/>
  <c r="M47" i="22"/>
  <c r="L47" i="22"/>
  <c r="K47" i="22"/>
  <c r="J47" i="22"/>
  <c r="N47" i="22"/>
  <c r="X15" i="19"/>
  <c r="I31" i="21"/>
  <c r="H31" i="21"/>
  <c r="J31" i="21"/>
  <c r="I40" i="21"/>
  <c r="H40" i="21"/>
  <c r="J40" i="21"/>
  <c r="I53" i="21"/>
  <c r="H53" i="21"/>
  <c r="J53" i="21"/>
  <c r="E92" i="21"/>
  <c r="J151" i="21"/>
  <c r="I151" i="21"/>
  <c r="H151" i="21"/>
  <c r="I159" i="18"/>
  <c r="K159" i="18"/>
  <c r="J159" i="18"/>
  <c r="I48" i="21"/>
  <c r="H48" i="21"/>
  <c r="J48" i="21"/>
  <c r="J133" i="21"/>
  <c r="I133" i="21"/>
  <c r="H133" i="21"/>
  <c r="S159" i="18"/>
  <c r="R159" i="18"/>
  <c r="AB159" i="18"/>
  <c r="AA159" i="18"/>
  <c r="Z159" i="18"/>
  <c r="I29" i="21"/>
  <c r="H29" i="21"/>
  <c r="J29" i="21"/>
  <c r="I38" i="21"/>
  <c r="H38" i="21"/>
  <c r="J38" i="21"/>
  <c r="M99" i="22"/>
  <c r="L99" i="22"/>
  <c r="K99" i="22"/>
  <c r="J99" i="22"/>
  <c r="N99" i="22"/>
  <c r="H82" i="25"/>
  <c r="I10" i="21"/>
  <c r="H10" i="21"/>
  <c r="J10" i="21"/>
  <c r="I12" i="21"/>
  <c r="H12" i="21"/>
  <c r="J12" i="21"/>
  <c r="I14" i="21"/>
  <c r="H14" i="21"/>
  <c r="J14" i="21"/>
  <c r="G22" i="21"/>
  <c r="I16" i="21"/>
  <c r="H16" i="21"/>
  <c r="J16" i="21"/>
  <c r="I18" i="21"/>
  <c r="H18" i="21"/>
  <c r="J18" i="21"/>
  <c r="I20" i="21"/>
  <c r="H20" i="21"/>
  <c r="J20" i="21"/>
  <c r="I26" i="21"/>
  <c r="H26" i="21"/>
  <c r="J26" i="21"/>
  <c r="C36" i="21"/>
  <c r="I30" i="21"/>
  <c r="H30" i="21"/>
  <c r="J30" i="21"/>
  <c r="I34" i="21"/>
  <c r="H34" i="21"/>
  <c r="J34" i="21"/>
  <c r="I39" i="21"/>
  <c r="H39" i="21"/>
  <c r="J39" i="21"/>
  <c r="I42" i="21"/>
  <c r="H42" i="21"/>
  <c r="J42" i="21"/>
  <c r="G50" i="21"/>
  <c r="I44" i="21"/>
  <c r="H44" i="21"/>
  <c r="J44" i="21"/>
  <c r="I46" i="21"/>
  <c r="H46" i="21"/>
  <c r="J46" i="21"/>
  <c r="E64" i="21"/>
  <c r="J100" i="21"/>
  <c r="I100" i="21"/>
  <c r="H100" i="21"/>
  <c r="J116" i="21"/>
  <c r="I116" i="21"/>
  <c r="H116" i="21"/>
  <c r="M30" i="22"/>
  <c r="L30" i="22"/>
  <c r="K30" i="22"/>
  <c r="J30" i="22"/>
  <c r="N30" i="22"/>
  <c r="M109" i="26"/>
  <c r="L109" i="26"/>
  <c r="K109" i="26"/>
  <c r="J109" i="26"/>
  <c r="I109" i="26"/>
  <c r="D36" i="21"/>
  <c r="F64" i="21"/>
  <c r="J109" i="21"/>
  <c r="I109" i="21"/>
  <c r="H109" i="21"/>
  <c r="M82" i="22"/>
  <c r="L82" i="22"/>
  <c r="K82" i="22"/>
  <c r="J82" i="22"/>
  <c r="N82" i="22"/>
  <c r="I11" i="21"/>
  <c r="H11" i="21"/>
  <c r="J11" i="21"/>
  <c r="I13" i="21"/>
  <c r="H13" i="21"/>
  <c r="J13" i="21"/>
  <c r="C22" i="21"/>
  <c r="I15" i="21"/>
  <c r="H15" i="21"/>
  <c r="J15" i="21"/>
  <c r="I17" i="21"/>
  <c r="H17" i="21"/>
  <c r="J17" i="21"/>
  <c r="I19" i="21"/>
  <c r="H19" i="21"/>
  <c r="J19" i="21"/>
  <c r="I21" i="21"/>
  <c r="H21" i="21"/>
  <c r="J21" i="21"/>
  <c r="I24" i="21"/>
  <c r="H24" i="21"/>
  <c r="J24" i="21"/>
  <c r="I28" i="21"/>
  <c r="H28" i="21"/>
  <c r="J28" i="21"/>
  <c r="G36" i="21"/>
  <c r="I32" i="21"/>
  <c r="H32" i="21"/>
  <c r="J32" i="21"/>
  <c r="I47" i="21"/>
  <c r="H47" i="21"/>
  <c r="J47" i="21"/>
  <c r="I57" i="21"/>
  <c r="H57" i="21"/>
  <c r="J57" i="21"/>
  <c r="C120" i="21"/>
  <c r="J139" i="21"/>
  <c r="I139" i="21"/>
  <c r="H139" i="21"/>
  <c r="M34" i="22"/>
  <c r="L34" i="22"/>
  <c r="K34" i="22"/>
  <c r="J34" i="22"/>
  <c r="N34" i="22"/>
  <c r="M116" i="22"/>
  <c r="L116" i="22"/>
  <c r="K116" i="22"/>
  <c r="J116" i="22"/>
  <c r="N116" i="22"/>
  <c r="L18" i="24"/>
  <c r="M59" i="27"/>
  <c r="L59" i="27"/>
  <c r="K59" i="27"/>
  <c r="J59" i="27"/>
  <c r="I59" i="27"/>
  <c r="D22" i="21"/>
  <c r="C50" i="21"/>
  <c r="I43" i="21"/>
  <c r="H43" i="21"/>
  <c r="J43" i="21"/>
  <c r="D92" i="21"/>
  <c r="J122" i="21"/>
  <c r="I122" i="21"/>
  <c r="H122" i="21"/>
  <c r="G105" i="22"/>
  <c r="D147" i="22"/>
  <c r="I56" i="21"/>
  <c r="H56" i="21"/>
  <c r="G64" i="21"/>
  <c r="J56" i="21"/>
  <c r="J123" i="21"/>
  <c r="H123" i="21"/>
  <c r="I123" i="21"/>
  <c r="G148" i="21"/>
  <c r="J140" i="21"/>
  <c r="H140" i="21"/>
  <c r="I140" i="21"/>
  <c r="C162" i="21"/>
  <c r="L9" i="22"/>
  <c r="K9" i="22"/>
  <c r="J9" i="22"/>
  <c r="M9" i="22"/>
  <c r="N9" i="22"/>
  <c r="Z13" i="22"/>
  <c r="X13" i="22"/>
  <c r="M39" i="22"/>
  <c r="L39" i="22"/>
  <c r="K39" i="22"/>
  <c r="J39" i="22"/>
  <c r="N39" i="22"/>
  <c r="M73" i="22"/>
  <c r="L73" i="22"/>
  <c r="K73" i="22"/>
  <c r="J73" i="22"/>
  <c r="N73" i="22"/>
  <c r="M108" i="22"/>
  <c r="L108" i="22"/>
  <c r="K108" i="22"/>
  <c r="J108" i="22"/>
  <c r="N108" i="22"/>
  <c r="J152" i="24"/>
  <c r="F50" i="21"/>
  <c r="C78" i="21"/>
  <c r="J101" i="21"/>
  <c r="I101" i="21"/>
  <c r="H101" i="21"/>
  <c r="J110" i="21"/>
  <c r="I110" i="21"/>
  <c r="H110" i="21"/>
  <c r="J119" i="21"/>
  <c r="I119" i="21"/>
  <c r="H119" i="21"/>
  <c r="J137" i="21"/>
  <c r="I137" i="21"/>
  <c r="H137" i="21"/>
  <c r="J154" i="21"/>
  <c r="I154" i="21"/>
  <c r="G162" i="21"/>
  <c r="H154" i="21"/>
  <c r="N12" i="22"/>
  <c r="M12" i="22"/>
  <c r="L12" i="22"/>
  <c r="K12" i="22"/>
  <c r="J12" i="22"/>
  <c r="M43" i="22"/>
  <c r="L43" i="22"/>
  <c r="K43" i="22"/>
  <c r="J43" i="22"/>
  <c r="N43" i="22"/>
  <c r="E63" i="22"/>
  <c r="F105" i="22"/>
  <c r="M112" i="22"/>
  <c r="L112" i="22"/>
  <c r="K112" i="22"/>
  <c r="J112" i="22"/>
  <c r="N112" i="22"/>
  <c r="H98" i="25"/>
  <c r="E78" i="21"/>
  <c r="J87" i="21"/>
  <c r="I87" i="21"/>
  <c r="H87" i="21"/>
  <c r="J96" i="21"/>
  <c r="I96" i="21"/>
  <c r="H96" i="21"/>
  <c r="J104" i="21"/>
  <c r="I104" i="21"/>
  <c r="H104" i="21"/>
  <c r="J113" i="21"/>
  <c r="I113" i="21"/>
  <c r="H113" i="21"/>
  <c r="J130" i="21"/>
  <c r="I130" i="21"/>
  <c r="H130" i="21"/>
  <c r="J147" i="21"/>
  <c r="I147" i="21"/>
  <c r="H147" i="21"/>
  <c r="Z15" i="22"/>
  <c r="X15" i="22"/>
  <c r="M52" i="22"/>
  <c r="L52" i="22"/>
  <c r="K52" i="22"/>
  <c r="J52" i="22"/>
  <c r="N52" i="22"/>
  <c r="M86" i="22"/>
  <c r="L86" i="22"/>
  <c r="K86" i="22"/>
  <c r="J86" i="22"/>
  <c r="N86" i="22"/>
  <c r="M121" i="22"/>
  <c r="L121" i="22"/>
  <c r="K121" i="22"/>
  <c r="J121" i="22"/>
  <c r="N121" i="22"/>
  <c r="L21" i="24"/>
  <c r="H65" i="25"/>
  <c r="F108" i="25"/>
  <c r="I41" i="21"/>
  <c r="H41" i="21"/>
  <c r="J41" i="21"/>
  <c r="I45" i="21"/>
  <c r="H45" i="21"/>
  <c r="J45" i="21"/>
  <c r="I49" i="21"/>
  <c r="H49" i="21"/>
  <c r="J49" i="21"/>
  <c r="I54" i="21"/>
  <c r="H54" i="21"/>
  <c r="J54" i="21"/>
  <c r="C64" i="21"/>
  <c r="I58" i="21"/>
  <c r="H58" i="21"/>
  <c r="J58" i="21"/>
  <c r="H114" i="21"/>
  <c r="J114" i="21"/>
  <c r="I114" i="21"/>
  <c r="H131" i="21"/>
  <c r="I131" i="21"/>
  <c r="J131" i="21"/>
  <c r="J159" i="21"/>
  <c r="I159" i="21"/>
  <c r="H159" i="21"/>
  <c r="Z12" i="22"/>
  <c r="Y12" i="22"/>
  <c r="X12" i="22"/>
  <c r="AA12" i="22"/>
  <c r="F49" i="22"/>
  <c r="M56" i="22"/>
  <c r="L56" i="22"/>
  <c r="K56" i="22"/>
  <c r="J56" i="22"/>
  <c r="N56" i="22"/>
  <c r="C91" i="22"/>
  <c r="M90" i="22"/>
  <c r="L90" i="22"/>
  <c r="K90" i="22"/>
  <c r="J90" i="22"/>
  <c r="N90" i="22"/>
  <c r="M125" i="22"/>
  <c r="L125" i="22"/>
  <c r="K125" i="22"/>
  <c r="J125" i="22"/>
  <c r="N125" i="22"/>
  <c r="I133" i="22"/>
  <c r="H53" i="24"/>
  <c r="C92" i="21"/>
  <c r="J88" i="21"/>
  <c r="I88" i="21"/>
  <c r="H88" i="21"/>
  <c r="J97" i="21"/>
  <c r="I97" i="21"/>
  <c r="H97" i="21"/>
  <c r="J105" i="21"/>
  <c r="H105" i="21"/>
  <c r="I105" i="21"/>
  <c r="J128" i="21"/>
  <c r="H128" i="21"/>
  <c r="I128" i="21"/>
  <c r="J145" i="21"/>
  <c r="H145" i="21"/>
  <c r="I145" i="21"/>
  <c r="N13" i="22"/>
  <c r="M13" i="22"/>
  <c r="L13" i="22"/>
  <c r="K13" i="22"/>
  <c r="I21" i="22"/>
  <c r="J13" i="22"/>
  <c r="M18" i="22"/>
  <c r="L18" i="22"/>
  <c r="K18" i="22"/>
  <c r="J18" i="22"/>
  <c r="N18" i="22"/>
  <c r="M26" i="22"/>
  <c r="L26" i="22"/>
  <c r="K26" i="22"/>
  <c r="J26" i="22"/>
  <c r="N26" i="22"/>
  <c r="G49" i="22"/>
  <c r="M60" i="22"/>
  <c r="L60" i="22"/>
  <c r="K60" i="22"/>
  <c r="J60" i="22"/>
  <c r="N60" i="22"/>
  <c r="M95" i="22"/>
  <c r="L95" i="22"/>
  <c r="K95" i="22"/>
  <c r="J95" i="22"/>
  <c r="N95" i="22"/>
  <c r="M129" i="22"/>
  <c r="L129" i="22"/>
  <c r="K129" i="22"/>
  <c r="J129" i="22"/>
  <c r="N129" i="22"/>
  <c r="F63" i="24"/>
  <c r="L147" i="24"/>
  <c r="L191" i="24"/>
  <c r="J196" i="24"/>
  <c r="K71" i="26"/>
  <c r="M71" i="26"/>
  <c r="L71" i="26"/>
  <c r="J71" i="26"/>
  <c r="I71" i="26"/>
  <c r="M97" i="26"/>
  <c r="L97" i="26"/>
  <c r="K97" i="26"/>
  <c r="J97" i="26"/>
  <c r="I97" i="26"/>
  <c r="M88" i="27"/>
  <c r="L88" i="27"/>
  <c r="K88" i="27"/>
  <c r="J88" i="27"/>
  <c r="I88" i="27"/>
  <c r="J156" i="21"/>
  <c r="I156" i="21"/>
  <c r="H156" i="21"/>
  <c r="N19" i="22"/>
  <c r="M19" i="22"/>
  <c r="L19" i="22"/>
  <c r="K19" i="22"/>
  <c r="J19" i="22"/>
  <c r="D35" i="22"/>
  <c r="H49" i="22"/>
  <c r="D91" i="22"/>
  <c r="H105" i="22"/>
  <c r="N150" i="22"/>
  <c r="K150" i="22"/>
  <c r="M150" i="22"/>
  <c r="L150" i="22"/>
  <c r="J150" i="22"/>
  <c r="J79" i="24"/>
  <c r="L87" i="24"/>
  <c r="J105" i="24"/>
  <c r="F189" i="24"/>
  <c r="F208" i="24"/>
  <c r="F236" i="24"/>
  <c r="J85" i="25"/>
  <c r="G34" i="27"/>
  <c r="F78" i="21"/>
  <c r="F92" i="21"/>
  <c r="D120" i="21"/>
  <c r="J118" i="21"/>
  <c r="I118" i="21"/>
  <c r="H118" i="21"/>
  <c r="J127" i="21"/>
  <c r="I127" i="21"/>
  <c r="H127" i="21"/>
  <c r="J136" i="21"/>
  <c r="I136" i="21"/>
  <c r="H136" i="21"/>
  <c r="J144" i="21"/>
  <c r="I144" i="21"/>
  <c r="H144" i="21"/>
  <c r="J153" i="21"/>
  <c r="I153" i="21"/>
  <c r="H153" i="21"/>
  <c r="J161" i="21"/>
  <c r="I161" i="21"/>
  <c r="H161" i="21"/>
  <c r="N11" i="22"/>
  <c r="M11" i="22"/>
  <c r="L11" i="22"/>
  <c r="K11" i="22"/>
  <c r="J11" i="22"/>
  <c r="M24" i="22"/>
  <c r="L24" i="22"/>
  <c r="K24" i="22"/>
  <c r="J24" i="22"/>
  <c r="N24" i="22"/>
  <c r="E35" i="22"/>
  <c r="M28" i="22"/>
  <c r="L28" i="22"/>
  <c r="K28" i="22"/>
  <c r="J28" i="22"/>
  <c r="N28" i="22"/>
  <c r="M32" i="22"/>
  <c r="L32" i="22"/>
  <c r="K32" i="22"/>
  <c r="J32" i="22"/>
  <c r="N32" i="22"/>
  <c r="M37" i="22"/>
  <c r="L37" i="22"/>
  <c r="K37" i="22"/>
  <c r="J37" i="22"/>
  <c r="N37" i="22"/>
  <c r="M41" i="22"/>
  <c r="L41" i="22"/>
  <c r="K41" i="22"/>
  <c r="J41" i="22"/>
  <c r="N41" i="22"/>
  <c r="I49" i="22"/>
  <c r="M45" i="22"/>
  <c r="L45" i="22"/>
  <c r="K45" i="22"/>
  <c r="J45" i="22"/>
  <c r="N45" i="22"/>
  <c r="M54" i="22"/>
  <c r="L54" i="22"/>
  <c r="K54" i="22"/>
  <c r="J54" i="22"/>
  <c r="N54" i="22"/>
  <c r="M58" i="22"/>
  <c r="L58" i="22"/>
  <c r="K58" i="22"/>
  <c r="J58" i="22"/>
  <c r="N58" i="22"/>
  <c r="M62" i="22"/>
  <c r="L62" i="22"/>
  <c r="K62" i="22"/>
  <c r="J62" i="22"/>
  <c r="N62" i="22"/>
  <c r="M67" i="22"/>
  <c r="L67" i="22"/>
  <c r="K67" i="22"/>
  <c r="J67" i="22"/>
  <c r="N67" i="22"/>
  <c r="M71" i="22"/>
  <c r="L71" i="22"/>
  <c r="K71" i="22"/>
  <c r="J71" i="22"/>
  <c r="N71" i="22"/>
  <c r="M75" i="22"/>
  <c r="L75" i="22"/>
  <c r="K75" i="22"/>
  <c r="J75" i="22"/>
  <c r="N75" i="22"/>
  <c r="M80" i="22"/>
  <c r="L80" i="22"/>
  <c r="K80" i="22"/>
  <c r="J80" i="22"/>
  <c r="N80" i="22"/>
  <c r="E91" i="22"/>
  <c r="M84" i="22"/>
  <c r="L84" i="22"/>
  <c r="K84" i="22"/>
  <c r="J84" i="22"/>
  <c r="N84" i="22"/>
  <c r="M88" i="22"/>
  <c r="L88" i="22"/>
  <c r="K88" i="22"/>
  <c r="J88" i="22"/>
  <c r="N88" i="22"/>
  <c r="M93" i="22"/>
  <c r="L93" i="22"/>
  <c r="K93" i="22"/>
  <c r="J93" i="22"/>
  <c r="N93" i="22"/>
  <c r="M97" i="22"/>
  <c r="L97" i="22"/>
  <c r="K97" i="22"/>
  <c r="J97" i="22"/>
  <c r="N97" i="22"/>
  <c r="I105" i="22"/>
  <c r="M101" i="22"/>
  <c r="L101" i="22"/>
  <c r="K101" i="22"/>
  <c r="J101" i="22"/>
  <c r="N101" i="22"/>
  <c r="M110" i="22"/>
  <c r="L110" i="22"/>
  <c r="K110" i="22"/>
  <c r="J110" i="22"/>
  <c r="N110" i="22"/>
  <c r="M114" i="22"/>
  <c r="L114" i="22"/>
  <c r="K114" i="22"/>
  <c r="J114" i="22"/>
  <c r="N114" i="22"/>
  <c r="M118" i="22"/>
  <c r="L118" i="22"/>
  <c r="K118" i="22"/>
  <c r="J118" i="22"/>
  <c r="N118" i="22"/>
  <c r="M123" i="22"/>
  <c r="L123" i="22"/>
  <c r="K123" i="22"/>
  <c r="J123" i="22"/>
  <c r="N123" i="22"/>
  <c r="M127" i="22"/>
  <c r="L127" i="22"/>
  <c r="K127" i="22"/>
  <c r="J127" i="22"/>
  <c r="N127" i="22"/>
  <c r="M131" i="22"/>
  <c r="L131" i="22"/>
  <c r="K131" i="22"/>
  <c r="J131" i="22"/>
  <c r="N131" i="22"/>
  <c r="M136" i="22"/>
  <c r="L136" i="22"/>
  <c r="K136" i="22"/>
  <c r="J136" i="22"/>
  <c r="N136" i="22"/>
  <c r="L19" i="24"/>
  <c r="F31" i="24"/>
  <c r="H42" i="24"/>
  <c r="L85" i="24"/>
  <c r="F131" i="24"/>
  <c r="J149" i="24"/>
  <c r="C34" i="26"/>
  <c r="M157" i="26"/>
  <c r="L157" i="26"/>
  <c r="K157" i="26"/>
  <c r="J157" i="26"/>
  <c r="I157" i="26"/>
  <c r="I59" i="21"/>
  <c r="H59" i="21"/>
  <c r="J59" i="21"/>
  <c r="I60" i="21"/>
  <c r="H60" i="21"/>
  <c r="J60" i="21"/>
  <c r="I61" i="21"/>
  <c r="H61" i="21"/>
  <c r="J61" i="21"/>
  <c r="I62" i="21"/>
  <c r="H62" i="21"/>
  <c r="J62" i="21"/>
  <c r="I63" i="21"/>
  <c r="H63" i="21"/>
  <c r="J63" i="21"/>
  <c r="I66" i="21"/>
  <c r="H66" i="21"/>
  <c r="J66" i="21"/>
  <c r="I67" i="21"/>
  <c r="H67" i="21"/>
  <c r="J67" i="21"/>
  <c r="I68" i="21"/>
  <c r="H68" i="21"/>
  <c r="J68" i="21"/>
  <c r="I69" i="21"/>
  <c r="H69" i="21"/>
  <c r="J69" i="21"/>
  <c r="I70" i="21"/>
  <c r="H70" i="21"/>
  <c r="G78" i="21"/>
  <c r="J70" i="21"/>
  <c r="I71" i="21"/>
  <c r="H71" i="21"/>
  <c r="J71" i="21"/>
  <c r="I72" i="21"/>
  <c r="H72" i="21"/>
  <c r="J72" i="21"/>
  <c r="I73" i="21"/>
  <c r="H73" i="21"/>
  <c r="J73" i="21"/>
  <c r="I74" i="21"/>
  <c r="H74" i="21"/>
  <c r="J74" i="21"/>
  <c r="I75" i="21"/>
  <c r="H75" i="21"/>
  <c r="J75" i="21"/>
  <c r="I76" i="21"/>
  <c r="H76" i="21"/>
  <c r="J76" i="21"/>
  <c r="I77" i="21"/>
  <c r="H77" i="21"/>
  <c r="J77" i="21"/>
  <c r="I80" i="21"/>
  <c r="H80" i="21"/>
  <c r="J80" i="21"/>
  <c r="I81" i="21"/>
  <c r="H81" i="21"/>
  <c r="J81" i="21"/>
  <c r="I82" i="21"/>
  <c r="H82" i="21"/>
  <c r="J82" i="21"/>
  <c r="I83" i="21"/>
  <c r="H83" i="21"/>
  <c r="J83" i="21"/>
  <c r="I84" i="21"/>
  <c r="H84" i="21"/>
  <c r="G92" i="21"/>
  <c r="J84" i="21"/>
  <c r="I85" i="21"/>
  <c r="H85" i="21"/>
  <c r="J85" i="21"/>
  <c r="I86" i="21"/>
  <c r="H86" i="21"/>
  <c r="J86" i="21"/>
  <c r="I90" i="21"/>
  <c r="H90" i="21"/>
  <c r="J90" i="21"/>
  <c r="I95" i="21"/>
  <c r="H95" i="21"/>
  <c r="J95" i="21"/>
  <c r="C106" i="21"/>
  <c r="I99" i="21"/>
  <c r="H99" i="21"/>
  <c r="J99" i="21"/>
  <c r="I103" i="21"/>
  <c r="H103" i="21"/>
  <c r="J103" i="21"/>
  <c r="I108" i="21"/>
  <c r="H108" i="21"/>
  <c r="J108" i="21"/>
  <c r="I112" i="21"/>
  <c r="G120" i="21"/>
  <c r="H112" i="21"/>
  <c r="J112" i="21"/>
  <c r="I115" i="21"/>
  <c r="H115" i="21"/>
  <c r="J115" i="21"/>
  <c r="I124" i="21"/>
  <c r="H124" i="21"/>
  <c r="J124" i="21"/>
  <c r="I132" i="21"/>
  <c r="H132" i="21"/>
  <c r="J132" i="21"/>
  <c r="I141" i="21"/>
  <c r="H141" i="21"/>
  <c r="J141" i="21"/>
  <c r="I150" i="21"/>
  <c r="H150" i="21"/>
  <c r="J150" i="21"/>
  <c r="I158" i="21"/>
  <c r="H158" i="21"/>
  <c r="J158" i="21"/>
  <c r="C21" i="22"/>
  <c r="AA16" i="22"/>
  <c r="Y16" i="22"/>
  <c r="F77" i="22"/>
  <c r="F133" i="22"/>
  <c r="F34" i="24"/>
  <c r="H99" i="24"/>
  <c r="F107" i="24"/>
  <c r="F175" i="24"/>
  <c r="J193" i="24"/>
  <c r="J218" i="24"/>
  <c r="L18" i="25"/>
  <c r="H103" i="25"/>
  <c r="D34" i="26"/>
  <c r="M57" i="26"/>
  <c r="J57" i="26"/>
  <c r="L57" i="26"/>
  <c r="K57" i="26"/>
  <c r="I57" i="26"/>
  <c r="G132" i="26"/>
  <c r="D106" i="21"/>
  <c r="C134" i="21"/>
  <c r="H129" i="21"/>
  <c r="J129" i="21"/>
  <c r="I129" i="21"/>
  <c r="H138" i="21"/>
  <c r="J138" i="21"/>
  <c r="I138" i="21"/>
  <c r="H146" i="21"/>
  <c r="J146" i="21"/>
  <c r="I146" i="21"/>
  <c r="H155" i="21"/>
  <c r="J155" i="21"/>
  <c r="I155" i="21"/>
  <c r="M10" i="22"/>
  <c r="L10" i="22"/>
  <c r="K10" i="22"/>
  <c r="J10" i="22"/>
  <c r="N10" i="22"/>
  <c r="D21" i="22"/>
  <c r="Z14" i="22"/>
  <c r="X14" i="22"/>
  <c r="N20" i="22"/>
  <c r="M20" i="22"/>
  <c r="L20" i="22"/>
  <c r="J20" i="22"/>
  <c r="K20" i="22"/>
  <c r="C63" i="22"/>
  <c r="G77" i="22"/>
  <c r="C119" i="22"/>
  <c r="G133" i="22"/>
  <c r="K151" i="22"/>
  <c r="J151" i="22"/>
  <c r="N151" i="22"/>
  <c r="L151" i="22"/>
  <c r="M151" i="22"/>
  <c r="J43" i="24"/>
  <c r="F99" i="24"/>
  <c r="F123" i="24"/>
  <c r="E34" i="26"/>
  <c r="M42" i="26"/>
  <c r="L42" i="26"/>
  <c r="K42" i="26"/>
  <c r="J42" i="26"/>
  <c r="I42" i="26"/>
  <c r="I89" i="21"/>
  <c r="H89" i="21"/>
  <c r="J89" i="21"/>
  <c r="I94" i="21"/>
  <c r="H94" i="21"/>
  <c r="J94" i="21"/>
  <c r="G106" i="21"/>
  <c r="I98" i="21"/>
  <c r="H98" i="21"/>
  <c r="J98" i="21"/>
  <c r="I102" i="21"/>
  <c r="H102" i="21"/>
  <c r="J102" i="21"/>
  <c r="I111" i="21"/>
  <c r="H111" i="21"/>
  <c r="J111" i="21"/>
  <c r="I117" i="21"/>
  <c r="H117" i="21"/>
  <c r="J117" i="21"/>
  <c r="G134" i="21"/>
  <c r="I126" i="21"/>
  <c r="H126" i="21"/>
  <c r="J126" i="21"/>
  <c r="C148" i="21"/>
  <c r="I143" i="21"/>
  <c r="H143" i="21"/>
  <c r="J143" i="21"/>
  <c r="I152" i="21"/>
  <c r="H152" i="21"/>
  <c r="J152" i="21"/>
  <c r="H160" i="21"/>
  <c r="I160" i="21"/>
  <c r="J160" i="21"/>
  <c r="E21" i="22"/>
  <c r="D63" i="22"/>
  <c r="H77" i="22"/>
  <c r="D119" i="22"/>
  <c r="H133" i="22"/>
  <c r="C147" i="22"/>
  <c r="J59" i="24"/>
  <c r="L103" i="24"/>
  <c r="J108" i="24"/>
  <c r="F167" i="24"/>
  <c r="J232" i="24"/>
  <c r="H9" i="25"/>
  <c r="F40" i="25"/>
  <c r="L78" i="25"/>
  <c r="M138" i="22"/>
  <c r="L138" i="22"/>
  <c r="K138" i="22"/>
  <c r="J138" i="22"/>
  <c r="N138" i="22"/>
  <c r="E147" i="22"/>
  <c r="M140" i="22"/>
  <c r="L140" i="22"/>
  <c r="K140" i="22"/>
  <c r="J140" i="22"/>
  <c r="N140" i="22"/>
  <c r="M142" i="22"/>
  <c r="L142" i="22"/>
  <c r="K142" i="22"/>
  <c r="J142" i="22"/>
  <c r="N142" i="22"/>
  <c r="M144" i="22"/>
  <c r="L144" i="22"/>
  <c r="K144" i="22"/>
  <c r="J144" i="22"/>
  <c r="N144" i="22"/>
  <c r="J146" i="22"/>
  <c r="N146" i="22"/>
  <c r="M146" i="22"/>
  <c r="L146" i="22"/>
  <c r="K146" i="22"/>
  <c r="D161" i="22"/>
  <c r="N160" i="22"/>
  <c r="K160" i="22"/>
  <c r="M160" i="22"/>
  <c r="L160" i="22"/>
  <c r="J160" i="22"/>
  <c r="F35" i="24"/>
  <c r="F36" i="24"/>
  <c r="F38" i="24"/>
  <c r="F39" i="24"/>
  <c r="L76" i="24"/>
  <c r="H80" i="24"/>
  <c r="J86" i="24"/>
  <c r="L98" i="24"/>
  <c r="H107" i="24"/>
  <c r="J141" i="24"/>
  <c r="H151" i="24"/>
  <c r="J185" i="24"/>
  <c r="H195" i="24"/>
  <c r="L10" i="25"/>
  <c r="J15" i="25"/>
  <c r="F19" i="25"/>
  <c r="L40" i="25"/>
  <c r="L53" i="25"/>
  <c r="H57" i="25"/>
  <c r="M44" i="26"/>
  <c r="L44" i="26"/>
  <c r="K44" i="26"/>
  <c r="J44" i="26"/>
  <c r="I44" i="26"/>
  <c r="M137" i="27"/>
  <c r="L137" i="27"/>
  <c r="K137" i="27"/>
  <c r="J137" i="27"/>
  <c r="I137" i="27"/>
  <c r="L128" i="28"/>
  <c r="J128" i="28"/>
  <c r="M128" i="28"/>
  <c r="L17" i="22"/>
  <c r="K17" i="22"/>
  <c r="J17" i="22"/>
  <c r="N17" i="22"/>
  <c r="M17" i="22"/>
  <c r="Z20" i="22"/>
  <c r="Y20" i="22"/>
  <c r="X20" i="22"/>
  <c r="AA20" i="22"/>
  <c r="F35" i="22"/>
  <c r="F63" i="22"/>
  <c r="F91" i="22"/>
  <c r="F119" i="22"/>
  <c r="F147" i="22"/>
  <c r="E161" i="22"/>
  <c r="N158" i="22"/>
  <c r="K158" i="22"/>
  <c r="M158" i="22"/>
  <c r="L158" i="22"/>
  <c r="J158" i="22"/>
  <c r="K159" i="22"/>
  <c r="J159" i="22"/>
  <c r="N159" i="22"/>
  <c r="M159" i="22"/>
  <c r="L159" i="22"/>
  <c r="H34" i="24"/>
  <c r="H36" i="24"/>
  <c r="H37" i="24"/>
  <c r="L41" i="24"/>
  <c r="J97" i="24"/>
  <c r="F101" i="24"/>
  <c r="F109" i="24"/>
  <c r="J130" i="24"/>
  <c r="H143" i="24"/>
  <c r="F153" i="24"/>
  <c r="J174" i="24"/>
  <c r="H187" i="24"/>
  <c r="F197" i="24"/>
  <c r="J258" i="24"/>
  <c r="J266" i="24"/>
  <c r="F32" i="25"/>
  <c r="L83" i="25"/>
  <c r="M22" i="26"/>
  <c r="L22" i="26"/>
  <c r="K22" i="26"/>
  <c r="J22" i="26"/>
  <c r="I22" i="26"/>
  <c r="M33" i="26"/>
  <c r="L33" i="26"/>
  <c r="K33" i="26"/>
  <c r="J33" i="26"/>
  <c r="I33" i="26"/>
  <c r="K58" i="26"/>
  <c r="J58" i="26"/>
  <c r="M58" i="26"/>
  <c r="L58" i="26"/>
  <c r="I58" i="26"/>
  <c r="C118" i="27"/>
  <c r="D134" i="21"/>
  <c r="D148" i="21"/>
  <c r="D162" i="21"/>
  <c r="F21" i="22"/>
  <c r="K16" i="22"/>
  <c r="J16" i="22"/>
  <c r="N16" i="22"/>
  <c r="L16" i="22"/>
  <c r="M16" i="22"/>
  <c r="G35" i="22"/>
  <c r="C49" i="22"/>
  <c r="G63" i="22"/>
  <c r="C77" i="22"/>
  <c r="G91" i="22"/>
  <c r="C105" i="22"/>
  <c r="G119" i="22"/>
  <c r="C133" i="22"/>
  <c r="G147" i="22"/>
  <c r="F161" i="22"/>
  <c r="N156" i="22"/>
  <c r="K156" i="22"/>
  <c r="L156" i="22"/>
  <c r="J156" i="22"/>
  <c r="M156" i="22"/>
  <c r="K157" i="22"/>
  <c r="J157" i="22"/>
  <c r="M157" i="22"/>
  <c r="L157" i="22"/>
  <c r="N157" i="22"/>
  <c r="J11" i="24"/>
  <c r="F37" i="24"/>
  <c r="J31" i="24"/>
  <c r="J32" i="24"/>
  <c r="J34" i="24"/>
  <c r="J35" i="24"/>
  <c r="J38" i="24"/>
  <c r="J40" i="24"/>
  <c r="J62" i="24"/>
  <c r="F100" i="24"/>
  <c r="L109" i="24"/>
  <c r="L125" i="24"/>
  <c r="F145" i="24"/>
  <c r="L169" i="24"/>
  <c r="L15" i="25"/>
  <c r="J20" i="25"/>
  <c r="L102" i="25"/>
  <c r="L32" i="25"/>
  <c r="J63" i="25"/>
  <c r="F48" i="26"/>
  <c r="D118" i="27"/>
  <c r="E106" i="21"/>
  <c r="E120" i="21"/>
  <c r="E134" i="21"/>
  <c r="E148" i="21"/>
  <c r="E162" i="21"/>
  <c r="G21" i="22"/>
  <c r="J15" i="22"/>
  <c r="M15" i="22"/>
  <c r="L15" i="22"/>
  <c r="K15" i="22"/>
  <c r="N15" i="22"/>
  <c r="H35" i="22"/>
  <c r="D49" i="22"/>
  <c r="H63" i="22"/>
  <c r="D77" i="22"/>
  <c r="H91" i="22"/>
  <c r="D105" i="22"/>
  <c r="H119" i="22"/>
  <c r="D133" i="22"/>
  <c r="H147" i="22"/>
  <c r="H161" i="22"/>
  <c r="N154" i="22"/>
  <c r="K154" i="22"/>
  <c r="J154" i="22"/>
  <c r="L154" i="22"/>
  <c r="M154" i="22"/>
  <c r="K155" i="22"/>
  <c r="J155" i="22"/>
  <c r="L155" i="22"/>
  <c r="N155" i="22"/>
  <c r="M155" i="22"/>
  <c r="L9" i="24"/>
  <c r="J12" i="24"/>
  <c r="J13" i="24"/>
  <c r="J15" i="24"/>
  <c r="J16" i="24"/>
  <c r="J19" i="24"/>
  <c r="L32" i="24"/>
  <c r="L33" i="24"/>
  <c r="L36" i="24"/>
  <c r="J39" i="24"/>
  <c r="F43" i="24"/>
  <c r="H62" i="24"/>
  <c r="H61" i="24"/>
  <c r="L79" i="24"/>
  <c r="L101" i="24"/>
  <c r="J127" i="24"/>
  <c r="J171" i="24"/>
  <c r="J231" i="24"/>
  <c r="L75" i="25"/>
  <c r="J80" i="25"/>
  <c r="J101" i="25"/>
  <c r="F105" i="25"/>
  <c r="M37" i="27"/>
  <c r="L37" i="27"/>
  <c r="K37" i="27"/>
  <c r="J37" i="27"/>
  <c r="I37" i="27"/>
  <c r="E118" i="27"/>
  <c r="M126" i="27"/>
  <c r="L126" i="27"/>
  <c r="K126" i="27"/>
  <c r="J126" i="27"/>
  <c r="I126" i="27"/>
  <c r="F106" i="21"/>
  <c r="F120" i="21"/>
  <c r="F134" i="21"/>
  <c r="F148" i="21"/>
  <c r="F162" i="21"/>
  <c r="H21" i="22"/>
  <c r="J14" i="22"/>
  <c r="N14" i="22"/>
  <c r="M14" i="22"/>
  <c r="L14" i="22"/>
  <c r="K14" i="22"/>
  <c r="N23" i="22"/>
  <c r="L23" i="22"/>
  <c r="K23" i="22"/>
  <c r="J23" i="22"/>
  <c r="M23" i="22"/>
  <c r="N25" i="22"/>
  <c r="M25" i="22"/>
  <c r="L25" i="22"/>
  <c r="K25" i="22"/>
  <c r="J25" i="22"/>
  <c r="I35" i="22"/>
  <c r="N27" i="22"/>
  <c r="L27" i="22"/>
  <c r="K27" i="22"/>
  <c r="J27" i="22"/>
  <c r="M27" i="22"/>
  <c r="N29" i="22"/>
  <c r="M29" i="22"/>
  <c r="L29" i="22"/>
  <c r="K29" i="22"/>
  <c r="J29" i="22"/>
  <c r="N31" i="22"/>
  <c r="L31" i="22"/>
  <c r="K31" i="22"/>
  <c r="J31" i="22"/>
  <c r="M31" i="22"/>
  <c r="N33" i="22"/>
  <c r="M33" i="22"/>
  <c r="L33" i="22"/>
  <c r="J33" i="22"/>
  <c r="K33" i="22"/>
  <c r="N38" i="22"/>
  <c r="M38" i="22"/>
  <c r="L38" i="22"/>
  <c r="J38" i="22"/>
  <c r="K38" i="22"/>
  <c r="N40" i="22"/>
  <c r="L40" i="22"/>
  <c r="K40" i="22"/>
  <c r="J40" i="22"/>
  <c r="M40" i="22"/>
  <c r="E49" i="22"/>
  <c r="N42" i="22"/>
  <c r="M42" i="22"/>
  <c r="L42" i="22"/>
  <c r="K42" i="22"/>
  <c r="J42" i="22"/>
  <c r="N44" i="22"/>
  <c r="L44" i="22"/>
  <c r="K44" i="22"/>
  <c r="J44" i="22"/>
  <c r="M44" i="22"/>
  <c r="N46" i="22"/>
  <c r="M46" i="22"/>
  <c r="L46" i="22"/>
  <c r="K46" i="22"/>
  <c r="J46" i="22"/>
  <c r="N48" i="22"/>
  <c r="L48" i="22"/>
  <c r="K48" i="22"/>
  <c r="J48" i="22"/>
  <c r="M48" i="22"/>
  <c r="N51" i="22"/>
  <c r="M51" i="22"/>
  <c r="L51" i="22"/>
  <c r="J51" i="22"/>
  <c r="K51" i="22"/>
  <c r="N53" i="22"/>
  <c r="L53" i="22"/>
  <c r="K53" i="22"/>
  <c r="J53" i="22"/>
  <c r="M53" i="22"/>
  <c r="I63" i="22"/>
  <c r="N55" i="22"/>
  <c r="M55" i="22"/>
  <c r="L55" i="22"/>
  <c r="K55" i="22"/>
  <c r="J55" i="22"/>
  <c r="N57" i="22"/>
  <c r="L57" i="22"/>
  <c r="K57" i="22"/>
  <c r="J57" i="22"/>
  <c r="M57" i="22"/>
  <c r="N59" i="22"/>
  <c r="M59" i="22"/>
  <c r="L59" i="22"/>
  <c r="K59" i="22"/>
  <c r="J59" i="22"/>
  <c r="N61" i="22"/>
  <c r="L61" i="22"/>
  <c r="K61" i="22"/>
  <c r="J61" i="22"/>
  <c r="M61" i="22"/>
  <c r="N66" i="22"/>
  <c r="L66" i="22"/>
  <c r="K66" i="22"/>
  <c r="J66" i="22"/>
  <c r="M66" i="22"/>
  <c r="N68" i="22"/>
  <c r="M68" i="22"/>
  <c r="L68" i="22"/>
  <c r="J68" i="22"/>
  <c r="K68" i="22"/>
  <c r="E77" i="22"/>
  <c r="N70" i="22"/>
  <c r="L70" i="22"/>
  <c r="K70" i="22"/>
  <c r="J70" i="22"/>
  <c r="M70" i="22"/>
  <c r="N72" i="22"/>
  <c r="M72" i="22"/>
  <c r="L72" i="22"/>
  <c r="J72" i="22"/>
  <c r="K72" i="22"/>
  <c r="N74" i="22"/>
  <c r="L74" i="22"/>
  <c r="K74" i="22"/>
  <c r="J74" i="22"/>
  <c r="M74" i="22"/>
  <c r="N76" i="22"/>
  <c r="M76" i="22"/>
  <c r="L76" i="22"/>
  <c r="K76" i="22"/>
  <c r="J76" i="22"/>
  <c r="N79" i="22"/>
  <c r="L79" i="22"/>
  <c r="K79" i="22"/>
  <c r="J79" i="22"/>
  <c r="M79" i="22"/>
  <c r="N81" i="22"/>
  <c r="M81" i="22"/>
  <c r="L81" i="22"/>
  <c r="K81" i="22"/>
  <c r="J81" i="22"/>
  <c r="I91" i="22"/>
  <c r="N83" i="22"/>
  <c r="L83" i="22"/>
  <c r="K83" i="22"/>
  <c r="J83" i="22"/>
  <c r="M83" i="22"/>
  <c r="N85" i="22"/>
  <c r="M85" i="22"/>
  <c r="L85" i="22"/>
  <c r="J85" i="22"/>
  <c r="K85" i="22"/>
  <c r="N87" i="22"/>
  <c r="L87" i="22"/>
  <c r="K87" i="22"/>
  <c r="J87" i="22"/>
  <c r="M87" i="22"/>
  <c r="N89" i="22"/>
  <c r="M89" i="22"/>
  <c r="L89" i="22"/>
  <c r="K89" i="22"/>
  <c r="J89" i="22"/>
  <c r="N94" i="22"/>
  <c r="M94" i="22"/>
  <c r="L94" i="22"/>
  <c r="K94" i="22"/>
  <c r="J94" i="22"/>
  <c r="N96" i="22"/>
  <c r="L96" i="22"/>
  <c r="K96" i="22"/>
  <c r="J96" i="22"/>
  <c r="M96" i="22"/>
  <c r="E105" i="22"/>
  <c r="N98" i="22"/>
  <c r="M98" i="22"/>
  <c r="L98" i="22"/>
  <c r="K98" i="22"/>
  <c r="J98" i="22"/>
  <c r="N100" i="22"/>
  <c r="L100" i="22"/>
  <c r="K100" i="22"/>
  <c r="J100" i="22"/>
  <c r="M100" i="22"/>
  <c r="N102" i="22"/>
  <c r="M102" i="22"/>
  <c r="L102" i="22"/>
  <c r="J102" i="22"/>
  <c r="K102" i="22"/>
  <c r="N104" i="22"/>
  <c r="L104" i="22"/>
  <c r="K104" i="22"/>
  <c r="J104" i="22"/>
  <c r="M104" i="22"/>
  <c r="N107" i="22"/>
  <c r="M107" i="22"/>
  <c r="L107" i="22"/>
  <c r="K107" i="22"/>
  <c r="J107" i="22"/>
  <c r="N109" i="22"/>
  <c r="L109" i="22"/>
  <c r="K109" i="22"/>
  <c r="J109" i="22"/>
  <c r="M109" i="22"/>
  <c r="I119" i="22"/>
  <c r="N111" i="22"/>
  <c r="M111" i="22"/>
  <c r="L111" i="22"/>
  <c r="K111" i="22"/>
  <c r="J111" i="22"/>
  <c r="N113" i="22"/>
  <c r="L113" i="22"/>
  <c r="K113" i="22"/>
  <c r="J113" i="22"/>
  <c r="M113" i="22"/>
  <c r="N115" i="22"/>
  <c r="M115" i="22"/>
  <c r="L115" i="22"/>
  <c r="K115" i="22"/>
  <c r="J115" i="22"/>
  <c r="N117" i="22"/>
  <c r="L117" i="22"/>
  <c r="K117" i="22"/>
  <c r="J117" i="22"/>
  <c r="M117" i="22"/>
  <c r="N122" i="22"/>
  <c r="L122" i="22"/>
  <c r="K122" i="22"/>
  <c r="J122" i="22"/>
  <c r="M122" i="22"/>
  <c r="N124" i="22"/>
  <c r="M124" i="22"/>
  <c r="L124" i="22"/>
  <c r="K124" i="22"/>
  <c r="J124" i="22"/>
  <c r="E133" i="22"/>
  <c r="N126" i="22"/>
  <c r="L126" i="22"/>
  <c r="K126" i="22"/>
  <c r="J126" i="22"/>
  <c r="M126" i="22"/>
  <c r="N128" i="22"/>
  <c r="M128" i="22"/>
  <c r="L128" i="22"/>
  <c r="K128" i="22"/>
  <c r="J128" i="22"/>
  <c r="N130" i="22"/>
  <c r="L130" i="22"/>
  <c r="K130" i="22"/>
  <c r="J130" i="22"/>
  <c r="M130" i="22"/>
  <c r="N132" i="22"/>
  <c r="M132" i="22"/>
  <c r="L132" i="22"/>
  <c r="K132" i="22"/>
  <c r="J132" i="22"/>
  <c r="N135" i="22"/>
  <c r="L135" i="22"/>
  <c r="K135" i="22"/>
  <c r="J135" i="22"/>
  <c r="M135" i="22"/>
  <c r="N137" i="22"/>
  <c r="M137" i="22"/>
  <c r="K137" i="22"/>
  <c r="J137" i="22"/>
  <c r="L137" i="22"/>
  <c r="I147" i="22"/>
  <c r="N139" i="22"/>
  <c r="M139" i="22"/>
  <c r="L139" i="22"/>
  <c r="K139" i="22"/>
  <c r="J139" i="22"/>
  <c r="N141" i="22"/>
  <c r="M141" i="22"/>
  <c r="L141" i="22"/>
  <c r="K141" i="22"/>
  <c r="J141" i="22"/>
  <c r="N143" i="22"/>
  <c r="M143" i="22"/>
  <c r="L143" i="22"/>
  <c r="K143" i="22"/>
  <c r="J143" i="22"/>
  <c r="N145" i="22"/>
  <c r="M145" i="22"/>
  <c r="L145" i="22"/>
  <c r="K145" i="22"/>
  <c r="J145" i="22"/>
  <c r="J149" i="22"/>
  <c r="N149" i="22"/>
  <c r="M149" i="22"/>
  <c r="L149" i="22"/>
  <c r="K149" i="22"/>
  <c r="N152" i="22"/>
  <c r="K152" i="22"/>
  <c r="M152" i="22"/>
  <c r="L152" i="22"/>
  <c r="J152" i="22"/>
  <c r="K153" i="22"/>
  <c r="J153" i="22"/>
  <c r="I161" i="22"/>
  <c r="N153" i="22"/>
  <c r="M153" i="22"/>
  <c r="L153" i="22"/>
  <c r="L10" i="24"/>
  <c r="L11" i="24"/>
  <c r="L13" i="24"/>
  <c r="L14" i="24"/>
  <c r="L17" i="24"/>
  <c r="J20" i="24"/>
  <c r="J21" i="24"/>
  <c r="L37" i="24"/>
  <c r="L38" i="24"/>
  <c r="F42" i="24"/>
  <c r="J87" i="24"/>
  <c r="J78" i="24"/>
  <c r="L84" i="24"/>
  <c r="J100" i="24"/>
  <c r="J103" i="24"/>
  <c r="L106" i="24"/>
  <c r="J119" i="24"/>
  <c r="J163" i="24"/>
  <c r="J207" i="24"/>
  <c r="L238" i="24"/>
  <c r="J12" i="25"/>
  <c r="H17" i="25"/>
  <c r="J42" i="25"/>
  <c r="J55" i="25"/>
  <c r="H60" i="25"/>
  <c r="M13" i="26"/>
  <c r="L13" i="26"/>
  <c r="K13" i="26"/>
  <c r="J13" i="26"/>
  <c r="I13" i="26"/>
  <c r="D62" i="26"/>
  <c r="F132" i="26"/>
  <c r="F34" i="27"/>
  <c r="G161" i="22"/>
  <c r="J10" i="24"/>
  <c r="L16" i="24"/>
  <c r="J18" i="24"/>
  <c r="H31" i="24"/>
  <c r="L35" i="24"/>
  <c r="J37" i="24"/>
  <c r="H39" i="24"/>
  <c r="L43" i="24"/>
  <c r="L100" i="24"/>
  <c r="J102" i="24"/>
  <c r="L108" i="24"/>
  <c r="L241" i="24"/>
  <c r="F11" i="25"/>
  <c r="H14" i="25"/>
  <c r="J17" i="25"/>
  <c r="J34" i="25"/>
  <c r="F59" i="25"/>
  <c r="J77" i="25"/>
  <c r="H87" i="25"/>
  <c r="F97" i="25"/>
  <c r="C20" i="26"/>
  <c r="M30" i="26"/>
  <c r="L30" i="26"/>
  <c r="K30" i="26"/>
  <c r="J30" i="26"/>
  <c r="I30" i="26"/>
  <c r="M86" i="26"/>
  <c r="L86" i="26"/>
  <c r="K86" i="26"/>
  <c r="J86" i="26"/>
  <c r="I86" i="26"/>
  <c r="M149" i="26"/>
  <c r="L149" i="26"/>
  <c r="K149" i="26"/>
  <c r="J149" i="26"/>
  <c r="I149" i="26"/>
  <c r="M66" i="27"/>
  <c r="L66" i="27"/>
  <c r="K66" i="27"/>
  <c r="J66" i="27"/>
  <c r="I66" i="27"/>
  <c r="M128" i="27"/>
  <c r="L128" i="27"/>
  <c r="K128" i="27"/>
  <c r="J128" i="27"/>
  <c r="I128" i="27"/>
  <c r="J10" i="28"/>
  <c r="M10" i="28"/>
  <c r="L10" i="28"/>
  <c r="M130" i="28"/>
  <c r="K130" i="28"/>
  <c r="I130" i="28"/>
  <c r="H36" i="30"/>
  <c r="L40" i="24"/>
  <c r="J42" i="24"/>
  <c r="H63" i="24"/>
  <c r="J80" i="24"/>
  <c r="L97" i="24"/>
  <c r="J99" i="24"/>
  <c r="H101" i="24"/>
  <c r="L105" i="24"/>
  <c r="J107" i="24"/>
  <c r="H109" i="24"/>
  <c r="L119" i="24"/>
  <c r="J121" i="24"/>
  <c r="H123" i="24"/>
  <c r="L127" i="24"/>
  <c r="J129" i="24"/>
  <c r="H131" i="24"/>
  <c r="L141" i="24"/>
  <c r="J143" i="24"/>
  <c r="H145" i="24"/>
  <c r="L149" i="24"/>
  <c r="J151" i="24"/>
  <c r="H153" i="24"/>
  <c r="L163" i="24"/>
  <c r="J165" i="24"/>
  <c r="H167" i="24"/>
  <c r="L171" i="24"/>
  <c r="J173" i="24"/>
  <c r="L185" i="24"/>
  <c r="L230" i="24"/>
  <c r="H234" i="24"/>
  <c r="J240" i="24"/>
  <c r="J9" i="25"/>
  <c r="F16" i="25"/>
  <c r="H19" i="25"/>
  <c r="H36" i="25"/>
  <c r="J39" i="25"/>
  <c r="H79" i="25"/>
  <c r="J82" i="25"/>
  <c r="J107" i="25"/>
  <c r="M10" i="26"/>
  <c r="L10" i="26"/>
  <c r="K10" i="26"/>
  <c r="J10" i="26"/>
  <c r="I10" i="26"/>
  <c r="D20" i="26"/>
  <c r="M39" i="26"/>
  <c r="L39" i="26"/>
  <c r="K39" i="26"/>
  <c r="J39" i="26"/>
  <c r="I39" i="26"/>
  <c r="M66" i="26"/>
  <c r="J66" i="26"/>
  <c r="L66" i="26"/>
  <c r="K66" i="26"/>
  <c r="I66" i="26"/>
  <c r="D118" i="26"/>
  <c r="M126" i="26"/>
  <c r="L126" i="26"/>
  <c r="K126" i="26"/>
  <c r="J126" i="26"/>
  <c r="I126" i="26"/>
  <c r="M138" i="26"/>
  <c r="L138" i="26"/>
  <c r="K138" i="26"/>
  <c r="J138" i="26"/>
  <c r="I138" i="26"/>
  <c r="H146" i="26"/>
  <c r="D20" i="27"/>
  <c r="M28" i="27"/>
  <c r="L28" i="27"/>
  <c r="K28" i="27"/>
  <c r="J28" i="27"/>
  <c r="I28" i="27"/>
  <c r="M106" i="27"/>
  <c r="L106" i="27"/>
  <c r="K106" i="27"/>
  <c r="J106" i="27"/>
  <c r="I106" i="27"/>
  <c r="M117" i="27"/>
  <c r="L117" i="27"/>
  <c r="K117" i="27"/>
  <c r="J117" i="27"/>
  <c r="I117" i="27"/>
  <c r="J36" i="30"/>
  <c r="L102" i="24"/>
  <c r="J104" i="24"/>
  <c r="J241" i="24"/>
  <c r="L229" i="24"/>
  <c r="L267" i="24"/>
  <c r="H11" i="25"/>
  <c r="F21" i="25"/>
  <c r="J31" i="25"/>
  <c r="L34" i="25"/>
  <c r="H41" i="25"/>
  <c r="J61" i="25"/>
  <c r="H84" i="25"/>
  <c r="J99" i="25"/>
  <c r="H109" i="25"/>
  <c r="M8" i="26"/>
  <c r="L8" i="26"/>
  <c r="K8" i="26"/>
  <c r="J8" i="26"/>
  <c r="I8" i="26"/>
  <c r="M18" i="26"/>
  <c r="L18" i="26"/>
  <c r="K18" i="26"/>
  <c r="J18" i="26"/>
  <c r="I18" i="26"/>
  <c r="M47" i="26"/>
  <c r="L47" i="26"/>
  <c r="K47" i="26"/>
  <c r="J47" i="26"/>
  <c r="I47" i="26"/>
  <c r="M88" i="26"/>
  <c r="L88" i="26"/>
  <c r="K88" i="26"/>
  <c r="J88" i="26"/>
  <c r="I88" i="26"/>
  <c r="E20" i="27"/>
  <c r="M68" i="27"/>
  <c r="L68" i="27"/>
  <c r="K68" i="27"/>
  <c r="J68" i="27"/>
  <c r="I68" i="27"/>
  <c r="H76" i="27"/>
  <c r="F132" i="27"/>
  <c r="L12" i="30"/>
  <c r="J9" i="24"/>
  <c r="L15" i="24"/>
  <c r="J17" i="24"/>
  <c r="L34" i="24"/>
  <c r="J36" i="24"/>
  <c r="H38" i="24"/>
  <c r="L42" i="24"/>
  <c r="L99" i="24"/>
  <c r="J101" i="24"/>
  <c r="L107" i="24"/>
  <c r="J109" i="24"/>
  <c r="L256" i="24"/>
  <c r="F13" i="25"/>
  <c r="L21" i="25"/>
  <c r="H33" i="25"/>
  <c r="J36" i="25"/>
  <c r="J53" i="25"/>
  <c r="H63" i="25"/>
  <c r="H76" i="25"/>
  <c r="F86" i="25"/>
  <c r="H101" i="25"/>
  <c r="J104" i="25"/>
  <c r="M16" i="26"/>
  <c r="L16" i="26"/>
  <c r="K16" i="26"/>
  <c r="J16" i="26"/>
  <c r="I16" i="26"/>
  <c r="M27" i="26"/>
  <c r="L27" i="26"/>
  <c r="K27" i="26"/>
  <c r="I27" i="26"/>
  <c r="J27" i="26"/>
  <c r="D48" i="26"/>
  <c r="K80" i="26"/>
  <c r="M80" i="26"/>
  <c r="L80" i="26"/>
  <c r="J80" i="26"/>
  <c r="I80" i="26"/>
  <c r="M155" i="26"/>
  <c r="L155" i="26"/>
  <c r="K155" i="26"/>
  <c r="J155" i="26"/>
  <c r="I155" i="26"/>
  <c r="M57" i="27"/>
  <c r="L57" i="27"/>
  <c r="K57" i="27"/>
  <c r="J57" i="27"/>
  <c r="I57" i="27"/>
  <c r="M135" i="27"/>
  <c r="L135" i="27"/>
  <c r="K135" i="27"/>
  <c r="J135" i="27"/>
  <c r="I135" i="27"/>
  <c r="M27" i="28"/>
  <c r="I27" i="28"/>
  <c r="K27" i="28"/>
  <c r="C161" i="22"/>
  <c r="L12" i="24"/>
  <c r="J14" i="24"/>
  <c r="L20" i="24"/>
  <c r="L31" i="24"/>
  <c r="J33" i="24"/>
  <c r="H35" i="24"/>
  <c r="L39" i="24"/>
  <c r="J41" i="24"/>
  <c r="H43" i="24"/>
  <c r="J98" i="24"/>
  <c r="H100" i="24"/>
  <c r="L104" i="24"/>
  <c r="J106" i="24"/>
  <c r="J267" i="24"/>
  <c r="L264" i="24"/>
  <c r="L13" i="25"/>
  <c r="H38" i="25"/>
  <c r="H55" i="25"/>
  <c r="J58" i="25"/>
  <c r="F78" i="25"/>
  <c r="H106" i="25"/>
  <c r="J109" i="25"/>
  <c r="M25" i="26"/>
  <c r="L25" i="26"/>
  <c r="K25" i="26"/>
  <c r="J25" i="26"/>
  <c r="I25" i="26"/>
  <c r="M36" i="26"/>
  <c r="L36" i="26"/>
  <c r="K36" i="26"/>
  <c r="I36" i="26"/>
  <c r="J36" i="26"/>
  <c r="E48" i="26"/>
  <c r="M117" i="26"/>
  <c r="L117" i="26"/>
  <c r="K117" i="26"/>
  <c r="J117" i="26"/>
  <c r="I117" i="26"/>
  <c r="E132" i="26"/>
  <c r="M8" i="27"/>
  <c r="L8" i="27"/>
  <c r="K8" i="27"/>
  <c r="J8" i="27"/>
  <c r="I8" i="27"/>
  <c r="M19" i="27"/>
  <c r="L19" i="27"/>
  <c r="K19" i="27"/>
  <c r="J19" i="27"/>
  <c r="I19" i="27"/>
  <c r="M97" i="27"/>
  <c r="L97" i="27"/>
  <c r="K97" i="27"/>
  <c r="J97" i="27"/>
  <c r="I97" i="27"/>
  <c r="J229" i="24"/>
  <c r="F10" i="25"/>
  <c r="L12" i="25"/>
  <c r="J14" i="25"/>
  <c r="H16" i="25"/>
  <c r="F18" i="25"/>
  <c r="L20" i="25"/>
  <c r="J33" i="25"/>
  <c r="H35" i="25"/>
  <c r="F37" i="25"/>
  <c r="J41" i="25"/>
  <c r="H43" i="25"/>
  <c r="H54" i="25"/>
  <c r="F56" i="25"/>
  <c r="J60" i="25"/>
  <c r="H62" i="25"/>
  <c r="F64" i="25"/>
  <c r="F75" i="25"/>
  <c r="J79" i="25"/>
  <c r="H81" i="25"/>
  <c r="F83" i="25"/>
  <c r="J87" i="25"/>
  <c r="J98" i="25"/>
  <c r="H100" i="25"/>
  <c r="F102" i="25"/>
  <c r="J106" i="25"/>
  <c r="H108" i="25"/>
  <c r="L11" i="26"/>
  <c r="K11" i="26"/>
  <c r="J11" i="26"/>
  <c r="I11" i="26"/>
  <c r="M11" i="26"/>
  <c r="E20" i="26"/>
  <c r="L19" i="26"/>
  <c r="K19" i="26"/>
  <c r="J19" i="26"/>
  <c r="I19" i="26"/>
  <c r="M19" i="26"/>
  <c r="F34" i="26"/>
  <c r="L28" i="26"/>
  <c r="K28" i="26"/>
  <c r="J28" i="26"/>
  <c r="I28" i="26"/>
  <c r="M28" i="26"/>
  <c r="L37" i="26"/>
  <c r="K37" i="26"/>
  <c r="J37" i="26"/>
  <c r="I37" i="26"/>
  <c r="M37" i="26"/>
  <c r="G48" i="26"/>
  <c r="L45" i="26"/>
  <c r="K45" i="26"/>
  <c r="J45" i="26"/>
  <c r="I45" i="26"/>
  <c r="M45" i="26"/>
  <c r="E62" i="26"/>
  <c r="C76" i="26"/>
  <c r="J79" i="26"/>
  <c r="I79" i="26"/>
  <c r="M79" i="26"/>
  <c r="L79" i="26"/>
  <c r="K79" i="26"/>
  <c r="M95" i="26"/>
  <c r="L95" i="26"/>
  <c r="K95" i="26"/>
  <c r="J95" i="26"/>
  <c r="I95" i="26"/>
  <c r="M106" i="26"/>
  <c r="L106" i="26"/>
  <c r="K106" i="26"/>
  <c r="J106" i="26"/>
  <c r="I106" i="26"/>
  <c r="E118" i="26"/>
  <c r="M135" i="26"/>
  <c r="L135" i="26"/>
  <c r="K135" i="26"/>
  <c r="J135" i="26"/>
  <c r="I135" i="26"/>
  <c r="F20" i="27"/>
  <c r="M16" i="27"/>
  <c r="L16" i="27"/>
  <c r="K16" i="27"/>
  <c r="J16" i="27"/>
  <c r="I16" i="27"/>
  <c r="M45" i="27"/>
  <c r="L45" i="27"/>
  <c r="K45" i="27"/>
  <c r="J45" i="27"/>
  <c r="I45" i="27"/>
  <c r="G62" i="27"/>
  <c r="M74" i="27"/>
  <c r="L74" i="27"/>
  <c r="K74" i="27"/>
  <c r="J74" i="27"/>
  <c r="I74" i="27"/>
  <c r="M85" i="27"/>
  <c r="L85" i="27"/>
  <c r="K85" i="27"/>
  <c r="J85" i="27"/>
  <c r="I85" i="27"/>
  <c r="C104" i="27"/>
  <c r="M114" i="27"/>
  <c r="L114" i="27"/>
  <c r="K114" i="27"/>
  <c r="J114" i="27"/>
  <c r="I114" i="27"/>
  <c r="M143" i="27"/>
  <c r="L143" i="27"/>
  <c r="K143" i="27"/>
  <c r="J143" i="27"/>
  <c r="I143" i="27"/>
  <c r="M44" i="28"/>
  <c r="M57" i="28"/>
  <c r="H38" i="30"/>
  <c r="F97" i="30"/>
  <c r="L9" i="25"/>
  <c r="J11" i="25"/>
  <c r="H13" i="25"/>
  <c r="F15" i="25"/>
  <c r="L17" i="25"/>
  <c r="J19" i="25"/>
  <c r="H21" i="25"/>
  <c r="H32" i="25"/>
  <c r="F34" i="25"/>
  <c r="J38" i="25"/>
  <c r="H40" i="25"/>
  <c r="F42" i="25"/>
  <c r="F53" i="25"/>
  <c r="J57" i="25"/>
  <c r="H59" i="25"/>
  <c r="F61" i="25"/>
  <c r="J65" i="25"/>
  <c r="J76" i="25"/>
  <c r="H78" i="25"/>
  <c r="F80" i="25"/>
  <c r="J84" i="25"/>
  <c r="H86" i="25"/>
  <c r="H97" i="25"/>
  <c r="F99" i="25"/>
  <c r="J103" i="25"/>
  <c r="H105" i="25"/>
  <c r="F107" i="25"/>
  <c r="F20" i="26"/>
  <c r="K14" i="26"/>
  <c r="J14" i="26"/>
  <c r="I14" i="26"/>
  <c r="M14" i="26"/>
  <c r="L14" i="26"/>
  <c r="K23" i="26"/>
  <c r="J23" i="26"/>
  <c r="I23" i="26"/>
  <c r="L23" i="26"/>
  <c r="M23" i="26"/>
  <c r="G34" i="26"/>
  <c r="K31" i="26"/>
  <c r="J31" i="26"/>
  <c r="I31" i="26"/>
  <c r="M31" i="26"/>
  <c r="L31" i="26"/>
  <c r="K40" i="26"/>
  <c r="J40" i="26"/>
  <c r="I40" i="26"/>
  <c r="H48" i="26"/>
  <c r="M40" i="26"/>
  <c r="L40" i="26"/>
  <c r="K54" i="26"/>
  <c r="L54" i="26"/>
  <c r="J54" i="26"/>
  <c r="I54" i="26"/>
  <c r="H62" i="26"/>
  <c r="M54" i="26"/>
  <c r="E76" i="26"/>
  <c r="J70" i="26"/>
  <c r="I70" i="26"/>
  <c r="M70" i="26"/>
  <c r="L70" i="26"/>
  <c r="K70" i="26"/>
  <c r="M78" i="26"/>
  <c r="L78" i="26"/>
  <c r="I78" i="26"/>
  <c r="K78" i="26"/>
  <c r="J78" i="26"/>
  <c r="C90" i="26"/>
  <c r="M83" i="26"/>
  <c r="L83" i="26"/>
  <c r="J83" i="26"/>
  <c r="K83" i="26"/>
  <c r="I83" i="26"/>
  <c r="C104" i="26"/>
  <c r="M103" i="26"/>
  <c r="L103" i="26"/>
  <c r="K103" i="26"/>
  <c r="J103" i="26"/>
  <c r="I103" i="26"/>
  <c r="F118" i="26"/>
  <c r="M114" i="26"/>
  <c r="L114" i="26"/>
  <c r="K114" i="26"/>
  <c r="J114" i="26"/>
  <c r="I114" i="26"/>
  <c r="M143" i="26"/>
  <c r="L143" i="26"/>
  <c r="K143" i="26"/>
  <c r="J143" i="26"/>
  <c r="I143" i="26"/>
  <c r="G160" i="26"/>
  <c r="M14" i="27"/>
  <c r="L14" i="27"/>
  <c r="K14" i="27"/>
  <c r="J14" i="27"/>
  <c r="I14" i="27"/>
  <c r="M25" i="27"/>
  <c r="L25" i="27"/>
  <c r="K25" i="27"/>
  <c r="J25" i="27"/>
  <c r="I25" i="27"/>
  <c r="M54" i="27"/>
  <c r="L54" i="27"/>
  <c r="K54" i="27"/>
  <c r="J54" i="27"/>
  <c r="H62" i="27"/>
  <c r="I54" i="27"/>
  <c r="M83" i="27"/>
  <c r="L83" i="27"/>
  <c r="K83" i="27"/>
  <c r="J83" i="27"/>
  <c r="I83" i="27"/>
  <c r="M94" i="27"/>
  <c r="L94" i="27"/>
  <c r="K94" i="27"/>
  <c r="J94" i="27"/>
  <c r="I94" i="27"/>
  <c r="D104" i="27"/>
  <c r="M123" i="27"/>
  <c r="L123" i="27"/>
  <c r="K123" i="27"/>
  <c r="J123" i="27"/>
  <c r="I123" i="27"/>
  <c r="E146" i="27"/>
  <c r="I23" i="28"/>
  <c r="K23" i="28"/>
  <c r="M23" i="28"/>
  <c r="M65" i="28"/>
  <c r="H84" i="30"/>
  <c r="L97" i="30"/>
  <c r="H10" i="25"/>
  <c r="F12" i="25"/>
  <c r="L14" i="25"/>
  <c r="J16" i="25"/>
  <c r="H18" i="25"/>
  <c r="F20" i="25"/>
  <c r="J35" i="25"/>
  <c r="H37" i="25"/>
  <c r="J43" i="25"/>
  <c r="J54" i="25"/>
  <c r="H56" i="25"/>
  <c r="J62" i="25"/>
  <c r="H64" i="25"/>
  <c r="H75" i="25"/>
  <c r="J81" i="25"/>
  <c r="H83" i="25"/>
  <c r="J100" i="25"/>
  <c r="H102" i="25"/>
  <c r="J108" i="25"/>
  <c r="J9" i="26"/>
  <c r="I9" i="26"/>
  <c r="M9" i="26"/>
  <c r="L9" i="26"/>
  <c r="K9" i="26"/>
  <c r="G20" i="26"/>
  <c r="J17" i="26"/>
  <c r="I17" i="26"/>
  <c r="M17" i="26"/>
  <c r="L17" i="26"/>
  <c r="K17" i="26"/>
  <c r="J26" i="26"/>
  <c r="I26" i="26"/>
  <c r="H34" i="26"/>
  <c r="M26" i="26"/>
  <c r="L26" i="26"/>
  <c r="K26" i="26"/>
  <c r="J43" i="26"/>
  <c r="I43" i="26"/>
  <c r="M43" i="26"/>
  <c r="L43" i="26"/>
  <c r="K43" i="26"/>
  <c r="J61" i="26"/>
  <c r="I61" i="26"/>
  <c r="L61" i="26"/>
  <c r="K61" i="26"/>
  <c r="M61" i="26"/>
  <c r="F76" i="26"/>
  <c r="M69" i="26"/>
  <c r="L69" i="26"/>
  <c r="I69" i="26"/>
  <c r="K69" i="26"/>
  <c r="J69" i="26"/>
  <c r="D90" i="26"/>
  <c r="D104" i="26"/>
  <c r="M112" i="26"/>
  <c r="L112" i="26"/>
  <c r="K112" i="26"/>
  <c r="J112" i="26"/>
  <c r="I112" i="26"/>
  <c r="M123" i="26"/>
  <c r="L123" i="26"/>
  <c r="K123" i="26"/>
  <c r="J123" i="26"/>
  <c r="I123" i="26"/>
  <c r="M152" i="26"/>
  <c r="L152" i="26"/>
  <c r="K152" i="26"/>
  <c r="J152" i="26"/>
  <c r="H160" i="26"/>
  <c r="I152" i="26"/>
  <c r="M23" i="27"/>
  <c r="L23" i="27"/>
  <c r="K23" i="27"/>
  <c r="J23" i="27"/>
  <c r="I23" i="27"/>
  <c r="M33" i="27"/>
  <c r="L33" i="27"/>
  <c r="K33" i="27"/>
  <c r="J33" i="27"/>
  <c r="I33" i="27"/>
  <c r="F48" i="27"/>
  <c r="M92" i="27"/>
  <c r="L92" i="27"/>
  <c r="K92" i="27"/>
  <c r="J92" i="27"/>
  <c r="I92" i="27"/>
  <c r="M102" i="27"/>
  <c r="L102" i="27"/>
  <c r="K102" i="27"/>
  <c r="J102" i="27"/>
  <c r="I102" i="27"/>
  <c r="M131" i="27"/>
  <c r="L131" i="27"/>
  <c r="K131" i="27"/>
  <c r="J131" i="27"/>
  <c r="I131" i="27"/>
  <c r="F146" i="27"/>
  <c r="J159" i="27"/>
  <c r="I159" i="27"/>
  <c r="M159" i="27"/>
  <c r="L159" i="27"/>
  <c r="K159" i="27"/>
  <c r="K145" i="28"/>
  <c r="I145" i="28"/>
  <c r="M145" i="28"/>
  <c r="L103" i="30"/>
  <c r="F9" i="25"/>
  <c r="L11" i="25"/>
  <c r="J13" i="25"/>
  <c r="H15" i="25"/>
  <c r="F17" i="25"/>
  <c r="L19" i="25"/>
  <c r="J21" i="25"/>
  <c r="J32" i="25"/>
  <c r="H34" i="25"/>
  <c r="J40" i="25"/>
  <c r="H42" i="25"/>
  <c r="H53" i="25"/>
  <c r="J59" i="25"/>
  <c r="H61" i="25"/>
  <c r="J78" i="25"/>
  <c r="H80" i="25"/>
  <c r="J86" i="25"/>
  <c r="J97" i="25"/>
  <c r="H99" i="25"/>
  <c r="J105" i="25"/>
  <c r="H107" i="25"/>
  <c r="I12" i="26"/>
  <c r="H20" i="26"/>
  <c r="M12" i="26"/>
  <c r="L12" i="26"/>
  <c r="K12" i="26"/>
  <c r="J12" i="26"/>
  <c r="I29" i="26"/>
  <c r="M29" i="26"/>
  <c r="J29" i="26"/>
  <c r="L29" i="26"/>
  <c r="K29" i="26"/>
  <c r="I38" i="26"/>
  <c r="M38" i="26"/>
  <c r="L38" i="26"/>
  <c r="K38" i="26"/>
  <c r="J38" i="26"/>
  <c r="I46" i="26"/>
  <c r="M46" i="26"/>
  <c r="L46" i="26"/>
  <c r="J46" i="26"/>
  <c r="K46" i="26"/>
  <c r="J53" i="26"/>
  <c r="I53" i="26"/>
  <c r="K53" i="26"/>
  <c r="M53" i="26"/>
  <c r="L53" i="26"/>
  <c r="M60" i="26"/>
  <c r="L60" i="26"/>
  <c r="I60" i="26"/>
  <c r="J60" i="26"/>
  <c r="K60" i="26"/>
  <c r="K75" i="26"/>
  <c r="J75" i="26"/>
  <c r="I75" i="26"/>
  <c r="M75" i="26"/>
  <c r="L75" i="26"/>
  <c r="F90" i="26"/>
  <c r="M92" i="26"/>
  <c r="L92" i="26"/>
  <c r="K92" i="26"/>
  <c r="J92" i="26"/>
  <c r="I92" i="26"/>
  <c r="E104" i="26"/>
  <c r="M121" i="26"/>
  <c r="L121" i="26"/>
  <c r="K121" i="26"/>
  <c r="J121" i="26"/>
  <c r="I121" i="26"/>
  <c r="M131" i="26"/>
  <c r="L131" i="26"/>
  <c r="K131" i="26"/>
  <c r="I131" i="26"/>
  <c r="J131" i="26"/>
  <c r="F146" i="26"/>
  <c r="M31" i="27"/>
  <c r="L31" i="27"/>
  <c r="K31" i="27"/>
  <c r="J31" i="27"/>
  <c r="I31" i="27"/>
  <c r="G48" i="27"/>
  <c r="M42" i="27"/>
  <c r="L42" i="27"/>
  <c r="K42" i="27"/>
  <c r="I42" i="27"/>
  <c r="J42" i="27"/>
  <c r="M71" i="27"/>
  <c r="L71" i="27"/>
  <c r="K71" i="27"/>
  <c r="J71" i="27"/>
  <c r="I71" i="27"/>
  <c r="C90" i="27"/>
  <c r="M100" i="27"/>
  <c r="L100" i="27"/>
  <c r="K100" i="27"/>
  <c r="J100" i="27"/>
  <c r="I100" i="27"/>
  <c r="M111" i="27"/>
  <c r="L111" i="27"/>
  <c r="K111" i="27"/>
  <c r="I111" i="27"/>
  <c r="J111" i="27"/>
  <c r="D132" i="27"/>
  <c r="G146" i="27"/>
  <c r="M140" i="27"/>
  <c r="L140" i="27"/>
  <c r="K140" i="27"/>
  <c r="J140" i="27"/>
  <c r="I140" i="27"/>
  <c r="E160" i="27"/>
  <c r="M155" i="27"/>
  <c r="K155" i="27"/>
  <c r="J155" i="27"/>
  <c r="L155" i="27"/>
  <c r="I155" i="27"/>
  <c r="M67" i="28"/>
  <c r="K94" i="28"/>
  <c r="I94" i="28"/>
  <c r="M94" i="28"/>
  <c r="L106" i="30"/>
  <c r="J10" i="25"/>
  <c r="H12" i="25"/>
  <c r="F14" i="25"/>
  <c r="L16" i="25"/>
  <c r="J18" i="25"/>
  <c r="H20" i="25"/>
  <c r="H31" i="25"/>
  <c r="F33" i="25"/>
  <c r="J37" i="25"/>
  <c r="H39" i="25"/>
  <c r="F41" i="25"/>
  <c r="J56" i="25"/>
  <c r="H58" i="25"/>
  <c r="J64" i="25"/>
  <c r="J75" i="25"/>
  <c r="H77" i="25"/>
  <c r="J83" i="25"/>
  <c r="H85" i="25"/>
  <c r="J102" i="25"/>
  <c r="H104" i="25"/>
  <c r="M15" i="26"/>
  <c r="L15" i="26"/>
  <c r="K15" i="26"/>
  <c r="J15" i="26"/>
  <c r="I15" i="26"/>
  <c r="M24" i="26"/>
  <c r="L24" i="26"/>
  <c r="K24" i="26"/>
  <c r="J24" i="26"/>
  <c r="I24" i="26"/>
  <c r="M32" i="26"/>
  <c r="L32" i="26"/>
  <c r="K32" i="26"/>
  <c r="J32" i="26"/>
  <c r="I32" i="26"/>
  <c r="C48" i="26"/>
  <c r="M41" i="26"/>
  <c r="L41" i="26"/>
  <c r="K41" i="26"/>
  <c r="J41" i="26"/>
  <c r="I41" i="26"/>
  <c r="M50" i="26"/>
  <c r="L50" i="26"/>
  <c r="K50" i="26"/>
  <c r="J50" i="26"/>
  <c r="I50" i="26"/>
  <c r="M52" i="26"/>
  <c r="L52" i="26"/>
  <c r="I52" i="26"/>
  <c r="K52" i="26"/>
  <c r="J52" i="26"/>
  <c r="K67" i="26"/>
  <c r="J67" i="26"/>
  <c r="I67" i="26"/>
  <c r="M67" i="26"/>
  <c r="L67" i="26"/>
  <c r="M74" i="26"/>
  <c r="J74" i="26"/>
  <c r="L74" i="26"/>
  <c r="K74" i="26"/>
  <c r="I74" i="26"/>
  <c r="M100" i="26"/>
  <c r="L100" i="26"/>
  <c r="K100" i="26"/>
  <c r="J100" i="26"/>
  <c r="I100" i="26"/>
  <c r="M129" i="26"/>
  <c r="L129" i="26"/>
  <c r="K129" i="26"/>
  <c r="J129" i="26"/>
  <c r="I129" i="26"/>
  <c r="G146" i="26"/>
  <c r="M140" i="26"/>
  <c r="L140" i="26"/>
  <c r="K140" i="26"/>
  <c r="I140" i="26"/>
  <c r="J140" i="26"/>
  <c r="M11" i="27"/>
  <c r="L11" i="27"/>
  <c r="K11" i="27"/>
  <c r="J11" i="27"/>
  <c r="I11" i="27"/>
  <c r="E34" i="27"/>
  <c r="M40" i="27"/>
  <c r="L40" i="27"/>
  <c r="K40" i="27"/>
  <c r="J40" i="27"/>
  <c r="I40" i="27"/>
  <c r="H48" i="27"/>
  <c r="M51" i="27"/>
  <c r="L51" i="27"/>
  <c r="K51" i="27"/>
  <c r="J51" i="27"/>
  <c r="I51" i="27"/>
  <c r="M80" i="27"/>
  <c r="L80" i="27"/>
  <c r="K80" i="27"/>
  <c r="J80" i="27"/>
  <c r="I80" i="27"/>
  <c r="M109" i="27"/>
  <c r="L109" i="27"/>
  <c r="K109" i="27"/>
  <c r="J109" i="27"/>
  <c r="I109" i="27"/>
  <c r="M120" i="27"/>
  <c r="L120" i="27"/>
  <c r="K120" i="27"/>
  <c r="I120" i="27"/>
  <c r="J120" i="27"/>
  <c r="E132" i="27"/>
  <c r="L152" i="27"/>
  <c r="K152" i="27"/>
  <c r="H160" i="27"/>
  <c r="M152" i="27"/>
  <c r="J152" i="27"/>
  <c r="I152" i="27"/>
  <c r="K25" i="28"/>
  <c r="I25" i="28"/>
  <c r="M25" i="28"/>
  <c r="M87" i="28"/>
  <c r="C62" i="26"/>
  <c r="L55" i="26"/>
  <c r="K55" i="26"/>
  <c r="M55" i="26"/>
  <c r="J55" i="26"/>
  <c r="I55" i="26"/>
  <c r="L64" i="26"/>
  <c r="K64" i="26"/>
  <c r="M64" i="26"/>
  <c r="J64" i="26"/>
  <c r="I64" i="26"/>
  <c r="D76" i="26"/>
  <c r="L72" i="26"/>
  <c r="K72" i="26"/>
  <c r="M72" i="26"/>
  <c r="J72" i="26"/>
  <c r="I72" i="26"/>
  <c r="L81" i="26"/>
  <c r="K81" i="26"/>
  <c r="M81" i="26"/>
  <c r="J81" i="26"/>
  <c r="I81" i="26"/>
  <c r="E90" i="26"/>
  <c r="L89" i="26"/>
  <c r="K89" i="26"/>
  <c r="J89" i="26"/>
  <c r="I89" i="26"/>
  <c r="M89" i="26"/>
  <c r="F104" i="26"/>
  <c r="L98" i="26"/>
  <c r="K98" i="26"/>
  <c r="J98" i="26"/>
  <c r="I98" i="26"/>
  <c r="M98" i="26"/>
  <c r="L107" i="26"/>
  <c r="K107" i="26"/>
  <c r="J107" i="26"/>
  <c r="I107" i="26"/>
  <c r="M107" i="26"/>
  <c r="G118" i="26"/>
  <c r="L115" i="26"/>
  <c r="K115" i="26"/>
  <c r="J115" i="26"/>
  <c r="I115" i="26"/>
  <c r="M115" i="26"/>
  <c r="L124" i="26"/>
  <c r="K124" i="26"/>
  <c r="J124" i="26"/>
  <c r="I124" i="26"/>
  <c r="H132" i="26"/>
  <c r="M124" i="26"/>
  <c r="L141" i="26"/>
  <c r="K141" i="26"/>
  <c r="J141" i="26"/>
  <c r="I141" i="26"/>
  <c r="M141" i="26"/>
  <c r="L150" i="26"/>
  <c r="K150" i="26"/>
  <c r="J150" i="26"/>
  <c r="I150" i="26"/>
  <c r="M150" i="26"/>
  <c r="L158" i="26"/>
  <c r="K158" i="26"/>
  <c r="J158" i="26"/>
  <c r="I158" i="26"/>
  <c r="M158" i="26"/>
  <c r="L9" i="27"/>
  <c r="K9" i="27"/>
  <c r="J9" i="27"/>
  <c r="I9" i="27"/>
  <c r="M9" i="27"/>
  <c r="G20" i="27"/>
  <c r="L17" i="27"/>
  <c r="K17" i="27"/>
  <c r="J17" i="27"/>
  <c r="I17" i="27"/>
  <c r="M17" i="27"/>
  <c r="L26" i="27"/>
  <c r="K26" i="27"/>
  <c r="J26" i="27"/>
  <c r="I26" i="27"/>
  <c r="H34" i="27"/>
  <c r="M26" i="27"/>
  <c r="L43" i="27"/>
  <c r="K43" i="27"/>
  <c r="J43" i="27"/>
  <c r="I43" i="27"/>
  <c r="M43" i="27"/>
  <c r="L52" i="27"/>
  <c r="K52" i="27"/>
  <c r="J52" i="27"/>
  <c r="I52" i="27"/>
  <c r="M52" i="27"/>
  <c r="L60" i="27"/>
  <c r="K60" i="27"/>
  <c r="J60" i="27"/>
  <c r="I60" i="27"/>
  <c r="M60" i="27"/>
  <c r="C76" i="27"/>
  <c r="L69" i="27"/>
  <c r="K69" i="27"/>
  <c r="J69" i="27"/>
  <c r="I69" i="27"/>
  <c r="M69" i="27"/>
  <c r="L78" i="27"/>
  <c r="K78" i="27"/>
  <c r="J78" i="27"/>
  <c r="I78" i="27"/>
  <c r="M78" i="27"/>
  <c r="D90" i="27"/>
  <c r="L86" i="27"/>
  <c r="K86" i="27"/>
  <c r="J86" i="27"/>
  <c r="I86" i="27"/>
  <c r="M86" i="27"/>
  <c r="L95" i="27"/>
  <c r="K95" i="27"/>
  <c r="J95" i="27"/>
  <c r="I95" i="27"/>
  <c r="M95" i="27"/>
  <c r="E104" i="27"/>
  <c r="L103" i="27"/>
  <c r="K103" i="27"/>
  <c r="J103" i="27"/>
  <c r="I103" i="27"/>
  <c r="M103" i="27"/>
  <c r="F118" i="27"/>
  <c r="L112" i="27"/>
  <c r="K112" i="27"/>
  <c r="J112" i="27"/>
  <c r="I112" i="27"/>
  <c r="M112" i="27"/>
  <c r="L121" i="27"/>
  <c r="K121" i="27"/>
  <c r="J121" i="27"/>
  <c r="I121" i="27"/>
  <c r="M121" i="27"/>
  <c r="G132" i="27"/>
  <c r="L129" i="27"/>
  <c r="K129" i="27"/>
  <c r="J129" i="27"/>
  <c r="I129" i="27"/>
  <c r="M129" i="27"/>
  <c r="L138" i="27"/>
  <c r="H146" i="27"/>
  <c r="K138" i="27"/>
  <c r="J138" i="27"/>
  <c r="I138" i="27"/>
  <c r="M138" i="27"/>
  <c r="M158" i="27"/>
  <c r="L158" i="27"/>
  <c r="J158" i="27"/>
  <c r="I158" i="27"/>
  <c r="K158" i="27"/>
  <c r="K19" i="28"/>
  <c r="M19" i="28"/>
  <c r="I19" i="28"/>
  <c r="M22" i="28"/>
  <c r="K22" i="28"/>
  <c r="I22" i="28"/>
  <c r="M24" i="28"/>
  <c r="J24" i="28"/>
  <c r="L24" i="28"/>
  <c r="M110" i="28"/>
  <c r="H9" i="30"/>
  <c r="F59" i="30"/>
  <c r="L12" i="31"/>
  <c r="K84" i="26"/>
  <c r="J84" i="26"/>
  <c r="I84" i="26"/>
  <c r="M84" i="26"/>
  <c r="L84" i="26"/>
  <c r="K93" i="26"/>
  <c r="J93" i="26"/>
  <c r="I93" i="26"/>
  <c r="M93" i="26"/>
  <c r="L93" i="26"/>
  <c r="G104" i="26"/>
  <c r="K101" i="26"/>
  <c r="J101" i="26"/>
  <c r="I101" i="26"/>
  <c r="M101" i="26"/>
  <c r="L101" i="26"/>
  <c r="K110" i="26"/>
  <c r="J110" i="26"/>
  <c r="I110" i="26"/>
  <c r="H118" i="26"/>
  <c r="M110" i="26"/>
  <c r="L110" i="26"/>
  <c r="K127" i="26"/>
  <c r="J127" i="26"/>
  <c r="I127" i="26"/>
  <c r="L127" i="26"/>
  <c r="M127" i="26"/>
  <c r="K136" i="26"/>
  <c r="J136" i="26"/>
  <c r="I136" i="26"/>
  <c r="M136" i="26"/>
  <c r="L136" i="26"/>
  <c r="K144" i="26"/>
  <c r="J144" i="26"/>
  <c r="I144" i="26"/>
  <c r="M144" i="26"/>
  <c r="L144" i="26"/>
  <c r="C160" i="26"/>
  <c r="K153" i="26"/>
  <c r="J153" i="26"/>
  <c r="I153" i="26"/>
  <c r="M153" i="26"/>
  <c r="L153" i="26"/>
  <c r="K12" i="27"/>
  <c r="J12" i="27"/>
  <c r="I12" i="27"/>
  <c r="H20" i="27"/>
  <c r="M12" i="27"/>
  <c r="L12" i="27"/>
  <c r="K29" i="27"/>
  <c r="J29" i="27"/>
  <c r="I29" i="27"/>
  <c r="M29" i="27"/>
  <c r="L29" i="27"/>
  <c r="K38" i="27"/>
  <c r="J38" i="27"/>
  <c r="I38" i="27"/>
  <c r="L38" i="27"/>
  <c r="M38" i="27"/>
  <c r="K46" i="27"/>
  <c r="J46" i="27"/>
  <c r="I46" i="27"/>
  <c r="M46" i="27"/>
  <c r="L46" i="27"/>
  <c r="C62" i="27"/>
  <c r="K55" i="27"/>
  <c r="J55" i="27"/>
  <c r="I55" i="27"/>
  <c r="M55" i="27"/>
  <c r="L55" i="27"/>
  <c r="K64" i="27"/>
  <c r="J64" i="27"/>
  <c r="I64" i="27"/>
  <c r="M64" i="27"/>
  <c r="L64" i="27"/>
  <c r="D76" i="27"/>
  <c r="K72" i="27"/>
  <c r="J72" i="27"/>
  <c r="I72" i="27"/>
  <c r="M72" i="27"/>
  <c r="L72" i="27"/>
  <c r="K81" i="27"/>
  <c r="J81" i="27"/>
  <c r="I81" i="27"/>
  <c r="M81" i="27"/>
  <c r="L81" i="27"/>
  <c r="E90" i="27"/>
  <c r="K89" i="27"/>
  <c r="J89" i="27"/>
  <c r="I89" i="27"/>
  <c r="M89" i="27"/>
  <c r="L89" i="27"/>
  <c r="F104" i="27"/>
  <c r="K98" i="27"/>
  <c r="J98" i="27"/>
  <c r="I98" i="27"/>
  <c r="M98" i="27"/>
  <c r="L98" i="27"/>
  <c r="K107" i="27"/>
  <c r="J107" i="27"/>
  <c r="I107" i="27"/>
  <c r="L107" i="27"/>
  <c r="M107" i="27"/>
  <c r="G118" i="27"/>
  <c r="K115" i="27"/>
  <c r="J115" i="27"/>
  <c r="I115" i="27"/>
  <c r="M115" i="27"/>
  <c r="L115" i="27"/>
  <c r="K124" i="27"/>
  <c r="J124" i="27"/>
  <c r="I124" i="27"/>
  <c r="H132" i="27"/>
  <c r="M124" i="27"/>
  <c r="L124" i="27"/>
  <c r="K141" i="27"/>
  <c r="J141" i="27"/>
  <c r="I141" i="27"/>
  <c r="M141" i="27"/>
  <c r="L141" i="27"/>
  <c r="J151" i="27"/>
  <c r="I151" i="27"/>
  <c r="M151" i="27"/>
  <c r="L151" i="27"/>
  <c r="K151" i="27"/>
  <c r="M9" i="28"/>
  <c r="I9" i="28"/>
  <c r="K9" i="28"/>
  <c r="M47" i="28"/>
  <c r="K47" i="28"/>
  <c r="I47" i="28"/>
  <c r="M70" i="28"/>
  <c r="K70" i="28"/>
  <c r="I70" i="28"/>
  <c r="M93" i="28"/>
  <c r="M113" i="28"/>
  <c r="K113" i="28"/>
  <c r="I113" i="28"/>
  <c r="J9" i="30"/>
  <c r="G90" i="26"/>
  <c r="J87" i="26"/>
  <c r="I87" i="26"/>
  <c r="L87" i="26"/>
  <c r="K87" i="26"/>
  <c r="M87" i="26"/>
  <c r="J96" i="26"/>
  <c r="I96" i="26"/>
  <c r="H104" i="26"/>
  <c r="K96" i="26"/>
  <c r="L96" i="26"/>
  <c r="M96" i="26"/>
  <c r="J113" i="26"/>
  <c r="I113" i="26"/>
  <c r="M113" i="26"/>
  <c r="L113" i="26"/>
  <c r="K113" i="26"/>
  <c r="J122" i="26"/>
  <c r="I122" i="26"/>
  <c r="M122" i="26"/>
  <c r="L122" i="26"/>
  <c r="K122" i="26"/>
  <c r="J130" i="26"/>
  <c r="I130" i="26"/>
  <c r="M130" i="26"/>
  <c r="L130" i="26"/>
  <c r="K130" i="26"/>
  <c r="C146" i="26"/>
  <c r="J139" i="26"/>
  <c r="I139" i="26"/>
  <c r="M139" i="26"/>
  <c r="L139" i="26"/>
  <c r="K139" i="26"/>
  <c r="J148" i="26"/>
  <c r="I148" i="26"/>
  <c r="M148" i="26"/>
  <c r="L148" i="26"/>
  <c r="K148" i="26"/>
  <c r="D160" i="26"/>
  <c r="J156" i="26"/>
  <c r="I156" i="26"/>
  <c r="L156" i="26"/>
  <c r="K156" i="26"/>
  <c r="M156" i="26"/>
  <c r="J15" i="27"/>
  <c r="I15" i="27"/>
  <c r="M15" i="27"/>
  <c r="L15" i="27"/>
  <c r="K15" i="27"/>
  <c r="J24" i="27"/>
  <c r="I24" i="27"/>
  <c r="M24" i="27"/>
  <c r="L24" i="27"/>
  <c r="K24" i="27"/>
  <c r="J32" i="27"/>
  <c r="I32" i="27"/>
  <c r="M32" i="27"/>
  <c r="L32" i="27"/>
  <c r="K32" i="27"/>
  <c r="C48" i="27"/>
  <c r="J41" i="27"/>
  <c r="I41" i="27"/>
  <c r="M41" i="27"/>
  <c r="L41" i="27"/>
  <c r="K41" i="27"/>
  <c r="J50" i="27"/>
  <c r="I50" i="27"/>
  <c r="M50" i="27"/>
  <c r="L50" i="27"/>
  <c r="K50" i="27"/>
  <c r="D62" i="27"/>
  <c r="J58" i="27"/>
  <c r="I58" i="27"/>
  <c r="M58" i="27"/>
  <c r="L58" i="27"/>
  <c r="K58" i="27"/>
  <c r="J67" i="27"/>
  <c r="I67" i="27"/>
  <c r="L67" i="27"/>
  <c r="K67" i="27"/>
  <c r="M67" i="27"/>
  <c r="E76" i="27"/>
  <c r="J75" i="27"/>
  <c r="I75" i="27"/>
  <c r="K75" i="27"/>
  <c r="M75" i="27"/>
  <c r="L75" i="27"/>
  <c r="F90" i="27"/>
  <c r="J84" i="27"/>
  <c r="I84" i="27"/>
  <c r="M84" i="27"/>
  <c r="L84" i="27"/>
  <c r="K84" i="27"/>
  <c r="J93" i="27"/>
  <c r="I93" i="27"/>
  <c r="M93" i="27"/>
  <c r="L93" i="27"/>
  <c r="K93" i="27"/>
  <c r="G104" i="27"/>
  <c r="J101" i="27"/>
  <c r="I101" i="27"/>
  <c r="M101" i="27"/>
  <c r="L101" i="27"/>
  <c r="K101" i="27"/>
  <c r="J110" i="27"/>
  <c r="I110" i="27"/>
  <c r="H118" i="27"/>
  <c r="M110" i="27"/>
  <c r="L110" i="27"/>
  <c r="K110" i="27"/>
  <c r="J127" i="27"/>
  <c r="I127" i="27"/>
  <c r="M127" i="27"/>
  <c r="L127" i="27"/>
  <c r="K127" i="27"/>
  <c r="J136" i="27"/>
  <c r="I136" i="27"/>
  <c r="L136" i="27"/>
  <c r="K136" i="27"/>
  <c r="M136" i="27"/>
  <c r="L144" i="27"/>
  <c r="J144" i="27"/>
  <c r="I144" i="27"/>
  <c r="K144" i="27"/>
  <c r="M144" i="27"/>
  <c r="M37" i="28"/>
  <c r="M39" i="28"/>
  <c r="M41" i="28"/>
  <c r="M68" i="28"/>
  <c r="M83" i="28"/>
  <c r="M101" i="28"/>
  <c r="H141" i="30"/>
  <c r="F62" i="26"/>
  <c r="I56" i="26"/>
  <c r="M56" i="26"/>
  <c r="L56" i="26"/>
  <c r="K56" i="26"/>
  <c r="J56" i="26"/>
  <c r="I65" i="26"/>
  <c r="M65" i="26"/>
  <c r="L65" i="26"/>
  <c r="K65" i="26"/>
  <c r="J65" i="26"/>
  <c r="G76" i="26"/>
  <c r="I73" i="26"/>
  <c r="M73" i="26"/>
  <c r="L73" i="26"/>
  <c r="J73" i="26"/>
  <c r="K73" i="26"/>
  <c r="I82" i="26"/>
  <c r="H90" i="26"/>
  <c r="M82" i="26"/>
  <c r="J82" i="26"/>
  <c r="L82" i="26"/>
  <c r="K82" i="26"/>
  <c r="I99" i="26"/>
  <c r="M99" i="26"/>
  <c r="L99" i="26"/>
  <c r="K99" i="26"/>
  <c r="J99" i="26"/>
  <c r="I108" i="26"/>
  <c r="M108" i="26"/>
  <c r="L108" i="26"/>
  <c r="K108" i="26"/>
  <c r="J108" i="26"/>
  <c r="I116" i="26"/>
  <c r="M116" i="26"/>
  <c r="L116" i="26"/>
  <c r="K116" i="26"/>
  <c r="J116" i="26"/>
  <c r="C132" i="26"/>
  <c r="I125" i="26"/>
  <c r="M125" i="26"/>
  <c r="K125" i="26"/>
  <c r="J125" i="26"/>
  <c r="L125" i="26"/>
  <c r="I134" i="26"/>
  <c r="M134" i="26"/>
  <c r="J134" i="26"/>
  <c r="L134" i="26"/>
  <c r="K134" i="26"/>
  <c r="D146" i="26"/>
  <c r="I142" i="26"/>
  <c r="M142" i="26"/>
  <c r="L142" i="26"/>
  <c r="K142" i="26"/>
  <c r="J142" i="26"/>
  <c r="I151" i="26"/>
  <c r="M151" i="26"/>
  <c r="L151" i="26"/>
  <c r="J151" i="26"/>
  <c r="K151" i="26"/>
  <c r="E160" i="26"/>
  <c r="I159" i="26"/>
  <c r="M159" i="26"/>
  <c r="L159" i="26"/>
  <c r="K159" i="26"/>
  <c r="J159" i="26"/>
  <c r="I10" i="27"/>
  <c r="M10" i="27"/>
  <c r="L10" i="27"/>
  <c r="K10" i="27"/>
  <c r="J10" i="27"/>
  <c r="I18" i="27"/>
  <c r="M18" i="27"/>
  <c r="L18" i="27"/>
  <c r="K18" i="27"/>
  <c r="J18" i="27"/>
  <c r="C34" i="27"/>
  <c r="I27" i="27"/>
  <c r="M27" i="27"/>
  <c r="L27" i="27"/>
  <c r="K27" i="27"/>
  <c r="J27" i="27"/>
  <c r="I36" i="27"/>
  <c r="M36" i="27"/>
  <c r="K36" i="27"/>
  <c r="J36" i="27"/>
  <c r="L36" i="27"/>
  <c r="D48" i="27"/>
  <c r="I44" i="27"/>
  <c r="M44" i="27"/>
  <c r="J44" i="27"/>
  <c r="L44" i="27"/>
  <c r="K44" i="27"/>
  <c r="I53" i="27"/>
  <c r="M53" i="27"/>
  <c r="J53" i="27"/>
  <c r="L53" i="27"/>
  <c r="K53" i="27"/>
  <c r="E62" i="27"/>
  <c r="I61" i="27"/>
  <c r="M61" i="27"/>
  <c r="L61" i="27"/>
  <c r="K61" i="27"/>
  <c r="J61" i="27"/>
  <c r="F76" i="27"/>
  <c r="I70" i="27"/>
  <c r="M70" i="27"/>
  <c r="L70" i="27"/>
  <c r="K70" i="27"/>
  <c r="J70" i="27"/>
  <c r="I79" i="27"/>
  <c r="M79" i="27"/>
  <c r="L79" i="27"/>
  <c r="K79" i="27"/>
  <c r="J79" i="27"/>
  <c r="G90" i="27"/>
  <c r="I87" i="27"/>
  <c r="M87" i="27"/>
  <c r="L87" i="27"/>
  <c r="K87" i="27"/>
  <c r="J87" i="27"/>
  <c r="I96" i="27"/>
  <c r="H104" i="27"/>
  <c r="M96" i="27"/>
  <c r="L96" i="27"/>
  <c r="K96" i="27"/>
  <c r="J96" i="27"/>
  <c r="I113" i="27"/>
  <c r="M113" i="27"/>
  <c r="J113" i="27"/>
  <c r="L113" i="27"/>
  <c r="K113" i="27"/>
  <c r="I122" i="27"/>
  <c r="M122" i="27"/>
  <c r="L122" i="27"/>
  <c r="K122" i="27"/>
  <c r="J122" i="27"/>
  <c r="I130" i="27"/>
  <c r="M130" i="27"/>
  <c r="L130" i="27"/>
  <c r="J130" i="27"/>
  <c r="K130" i="27"/>
  <c r="C146" i="27"/>
  <c r="I139" i="27"/>
  <c r="M139" i="27"/>
  <c r="L139" i="27"/>
  <c r="K139" i="27"/>
  <c r="J139" i="27"/>
  <c r="L11" i="28"/>
  <c r="M11" i="28"/>
  <c r="J11" i="28"/>
  <c r="J14" i="28"/>
  <c r="M14" i="28"/>
  <c r="L14" i="28"/>
  <c r="L16" i="28"/>
  <c r="M16" i="28"/>
  <c r="J16" i="28"/>
  <c r="M18" i="28"/>
  <c r="M111" i="28"/>
  <c r="L15" i="30"/>
  <c r="L61" i="30"/>
  <c r="L51" i="26"/>
  <c r="M51" i="26"/>
  <c r="K51" i="26"/>
  <c r="J51" i="26"/>
  <c r="I51" i="26"/>
  <c r="G62" i="26"/>
  <c r="L59" i="26"/>
  <c r="I59" i="26"/>
  <c r="M59" i="26"/>
  <c r="K59" i="26"/>
  <c r="J59" i="26"/>
  <c r="H76" i="26"/>
  <c r="L68" i="26"/>
  <c r="J68" i="26"/>
  <c r="I68" i="26"/>
  <c r="M68" i="26"/>
  <c r="K68" i="26"/>
  <c r="M85" i="26"/>
  <c r="L85" i="26"/>
  <c r="K85" i="26"/>
  <c r="J85" i="26"/>
  <c r="I85" i="26"/>
  <c r="M94" i="26"/>
  <c r="L94" i="26"/>
  <c r="J94" i="26"/>
  <c r="I94" i="26"/>
  <c r="K94" i="26"/>
  <c r="M102" i="26"/>
  <c r="L102" i="26"/>
  <c r="I102" i="26"/>
  <c r="K102" i="26"/>
  <c r="J102" i="26"/>
  <c r="C118" i="26"/>
  <c r="M111" i="26"/>
  <c r="L111" i="26"/>
  <c r="K111" i="26"/>
  <c r="J111" i="26"/>
  <c r="I111" i="26"/>
  <c r="M120" i="26"/>
  <c r="L120" i="26"/>
  <c r="K120" i="26"/>
  <c r="J120" i="26"/>
  <c r="I120" i="26"/>
  <c r="D132" i="26"/>
  <c r="M128" i="26"/>
  <c r="L128" i="26"/>
  <c r="K128" i="26"/>
  <c r="J128" i="26"/>
  <c r="I128" i="26"/>
  <c r="M137" i="26"/>
  <c r="L137" i="26"/>
  <c r="K137" i="26"/>
  <c r="J137" i="26"/>
  <c r="I137" i="26"/>
  <c r="E146" i="26"/>
  <c r="M145" i="26"/>
  <c r="L145" i="26"/>
  <c r="K145" i="26"/>
  <c r="J145" i="26"/>
  <c r="I145" i="26"/>
  <c r="F160" i="26"/>
  <c r="M154" i="26"/>
  <c r="L154" i="26"/>
  <c r="K154" i="26"/>
  <c r="J154" i="26"/>
  <c r="I154" i="26"/>
  <c r="C20" i="27"/>
  <c r="M13" i="27"/>
  <c r="L13" i="27"/>
  <c r="I13" i="27"/>
  <c r="K13" i="27"/>
  <c r="J13" i="27"/>
  <c r="M22" i="27"/>
  <c r="L22" i="27"/>
  <c r="K22" i="27"/>
  <c r="J22" i="27"/>
  <c r="I22" i="27"/>
  <c r="D34" i="27"/>
  <c r="M30" i="27"/>
  <c r="L30" i="27"/>
  <c r="K30" i="27"/>
  <c r="I30" i="27"/>
  <c r="J30" i="27"/>
  <c r="M39" i="27"/>
  <c r="L39" i="27"/>
  <c r="K39" i="27"/>
  <c r="J39" i="27"/>
  <c r="I39" i="27"/>
  <c r="E48" i="27"/>
  <c r="M47" i="27"/>
  <c r="L47" i="27"/>
  <c r="K47" i="27"/>
  <c r="J47" i="27"/>
  <c r="I47" i="27"/>
  <c r="F62" i="27"/>
  <c r="M56" i="27"/>
  <c r="L56" i="27"/>
  <c r="K56" i="27"/>
  <c r="J56" i="27"/>
  <c r="I56" i="27"/>
  <c r="M65" i="27"/>
  <c r="L65" i="27"/>
  <c r="K65" i="27"/>
  <c r="J65" i="27"/>
  <c r="I65" i="27"/>
  <c r="G76" i="27"/>
  <c r="M73" i="27"/>
  <c r="L73" i="27"/>
  <c r="J73" i="27"/>
  <c r="I73" i="27"/>
  <c r="K73" i="27"/>
  <c r="H90" i="27"/>
  <c r="M82" i="27"/>
  <c r="L82" i="27"/>
  <c r="I82" i="27"/>
  <c r="K82" i="27"/>
  <c r="J82" i="27"/>
  <c r="M99" i="27"/>
  <c r="L99" i="27"/>
  <c r="K99" i="27"/>
  <c r="J99" i="27"/>
  <c r="I99" i="27"/>
  <c r="M108" i="27"/>
  <c r="L108" i="27"/>
  <c r="K108" i="27"/>
  <c r="J108" i="27"/>
  <c r="I108" i="27"/>
  <c r="M116" i="27"/>
  <c r="L116" i="27"/>
  <c r="K116" i="27"/>
  <c r="J116" i="27"/>
  <c r="I116" i="27"/>
  <c r="C132" i="27"/>
  <c r="M125" i="27"/>
  <c r="L125" i="27"/>
  <c r="K125" i="27"/>
  <c r="J125" i="27"/>
  <c r="I125" i="27"/>
  <c r="M134" i="27"/>
  <c r="L134" i="27"/>
  <c r="K134" i="27"/>
  <c r="J134" i="27"/>
  <c r="I134" i="27"/>
  <c r="D146" i="27"/>
  <c r="M142" i="27"/>
  <c r="L142" i="27"/>
  <c r="J142" i="27"/>
  <c r="I142" i="27"/>
  <c r="K142" i="27"/>
  <c r="M150" i="27"/>
  <c r="L150" i="27"/>
  <c r="J150" i="27"/>
  <c r="I150" i="27"/>
  <c r="K150" i="27"/>
  <c r="M134" i="28"/>
  <c r="K134" i="28"/>
  <c r="I134" i="28"/>
  <c r="M56" i="28"/>
  <c r="K56" i="28"/>
  <c r="I56" i="28"/>
  <c r="M79" i="28"/>
  <c r="K79" i="28"/>
  <c r="I79" i="28"/>
  <c r="M127" i="28"/>
  <c r="K154" i="28"/>
  <c r="I154" i="28"/>
  <c r="M154" i="28"/>
  <c r="F11" i="30"/>
  <c r="C160" i="27"/>
  <c r="L153" i="27"/>
  <c r="K153" i="27"/>
  <c r="I153" i="27"/>
  <c r="M153" i="27"/>
  <c r="J153" i="27"/>
  <c r="H11" i="30"/>
  <c r="J14" i="30"/>
  <c r="F21" i="30"/>
  <c r="J34" i="30"/>
  <c r="H57" i="30"/>
  <c r="K148" i="27"/>
  <c r="J148" i="27"/>
  <c r="M148" i="27"/>
  <c r="L148" i="27"/>
  <c r="I148" i="27"/>
  <c r="D160" i="27"/>
  <c r="K156" i="27"/>
  <c r="J156" i="27"/>
  <c r="I156" i="27"/>
  <c r="M156" i="27"/>
  <c r="L156" i="27"/>
  <c r="F13" i="30"/>
  <c r="F19" i="30"/>
  <c r="L21" i="30"/>
  <c r="F32" i="30"/>
  <c r="L34" i="30"/>
  <c r="J147" i="30"/>
  <c r="L197" i="30"/>
  <c r="M136" i="28"/>
  <c r="M151" i="28"/>
  <c r="M153" i="28"/>
  <c r="H19" i="30"/>
  <c r="L32" i="30"/>
  <c r="J42" i="30"/>
  <c r="J55" i="30"/>
  <c r="H65" i="30"/>
  <c r="F78" i="30"/>
  <c r="I145" i="27"/>
  <c r="J145" i="27"/>
  <c r="M145" i="27"/>
  <c r="L145" i="27"/>
  <c r="K145" i="27"/>
  <c r="F160" i="27"/>
  <c r="I154" i="27"/>
  <c r="M154" i="27"/>
  <c r="L154" i="27"/>
  <c r="K154" i="27"/>
  <c r="J154" i="27"/>
  <c r="F10" i="30"/>
  <c r="L13" i="30"/>
  <c r="H17" i="30"/>
  <c r="F40" i="30"/>
  <c r="L42" i="30"/>
  <c r="H85" i="30"/>
  <c r="L109" i="30"/>
  <c r="M149" i="27"/>
  <c r="L149" i="27"/>
  <c r="K149" i="27"/>
  <c r="I149" i="27"/>
  <c r="J149" i="27"/>
  <c r="G160" i="27"/>
  <c r="M157" i="27"/>
  <c r="L157" i="27"/>
  <c r="K157" i="27"/>
  <c r="J157" i="27"/>
  <c r="I157" i="27"/>
  <c r="M8" i="28"/>
  <c r="I8" i="28"/>
  <c r="K8" i="28"/>
  <c r="J15" i="30"/>
  <c r="J17" i="30"/>
  <c r="F38" i="30"/>
  <c r="L40" i="30"/>
  <c r="L53" i="30"/>
  <c r="H76" i="30"/>
  <c r="F86" i="30"/>
  <c r="F121" i="30"/>
  <c r="L10" i="30"/>
  <c r="J12" i="30"/>
  <c r="H14" i="30"/>
  <c r="F16" i="30"/>
  <c r="L18" i="30"/>
  <c r="J20" i="30"/>
  <c r="J31" i="30"/>
  <c r="H33" i="30"/>
  <c r="F35" i="30"/>
  <c r="L37" i="30"/>
  <c r="J39" i="30"/>
  <c r="H41" i="30"/>
  <c r="F43" i="30"/>
  <c r="H98" i="30"/>
  <c r="L99" i="30"/>
  <c r="H100" i="30"/>
  <c r="H16" i="30"/>
  <c r="F18" i="30"/>
  <c r="L20" i="30"/>
  <c r="L31" i="30"/>
  <c r="J33" i="30"/>
  <c r="H35" i="30"/>
  <c r="F37" i="30"/>
  <c r="L39" i="30"/>
  <c r="J41" i="30"/>
  <c r="H43" i="30"/>
  <c r="H54" i="30"/>
  <c r="H62" i="30"/>
  <c r="J98" i="30"/>
  <c r="J100" i="30"/>
  <c r="F101" i="30"/>
  <c r="F102" i="30"/>
  <c r="F105" i="30"/>
  <c r="F195" i="30"/>
  <c r="H64" i="31"/>
  <c r="F85" i="31"/>
  <c r="I35" i="35"/>
  <c r="H35" i="35"/>
  <c r="L9" i="30"/>
  <c r="J11" i="30"/>
  <c r="H13" i="30"/>
  <c r="F15" i="30"/>
  <c r="L17" i="30"/>
  <c r="J19" i="30"/>
  <c r="H21" i="30"/>
  <c r="H32" i="30"/>
  <c r="F34" i="30"/>
  <c r="L36" i="30"/>
  <c r="J38" i="30"/>
  <c r="H40" i="30"/>
  <c r="F42" i="30"/>
  <c r="F53" i="30"/>
  <c r="L55" i="30"/>
  <c r="H59" i="30"/>
  <c r="F61" i="30"/>
  <c r="H78" i="30"/>
  <c r="F80" i="30"/>
  <c r="H86" i="30"/>
  <c r="H97" i="30"/>
  <c r="F99" i="30"/>
  <c r="H103" i="30"/>
  <c r="F104" i="30"/>
  <c r="F107" i="30"/>
  <c r="H10" i="30"/>
  <c r="F12" i="30"/>
  <c r="L14" i="30"/>
  <c r="J16" i="30"/>
  <c r="H18" i="30"/>
  <c r="F20" i="30"/>
  <c r="F31" i="30"/>
  <c r="L33" i="30"/>
  <c r="J35" i="30"/>
  <c r="H37" i="30"/>
  <c r="F39" i="30"/>
  <c r="L41" i="30"/>
  <c r="J43" i="30"/>
  <c r="H56" i="30"/>
  <c r="F58" i="30"/>
  <c r="H64" i="30"/>
  <c r="H75" i="30"/>
  <c r="F77" i="30"/>
  <c r="H83" i="30"/>
  <c r="F85" i="30"/>
  <c r="L98" i="30"/>
  <c r="J101" i="30"/>
  <c r="H102" i="30"/>
  <c r="H105" i="30"/>
  <c r="H108" i="30"/>
  <c r="F109" i="30"/>
  <c r="J119" i="30"/>
  <c r="J122" i="30"/>
  <c r="F33" i="31"/>
  <c r="J56" i="31"/>
  <c r="F9" i="30"/>
  <c r="L11" i="30"/>
  <c r="J13" i="30"/>
  <c r="H15" i="30"/>
  <c r="F17" i="30"/>
  <c r="L19" i="30"/>
  <c r="J21" i="30"/>
  <c r="J32" i="30"/>
  <c r="H34" i="30"/>
  <c r="F36" i="30"/>
  <c r="L38" i="30"/>
  <c r="J40" i="30"/>
  <c r="H42" i="30"/>
  <c r="J97" i="30"/>
  <c r="H99" i="30"/>
  <c r="J103" i="30"/>
  <c r="J106" i="30"/>
  <c r="H107" i="30"/>
  <c r="J109" i="30"/>
  <c r="L17" i="31"/>
  <c r="J10" i="30"/>
  <c r="H12" i="30"/>
  <c r="F14" i="30"/>
  <c r="L16" i="30"/>
  <c r="J18" i="30"/>
  <c r="H20" i="30"/>
  <c r="H31" i="30"/>
  <c r="F33" i="30"/>
  <c r="L35" i="30"/>
  <c r="J37" i="30"/>
  <c r="H39" i="30"/>
  <c r="F41" i="30"/>
  <c r="L43" i="30"/>
  <c r="F98" i="30"/>
  <c r="J99" i="30"/>
  <c r="F100" i="30"/>
  <c r="L101" i="30"/>
  <c r="L104" i="30"/>
  <c r="J105" i="30"/>
  <c r="L107" i="30"/>
  <c r="J108" i="30"/>
  <c r="H9" i="31"/>
  <c r="L14" i="31"/>
  <c r="F209" i="30"/>
  <c r="F211" i="30"/>
  <c r="F212" i="30"/>
  <c r="J15" i="31"/>
  <c r="L20" i="31"/>
  <c r="H207" i="30"/>
  <c r="H209" i="30"/>
  <c r="H210" i="30"/>
  <c r="J18" i="31"/>
  <c r="F31" i="31"/>
  <c r="J54" i="31"/>
  <c r="F60" i="31"/>
  <c r="L100" i="30"/>
  <c r="J102" i="30"/>
  <c r="H104" i="30"/>
  <c r="F106" i="30"/>
  <c r="L108" i="30"/>
  <c r="L106" i="31"/>
  <c r="H101" i="30"/>
  <c r="F103" i="30"/>
  <c r="L105" i="30"/>
  <c r="J107" i="30"/>
  <c r="H109" i="30"/>
  <c r="F9" i="31"/>
  <c r="L13" i="31"/>
  <c r="J16" i="31"/>
  <c r="F58" i="31"/>
  <c r="L87" i="31"/>
  <c r="S9" i="38"/>
  <c r="R9" i="38"/>
  <c r="L102" i="30"/>
  <c r="J104" i="30"/>
  <c r="H106" i="30"/>
  <c r="F108" i="30"/>
  <c r="L16" i="31"/>
  <c r="J19" i="31"/>
  <c r="L21" i="31"/>
  <c r="L108" i="31"/>
  <c r="F10" i="31"/>
  <c r="F39" i="31"/>
  <c r="F41" i="31"/>
  <c r="L54" i="31"/>
  <c r="I136" i="38"/>
  <c r="H136" i="38"/>
  <c r="G136" i="38"/>
  <c r="J12" i="39"/>
  <c r="H12" i="39"/>
  <c r="I12" i="39"/>
  <c r="J9" i="31"/>
  <c r="L60" i="31"/>
  <c r="L62" i="31"/>
  <c r="P8" i="35"/>
  <c r="H10" i="31"/>
  <c r="F11" i="31"/>
  <c r="F12" i="31"/>
  <c r="F14" i="31"/>
  <c r="F15" i="31"/>
  <c r="F18" i="31"/>
  <c r="F77" i="31"/>
  <c r="L79" i="31"/>
  <c r="L9" i="31"/>
  <c r="J10" i="31"/>
  <c r="H12" i="31"/>
  <c r="H13" i="31"/>
  <c r="H16" i="31"/>
  <c r="F19" i="31"/>
  <c r="F20" i="31"/>
  <c r="L33" i="31"/>
  <c r="L35" i="31"/>
  <c r="J11" i="31"/>
  <c r="J14" i="31"/>
  <c r="H17" i="31"/>
  <c r="H18" i="31"/>
  <c r="H20" i="31"/>
  <c r="H21" i="31"/>
  <c r="L41" i="31"/>
  <c r="L43" i="31"/>
  <c r="L11" i="31"/>
  <c r="J13" i="31"/>
  <c r="H15" i="31"/>
  <c r="F17" i="31"/>
  <c r="L19" i="31"/>
  <c r="J21" i="31"/>
  <c r="M8" i="38"/>
  <c r="J64" i="31"/>
  <c r="J75" i="31"/>
  <c r="L81" i="31"/>
  <c r="AR14" i="35"/>
  <c r="O18" i="35"/>
  <c r="L10" i="31"/>
  <c r="J12" i="31"/>
  <c r="H14" i="31"/>
  <c r="F16" i="31"/>
  <c r="L18" i="31"/>
  <c r="J20" i="31"/>
  <c r="AR18" i="35"/>
  <c r="H11" i="31"/>
  <c r="F13" i="31"/>
  <c r="L15" i="31"/>
  <c r="J17" i="31"/>
  <c r="H19" i="31"/>
  <c r="F21" i="31"/>
  <c r="X18" i="35"/>
  <c r="L6" i="37"/>
  <c r="K6" i="37"/>
  <c r="N7" i="38"/>
  <c r="AR13" i="35"/>
  <c r="AR17" i="35"/>
  <c r="Q6" i="37"/>
  <c r="P6" i="37"/>
  <c r="R6" i="37"/>
  <c r="O6" i="37"/>
  <c r="H10" i="37"/>
  <c r="G10" i="37"/>
  <c r="I10" i="37"/>
  <c r="M7" i="37"/>
  <c r="K7" i="37"/>
  <c r="L7" i="37"/>
  <c r="H140" i="41"/>
  <c r="G140" i="41"/>
  <c r="AO8" i="35"/>
  <c r="AN8" i="35"/>
  <c r="AR8" i="35"/>
  <c r="AQ8" i="35"/>
  <c r="AP8" i="35"/>
  <c r="AR10" i="35"/>
  <c r="AQ10" i="35"/>
  <c r="AP10" i="35"/>
  <c r="AQ11" i="35"/>
  <c r="AP11" i="35"/>
  <c r="AR11" i="35"/>
  <c r="AQ12" i="35"/>
  <c r="AP12" i="35"/>
  <c r="AR12" i="35"/>
  <c r="AR15" i="35"/>
  <c r="I34" i="35"/>
  <c r="H34" i="35"/>
  <c r="L8" i="37"/>
  <c r="K8" i="37"/>
  <c r="M8" i="37"/>
  <c r="N11" i="38"/>
  <c r="M11" i="38"/>
  <c r="L11" i="38"/>
  <c r="AY18" i="35"/>
  <c r="AX18" i="35"/>
  <c r="I37" i="35"/>
  <c r="F11" i="37"/>
  <c r="I9" i="37"/>
  <c r="G9" i="37"/>
  <c r="H9" i="37"/>
  <c r="F6" i="38"/>
  <c r="X32" i="35"/>
  <c r="I134" i="38"/>
  <c r="H31" i="35"/>
  <c r="H33" i="35"/>
  <c r="I33" i="35"/>
  <c r="O124" i="37"/>
  <c r="N124" i="37"/>
  <c r="M124" i="37"/>
  <c r="L124" i="37"/>
  <c r="N6" i="38"/>
  <c r="AA19" i="39"/>
  <c r="T7" i="39"/>
  <c r="S7" i="39"/>
  <c r="Q7" i="39"/>
  <c r="R7" i="39"/>
  <c r="P7" i="39"/>
  <c r="O134" i="39"/>
  <c r="N134" i="39"/>
  <c r="K134" i="39"/>
  <c r="M6" i="40"/>
  <c r="L6" i="40"/>
  <c r="N6" i="40"/>
  <c r="I12" i="40"/>
  <c r="H12" i="40"/>
  <c r="J12" i="40"/>
  <c r="M9" i="41"/>
  <c r="N9" i="41"/>
  <c r="L9" i="41"/>
  <c r="I30" i="35"/>
  <c r="H30" i="35"/>
  <c r="AO40" i="35"/>
  <c r="T9" i="37"/>
  <c r="N11" i="37"/>
  <c r="R9" i="37"/>
  <c r="Q9" i="37"/>
  <c r="S9" i="37"/>
  <c r="P9" i="37"/>
  <c r="O9" i="37"/>
  <c r="O126" i="37"/>
  <c r="N126" i="37"/>
  <c r="M126" i="37"/>
  <c r="L126" i="37"/>
  <c r="G136" i="39"/>
  <c r="H136" i="39"/>
  <c r="N144" i="42"/>
  <c r="O144" i="42"/>
  <c r="D15" i="44"/>
  <c r="AO37" i="35"/>
  <c r="AN37" i="35"/>
  <c r="N10" i="38"/>
  <c r="H12" i="38"/>
  <c r="I12" i="38"/>
  <c r="O135" i="40"/>
  <c r="N135" i="40"/>
  <c r="M135" i="40"/>
  <c r="L135" i="40"/>
  <c r="G16" i="42"/>
  <c r="J6" i="42"/>
  <c r="I6" i="42"/>
  <c r="H6" i="42"/>
  <c r="J10" i="43"/>
  <c r="I10" i="43"/>
  <c r="H10" i="43"/>
  <c r="AN30" i="35"/>
  <c r="AN32" i="35"/>
  <c r="Y35" i="35"/>
  <c r="H39" i="35"/>
  <c r="S10" i="37"/>
  <c r="R10" i="37"/>
  <c r="P10" i="37"/>
  <c r="O10" i="37"/>
  <c r="Q10" i="37"/>
  <c r="T10" i="37"/>
  <c r="E129" i="37"/>
  <c r="J7" i="39"/>
  <c r="N6" i="41"/>
  <c r="M6" i="41"/>
  <c r="L6" i="41"/>
  <c r="T8" i="42"/>
  <c r="S8" i="42"/>
  <c r="R8" i="42"/>
  <c r="Q8" i="42"/>
  <c r="P8" i="42"/>
  <c r="H36" i="35"/>
  <c r="C11" i="37"/>
  <c r="H125" i="37"/>
  <c r="G125" i="37"/>
  <c r="I125" i="37"/>
  <c r="S12" i="38"/>
  <c r="R12" i="38"/>
  <c r="P12" i="38"/>
  <c r="Q12" i="38"/>
  <c r="O138" i="38"/>
  <c r="N138" i="38"/>
  <c r="M138" i="38"/>
  <c r="K138" i="38"/>
  <c r="L138" i="38"/>
  <c r="N9" i="39"/>
  <c r="Q10" i="40"/>
  <c r="P10" i="40"/>
  <c r="T10" i="40"/>
  <c r="AA20" i="40" s="1"/>
  <c r="R10" i="40"/>
  <c r="S10" i="40"/>
  <c r="I127" i="37"/>
  <c r="H127" i="37"/>
  <c r="G127" i="37"/>
  <c r="O135" i="38"/>
  <c r="N135" i="38"/>
  <c r="M135" i="38"/>
  <c r="L135" i="38"/>
  <c r="K135" i="38"/>
  <c r="N6" i="39"/>
  <c r="M6" i="39"/>
  <c r="L6" i="39"/>
  <c r="M8" i="39"/>
  <c r="J8" i="39"/>
  <c r="I8" i="39"/>
  <c r="H8" i="39"/>
  <c r="T8" i="39"/>
  <c r="S8" i="39"/>
  <c r="R8" i="39"/>
  <c r="Q8" i="39"/>
  <c r="P8" i="39"/>
  <c r="N10" i="39"/>
  <c r="M10" i="39"/>
  <c r="L10" i="39"/>
  <c r="O135" i="39"/>
  <c r="L135" i="39"/>
  <c r="N135" i="39"/>
  <c r="M135" i="39"/>
  <c r="K135" i="39"/>
  <c r="H137" i="39"/>
  <c r="G137" i="39"/>
  <c r="T8" i="40"/>
  <c r="Q8" i="40"/>
  <c r="S8" i="40"/>
  <c r="R8" i="40"/>
  <c r="P8" i="40"/>
  <c r="H134" i="40"/>
  <c r="I134" i="40"/>
  <c r="G134" i="40"/>
  <c r="C16" i="42"/>
  <c r="F10" i="42"/>
  <c r="D16" i="43"/>
  <c r="D18" i="44"/>
  <c r="N137" i="38"/>
  <c r="M137" i="38"/>
  <c r="L137" i="38"/>
  <c r="K137" i="38"/>
  <c r="O137" i="38"/>
  <c r="N7" i="39"/>
  <c r="M7" i="39"/>
  <c r="L7" i="39"/>
  <c r="N11" i="39"/>
  <c r="M11" i="39"/>
  <c r="L11" i="39"/>
  <c r="H138" i="39"/>
  <c r="G138" i="39"/>
  <c r="N9" i="40"/>
  <c r="Q6" i="40"/>
  <c r="P6" i="40"/>
  <c r="T6" i="40"/>
  <c r="S6" i="40"/>
  <c r="R6" i="40"/>
  <c r="J10" i="40"/>
  <c r="N12" i="41"/>
  <c r="R13" i="41"/>
  <c r="T13" i="41"/>
  <c r="S13" i="41"/>
  <c r="I10" i="42"/>
  <c r="J10" i="42"/>
  <c r="H10" i="42"/>
  <c r="H141" i="42"/>
  <c r="G141" i="42"/>
  <c r="J6" i="43"/>
  <c r="I6" i="43"/>
  <c r="H6" i="43"/>
  <c r="G16" i="43"/>
  <c r="I12" i="43"/>
  <c r="J12" i="43"/>
  <c r="H12" i="43"/>
  <c r="G143" i="43"/>
  <c r="I143" i="43"/>
  <c r="H143" i="43"/>
  <c r="I7" i="37"/>
  <c r="H7" i="37"/>
  <c r="G7" i="37"/>
  <c r="Q7" i="37"/>
  <c r="P7" i="37"/>
  <c r="T7" i="37"/>
  <c r="S7" i="37"/>
  <c r="R7" i="37"/>
  <c r="O7" i="37"/>
  <c r="M9" i="37"/>
  <c r="L9" i="37"/>
  <c r="J11" i="37"/>
  <c r="K9" i="37"/>
  <c r="H124" i="37"/>
  <c r="G124" i="37"/>
  <c r="I126" i="37"/>
  <c r="H126" i="37"/>
  <c r="G126" i="37"/>
  <c r="N8" i="38"/>
  <c r="L8" i="38"/>
  <c r="F11" i="38"/>
  <c r="N12" i="38"/>
  <c r="M12" i="38"/>
  <c r="L12" i="38"/>
  <c r="M134" i="38"/>
  <c r="L134" i="38"/>
  <c r="K134" i="38"/>
  <c r="O134" i="38"/>
  <c r="N134" i="38"/>
  <c r="I138" i="38"/>
  <c r="H138" i="38"/>
  <c r="G138" i="38"/>
  <c r="M12" i="39"/>
  <c r="N12" i="39"/>
  <c r="L12" i="39"/>
  <c r="M8" i="40"/>
  <c r="J8" i="40"/>
  <c r="T12" i="40"/>
  <c r="S12" i="40"/>
  <c r="Q12" i="40"/>
  <c r="R12" i="40"/>
  <c r="P12" i="40"/>
  <c r="I137" i="40"/>
  <c r="H137" i="40"/>
  <c r="G137" i="40"/>
  <c r="N8" i="41"/>
  <c r="N15" i="41"/>
  <c r="F7" i="42"/>
  <c r="F8" i="43"/>
  <c r="O137" i="43"/>
  <c r="N137" i="43"/>
  <c r="J129" i="37"/>
  <c r="L127" i="37"/>
  <c r="M127" i="37"/>
  <c r="H135" i="38"/>
  <c r="G135" i="38"/>
  <c r="I135" i="38"/>
  <c r="J6" i="39"/>
  <c r="Q6" i="39"/>
  <c r="P6" i="39"/>
  <c r="S6" i="39"/>
  <c r="T6" i="39"/>
  <c r="R6" i="39"/>
  <c r="L8" i="39"/>
  <c r="N8" i="39"/>
  <c r="J10" i="39"/>
  <c r="Q10" i="39"/>
  <c r="P10" i="39"/>
  <c r="S10" i="39"/>
  <c r="T10" i="39"/>
  <c r="AA20" i="39" s="1"/>
  <c r="R10" i="39"/>
  <c r="M10" i="40"/>
  <c r="N10" i="40"/>
  <c r="L10" i="40"/>
  <c r="O138" i="40"/>
  <c r="N138" i="40"/>
  <c r="L138" i="40"/>
  <c r="M138" i="40"/>
  <c r="N11" i="41"/>
  <c r="M11" i="41"/>
  <c r="L11" i="41"/>
  <c r="H141" i="41"/>
  <c r="G141" i="41"/>
  <c r="O144" i="41"/>
  <c r="N144" i="41"/>
  <c r="J7" i="42"/>
  <c r="I7" i="42"/>
  <c r="H7" i="42"/>
  <c r="J14" i="43"/>
  <c r="I14" i="43"/>
  <c r="H14" i="43"/>
  <c r="D19" i="45"/>
  <c r="G6" i="37"/>
  <c r="H6" i="37"/>
  <c r="G8" i="37"/>
  <c r="I8" i="37"/>
  <c r="H8" i="37"/>
  <c r="O8" i="37"/>
  <c r="T8" i="37"/>
  <c r="S8" i="37"/>
  <c r="R8" i="37"/>
  <c r="Q8" i="37"/>
  <c r="P8" i="37"/>
  <c r="D11" i="37"/>
  <c r="K10" i="37"/>
  <c r="M10" i="37"/>
  <c r="L10" i="37"/>
  <c r="H11" i="38"/>
  <c r="I11" i="38"/>
  <c r="P11" i="38"/>
  <c r="R11" i="38"/>
  <c r="S11" i="38"/>
  <c r="Q11" i="38"/>
  <c r="F12" i="38"/>
  <c r="K136" i="38"/>
  <c r="O136" i="38"/>
  <c r="M136" i="38"/>
  <c r="L136" i="38"/>
  <c r="N136" i="38"/>
  <c r="G135" i="39"/>
  <c r="H135" i="39"/>
  <c r="M138" i="39"/>
  <c r="K138" i="39"/>
  <c r="N138" i="39"/>
  <c r="O138" i="39"/>
  <c r="L138" i="39"/>
  <c r="J6" i="40"/>
  <c r="N7" i="41"/>
  <c r="J14" i="41"/>
  <c r="C146" i="42"/>
  <c r="I8" i="43"/>
  <c r="J8" i="43"/>
  <c r="H8" i="43"/>
  <c r="E11" i="37"/>
  <c r="H137" i="38"/>
  <c r="I137" i="38"/>
  <c r="G137" i="38"/>
  <c r="I11" i="39"/>
  <c r="J11" i="39"/>
  <c r="H11" i="39"/>
  <c r="T11" i="39"/>
  <c r="S11" i="39"/>
  <c r="Q11" i="39"/>
  <c r="R11" i="39"/>
  <c r="P11" i="39"/>
  <c r="T12" i="39"/>
  <c r="S12" i="39"/>
  <c r="Q12" i="39"/>
  <c r="R12" i="39"/>
  <c r="P12" i="39"/>
  <c r="L8" i="40"/>
  <c r="N8" i="40"/>
  <c r="M137" i="40"/>
  <c r="L137" i="40"/>
  <c r="O137" i="40"/>
  <c r="N137" i="40"/>
  <c r="T14" i="41"/>
  <c r="M137" i="39"/>
  <c r="N137" i="39"/>
  <c r="L137" i="39"/>
  <c r="K137" i="39"/>
  <c r="O137" i="39"/>
  <c r="N11" i="40"/>
  <c r="L11" i="40"/>
  <c r="M11" i="40"/>
  <c r="I136" i="40"/>
  <c r="H136" i="40"/>
  <c r="G136" i="40"/>
  <c r="I141" i="43"/>
  <c r="H141" i="43"/>
  <c r="G141" i="43"/>
  <c r="R9" i="41"/>
  <c r="Q9" i="41"/>
  <c r="P9" i="41"/>
  <c r="T9" i="41"/>
  <c r="S9" i="41"/>
  <c r="T10" i="41"/>
  <c r="Q11" i="41"/>
  <c r="S11" i="41"/>
  <c r="R11" i="41"/>
  <c r="P11" i="41"/>
  <c r="T11" i="41"/>
  <c r="J13" i="41"/>
  <c r="N139" i="41"/>
  <c r="O139" i="41"/>
  <c r="L141" i="41"/>
  <c r="N141" i="41"/>
  <c r="O141" i="41"/>
  <c r="M141" i="41"/>
  <c r="J9" i="42"/>
  <c r="I9" i="42"/>
  <c r="H9" i="42"/>
  <c r="F7" i="43"/>
  <c r="F9" i="43"/>
  <c r="J15" i="43"/>
  <c r="I15" i="43"/>
  <c r="H15" i="43"/>
  <c r="D9" i="45"/>
  <c r="M12" i="40"/>
  <c r="L12" i="40"/>
  <c r="N12" i="40"/>
  <c r="H138" i="40"/>
  <c r="G138" i="40"/>
  <c r="I138" i="40"/>
  <c r="J6" i="41"/>
  <c r="S6" i="41"/>
  <c r="Q6" i="41"/>
  <c r="P6" i="41"/>
  <c r="T6" i="41"/>
  <c r="R6" i="41"/>
  <c r="Q7" i="41"/>
  <c r="R7" i="41"/>
  <c r="P7" i="41"/>
  <c r="T7" i="41"/>
  <c r="S7" i="41"/>
  <c r="J9" i="41"/>
  <c r="J10" i="41"/>
  <c r="J11" i="41"/>
  <c r="Q15" i="41"/>
  <c r="R15" i="41"/>
  <c r="P15" i="41"/>
  <c r="T15" i="41"/>
  <c r="S15" i="41"/>
  <c r="L140" i="41"/>
  <c r="M140" i="41"/>
  <c r="N6" i="42"/>
  <c r="M6" i="42"/>
  <c r="L6" i="42"/>
  <c r="K16" i="42"/>
  <c r="T12" i="42"/>
  <c r="S12" i="42"/>
  <c r="R12" i="42"/>
  <c r="Q12" i="42"/>
  <c r="P12" i="42"/>
  <c r="I14" i="42"/>
  <c r="J14" i="42"/>
  <c r="H14" i="42"/>
  <c r="H140" i="42"/>
  <c r="G140" i="42"/>
  <c r="J11" i="43"/>
  <c r="I11" i="43"/>
  <c r="H11" i="43"/>
  <c r="D9" i="44"/>
  <c r="D10" i="45"/>
  <c r="D13" i="46"/>
  <c r="O136" i="39"/>
  <c r="N136" i="39"/>
  <c r="M136" i="39"/>
  <c r="L136" i="39"/>
  <c r="K136" i="39"/>
  <c r="G135" i="40"/>
  <c r="I135" i="40"/>
  <c r="H135" i="40"/>
  <c r="F11" i="42"/>
  <c r="J7" i="43"/>
  <c r="I7" i="43"/>
  <c r="H7" i="43"/>
  <c r="I136" i="43"/>
  <c r="H136" i="43"/>
  <c r="K136" i="43" s="1"/>
  <c r="G136" i="43"/>
  <c r="J7" i="40"/>
  <c r="H7" i="40"/>
  <c r="I7" i="40"/>
  <c r="T7" i="40"/>
  <c r="AA19" i="40" s="1"/>
  <c r="I11" i="40"/>
  <c r="H11" i="40"/>
  <c r="J11" i="40"/>
  <c r="S11" i="40"/>
  <c r="T11" i="40"/>
  <c r="R11" i="40"/>
  <c r="Q11" i="40"/>
  <c r="P11" i="40"/>
  <c r="N136" i="40"/>
  <c r="O136" i="40"/>
  <c r="L136" i="40"/>
  <c r="M136" i="40"/>
  <c r="H13" i="42"/>
  <c r="J13" i="42"/>
  <c r="I13" i="42"/>
  <c r="D13" i="45"/>
  <c r="D14" i="46"/>
  <c r="E146" i="41"/>
  <c r="S13" i="42"/>
  <c r="R13" i="42"/>
  <c r="Q13" i="42"/>
  <c r="P13" i="42"/>
  <c r="T13" i="42"/>
  <c r="H143" i="42"/>
  <c r="G143" i="42"/>
  <c r="G142" i="43"/>
  <c r="I142" i="43"/>
  <c r="H142" i="43"/>
  <c r="N140" i="43"/>
  <c r="O140" i="43"/>
  <c r="D10" i="44"/>
  <c r="D19" i="44"/>
  <c r="D14" i="45"/>
  <c r="D8" i="46"/>
  <c r="D17" i="46"/>
  <c r="S9" i="42"/>
  <c r="T9" i="42"/>
  <c r="Q9" i="42"/>
  <c r="P9" i="42"/>
  <c r="R9" i="42"/>
  <c r="N14" i="42"/>
  <c r="M14" i="42"/>
  <c r="L14" i="42"/>
  <c r="N15" i="42"/>
  <c r="M15" i="42"/>
  <c r="L15" i="42"/>
  <c r="G137" i="42"/>
  <c r="H137" i="42"/>
  <c r="T10" i="43"/>
  <c r="S10" i="43"/>
  <c r="Q10" i="43"/>
  <c r="P10" i="43"/>
  <c r="R10" i="43"/>
  <c r="S11" i="43"/>
  <c r="T11" i="43"/>
  <c r="Q11" i="43"/>
  <c r="P11" i="43"/>
  <c r="R11" i="43"/>
  <c r="Q12" i="43"/>
  <c r="T12" i="43"/>
  <c r="R12" i="43"/>
  <c r="P12" i="43"/>
  <c r="S12" i="43"/>
  <c r="O139" i="43"/>
  <c r="N139" i="43"/>
  <c r="I145" i="43"/>
  <c r="D20" i="44"/>
  <c r="O16" i="42"/>
  <c r="T6" i="42"/>
  <c r="P6" i="42"/>
  <c r="R6" i="42"/>
  <c r="Q6" i="42"/>
  <c r="S6" i="42"/>
  <c r="H12" i="42"/>
  <c r="J12" i="42"/>
  <c r="I12" i="42"/>
  <c r="O16" i="43"/>
  <c r="T6" i="43"/>
  <c r="S6" i="43"/>
  <c r="R6" i="43"/>
  <c r="P6" i="43"/>
  <c r="Q6" i="43"/>
  <c r="S7" i="43"/>
  <c r="T7" i="43"/>
  <c r="R7" i="43"/>
  <c r="P7" i="43"/>
  <c r="Q7" i="43"/>
  <c r="Q8" i="43"/>
  <c r="T8" i="43"/>
  <c r="S8" i="43"/>
  <c r="P8" i="43"/>
  <c r="R8" i="43"/>
  <c r="H138" i="43"/>
  <c r="G138" i="43"/>
  <c r="I138" i="43"/>
  <c r="D15" i="45"/>
  <c r="D9" i="46"/>
  <c r="D18" i="46"/>
  <c r="J8" i="42"/>
  <c r="H8" i="42"/>
  <c r="I8" i="42"/>
  <c r="F9" i="42"/>
  <c r="Q10" i="42"/>
  <c r="T10" i="42"/>
  <c r="S10" i="42"/>
  <c r="R10" i="42"/>
  <c r="P10" i="42"/>
  <c r="G138" i="42"/>
  <c r="H138" i="42"/>
  <c r="H145" i="42"/>
  <c r="G145" i="42"/>
  <c r="D14" i="44"/>
  <c r="D18" i="45"/>
  <c r="D16" i="42"/>
  <c r="M10" i="42"/>
  <c r="L10" i="42"/>
  <c r="N10" i="42"/>
  <c r="M11" i="42"/>
  <c r="L11" i="42"/>
  <c r="N11" i="42"/>
  <c r="M12" i="42"/>
  <c r="N12" i="42"/>
  <c r="L12" i="42"/>
  <c r="N12" i="43"/>
  <c r="M12" i="43"/>
  <c r="L12" i="43"/>
  <c r="N13" i="43"/>
  <c r="M13" i="43"/>
  <c r="L13" i="43"/>
  <c r="M14" i="43"/>
  <c r="N14" i="43"/>
  <c r="L14" i="43"/>
  <c r="D11" i="44"/>
  <c r="D16" i="44"/>
  <c r="D11" i="45"/>
  <c r="D20" i="45"/>
  <c r="D10" i="46"/>
  <c r="D19" i="46"/>
  <c r="E16" i="42"/>
  <c r="F16" i="42" s="1"/>
  <c r="F6" i="42"/>
  <c r="L7" i="42"/>
  <c r="N7" i="42"/>
  <c r="M7" i="42"/>
  <c r="M8" i="42"/>
  <c r="L8" i="42"/>
  <c r="N8" i="42"/>
  <c r="M8" i="43"/>
  <c r="L8" i="43"/>
  <c r="N8" i="43"/>
  <c r="M9" i="43"/>
  <c r="L9" i="43"/>
  <c r="N9" i="43"/>
  <c r="M10" i="43"/>
  <c r="N10" i="43"/>
  <c r="L10" i="43"/>
  <c r="D12" i="44"/>
  <c r="D16" i="45"/>
  <c r="D15" i="46"/>
  <c r="D20" i="46"/>
  <c r="F13" i="42"/>
  <c r="F14" i="42"/>
  <c r="F15" i="42"/>
  <c r="M6" i="43"/>
  <c r="L6" i="43"/>
  <c r="N6" i="43"/>
  <c r="K16" i="43"/>
  <c r="F15" i="43"/>
  <c r="D8" i="44"/>
  <c r="D17" i="44"/>
  <c r="D12" i="45"/>
  <c r="D11" i="46"/>
  <c r="D16" i="46"/>
  <c r="Q14" i="42"/>
  <c r="R14" i="42"/>
  <c r="P14" i="42"/>
  <c r="S14" i="42"/>
  <c r="T14" i="42"/>
  <c r="C16" i="43"/>
  <c r="F11" i="43"/>
  <c r="F12" i="43"/>
  <c r="F13" i="43"/>
  <c r="T14" i="43"/>
  <c r="R14" i="43"/>
  <c r="Q14" i="43"/>
  <c r="P14" i="43"/>
  <c r="S14" i="43"/>
  <c r="S15" i="43"/>
  <c r="R15" i="43"/>
  <c r="Q15" i="43"/>
  <c r="P15" i="43"/>
  <c r="T15" i="43"/>
  <c r="D13" i="44"/>
  <c r="D8" i="45"/>
  <c r="D17" i="45"/>
  <c r="D12" i="46"/>
  <c r="T7" i="42"/>
  <c r="S7" i="42"/>
  <c r="R7" i="42"/>
  <c r="Q7" i="42"/>
  <c r="P7" i="42"/>
  <c r="F8" i="42"/>
  <c r="M9" i="42"/>
  <c r="L9" i="42"/>
  <c r="N9" i="42"/>
  <c r="J11" i="42"/>
  <c r="I11" i="42"/>
  <c r="H11" i="42"/>
  <c r="T11" i="42"/>
  <c r="S11" i="42"/>
  <c r="R11" i="42"/>
  <c r="Q11" i="42"/>
  <c r="P11" i="42"/>
  <c r="F12" i="42"/>
  <c r="N13" i="42"/>
  <c r="M13" i="42"/>
  <c r="L13" i="42"/>
  <c r="J15" i="42"/>
  <c r="I15" i="42"/>
  <c r="H15" i="42"/>
  <c r="P15" i="42"/>
  <c r="R15" i="42"/>
  <c r="Q15" i="42"/>
  <c r="T15" i="42"/>
  <c r="S15" i="42"/>
  <c r="E16" i="43"/>
  <c r="F16" i="43" s="1"/>
  <c r="F6" i="43"/>
  <c r="M7" i="43"/>
  <c r="L7" i="43"/>
  <c r="N7" i="43"/>
  <c r="J9" i="43"/>
  <c r="I9" i="43"/>
  <c r="H9" i="43"/>
  <c r="T9" i="43"/>
  <c r="S9" i="43"/>
  <c r="Q9" i="43"/>
  <c r="P9" i="43"/>
  <c r="R9" i="43"/>
  <c r="F10" i="43"/>
  <c r="N11" i="43"/>
  <c r="M11" i="43"/>
  <c r="L11" i="43"/>
  <c r="J13" i="43"/>
  <c r="I13" i="43"/>
  <c r="H13" i="43"/>
  <c r="T13" i="43"/>
  <c r="R13" i="43"/>
  <c r="Q13" i="43"/>
  <c r="P13" i="43"/>
  <c r="S13" i="43"/>
  <c r="F14" i="43"/>
  <c r="N15" i="43"/>
  <c r="M15" i="43"/>
  <c r="L15" i="43"/>
  <c r="L5" i="12"/>
  <c r="U5" i="12"/>
  <c r="N31" i="2"/>
  <c r="L56" i="2"/>
  <c r="V6" i="5"/>
  <c r="I6" i="6"/>
  <c r="H96" i="10"/>
  <c r="I6" i="13"/>
  <c r="K6" i="13"/>
  <c r="F96" i="10"/>
  <c r="M56" i="2"/>
  <c r="J6" i="3"/>
  <c r="J79" i="3"/>
  <c r="J152" i="3"/>
  <c r="W6" i="5"/>
  <c r="J6" i="6"/>
  <c r="L6" i="5"/>
  <c r="K79" i="3"/>
  <c r="K152" i="3"/>
  <c r="K6" i="6"/>
  <c r="P8" i="9"/>
  <c r="K7" i="17"/>
  <c r="X5" i="12"/>
  <c r="W5" i="12"/>
  <c r="V5" i="12"/>
  <c r="I6" i="5"/>
  <c r="L6" i="6"/>
  <c r="S8" i="9"/>
  <c r="M31" i="2"/>
  <c r="J31" i="2"/>
  <c r="M79" i="3"/>
  <c r="M152" i="3"/>
  <c r="J6" i="5"/>
  <c r="M6" i="6"/>
  <c r="F52" i="8"/>
  <c r="F74" i="10"/>
  <c r="L74" i="8"/>
  <c r="M6" i="2"/>
  <c r="K6" i="5"/>
  <c r="S6" i="5"/>
  <c r="V6" i="6"/>
  <c r="H52" i="8"/>
  <c r="J96" i="10"/>
  <c r="K5" i="12"/>
  <c r="X6" i="13"/>
  <c r="W6" i="13"/>
  <c r="AA6" i="13"/>
  <c r="T7" i="19"/>
  <c r="Z7" i="19"/>
  <c r="Y6" i="13"/>
  <c r="J8" i="10"/>
  <c r="L30" i="10"/>
  <c r="Z6" i="13"/>
  <c r="L8" i="10"/>
  <c r="J5" i="12"/>
  <c r="W7" i="15"/>
  <c r="AA7" i="15"/>
  <c r="Z7" i="15"/>
  <c r="K6" i="18"/>
  <c r="J6" i="18"/>
  <c r="I6" i="18"/>
  <c r="X7" i="15"/>
  <c r="AA7" i="17"/>
  <c r="Y7" i="17"/>
  <c r="X7" i="17"/>
  <c r="M7" i="19"/>
  <c r="L6" i="13"/>
  <c r="AA6" i="18"/>
  <c r="Z6" i="18"/>
  <c r="AB6" i="18"/>
  <c r="M6" i="13"/>
  <c r="M7" i="16"/>
  <c r="K7" i="16"/>
  <c r="J7" i="16"/>
  <c r="S6" i="18"/>
  <c r="R6" i="18"/>
  <c r="X7" i="16"/>
  <c r="I7" i="17"/>
  <c r="J7" i="17"/>
  <c r="D7" i="19"/>
  <c r="J8" i="21"/>
  <c r="I8" i="21"/>
  <c r="H8" i="21"/>
  <c r="H7" i="19"/>
  <c r="P7" i="19"/>
  <c r="X7" i="19"/>
  <c r="Y7" i="22"/>
  <c r="AA7" i="22"/>
  <c r="T8" i="21"/>
  <c r="S8" i="21"/>
  <c r="H8" i="25"/>
  <c r="J8" i="25"/>
  <c r="D254" i="24"/>
  <c r="L7" i="22"/>
  <c r="K7" i="22"/>
  <c r="J7" i="22"/>
  <c r="F8" i="24"/>
  <c r="H8" i="24"/>
  <c r="J8" i="24"/>
  <c r="N7" i="22"/>
  <c r="F118" i="24"/>
  <c r="F162" i="24"/>
  <c r="F206" i="24"/>
  <c r="F254" i="24"/>
  <c r="D52" i="24"/>
  <c r="F74" i="24"/>
  <c r="F96" i="24"/>
  <c r="F140" i="24"/>
  <c r="F184" i="24"/>
  <c r="F228" i="24"/>
  <c r="L6" i="26"/>
  <c r="D30" i="25"/>
  <c r="J6" i="27"/>
  <c r="J30" i="30"/>
  <c r="J6" i="28"/>
  <c r="H8" i="30"/>
  <c r="I6" i="27"/>
  <c r="L8" i="30"/>
  <c r="L118" i="30"/>
  <c r="J118" i="30"/>
  <c r="J52" i="30"/>
  <c r="F52" i="30"/>
  <c r="L52" i="30"/>
  <c r="H30" i="31"/>
  <c r="J30" i="31"/>
  <c r="L74" i="31"/>
  <c r="L228" i="30"/>
  <c r="J228" i="30"/>
  <c r="L250" i="30"/>
  <c r="J250" i="30"/>
  <c r="D8" i="31"/>
  <c r="J206" i="30"/>
  <c r="J272" i="30"/>
  <c r="L8" i="31"/>
  <c r="F74" i="31"/>
  <c r="J52" i="31"/>
  <c r="I7" i="35"/>
  <c r="H7" i="35"/>
  <c r="G133" i="39"/>
  <c r="BA7" i="35"/>
  <c r="P7" i="35"/>
  <c r="AO7" i="35"/>
  <c r="AN7" i="35"/>
  <c r="Q5" i="37"/>
  <c r="P5" i="37"/>
  <c r="T5" i="37"/>
  <c r="S5" i="37"/>
  <c r="O5" i="37"/>
  <c r="T5" i="38"/>
  <c r="S5" i="38"/>
  <c r="R5" i="38"/>
  <c r="Q5" i="38"/>
  <c r="P5" i="38"/>
  <c r="AP7" i="35"/>
  <c r="R5" i="37"/>
  <c r="I5" i="37"/>
  <c r="H5" i="37"/>
  <c r="F5" i="38"/>
  <c r="H133" i="38"/>
  <c r="G133" i="38"/>
  <c r="J5" i="38"/>
  <c r="I5" i="38"/>
  <c r="H5" i="38"/>
  <c r="I5" i="41"/>
  <c r="H5" i="41"/>
  <c r="F5" i="41"/>
  <c r="K5" i="37"/>
  <c r="O123" i="37"/>
  <c r="M5" i="38"/>
  <c r="AO29" i="35"/>
  <c r="AN29" i="35"/>
  <c r="L5" i="37"/>
  <c r="N133" i="38"/>
  <c r="H133" i="39"/>
  <c r="I133" i="40"/>
  <c r="H133" i="40"/>
  <c r="G133" i="40"/>
  <c r="O133" i="38"/>
  <c r="H5" i="39"/>
  <c r="S5" i="40"/>
  <c r="O133" i="40"/>
  <c r="M133" i="40"/>
  <c r="I5" i="39"/>
  <c r="K133" i="40"/>
  <c r="K135" i="42"/>
  <c r="O135" i="42"/>
  <c r="N135" i="42"/>
  <c r="M135" i="42"/>
  <c r="L135" i="42"/>
  <c r="M123" i="37"/>
  <c r="J5" i="39"/>
  <c r="R5" i="39"/>
  <c r="L133" i="39"/>
  <c r="L133" i="40"/>
  <c r="I135" i="41"/>
  <c r="H135" i="41"/>
  <c r="G135" i="41"/>
  <c r="X29" i="35"/>
  <c r="N123" i="37"/>
  <c r="S5" i="39"/>
  <c r="M133" i="39"/>
  <c r="F5" i="40"/>
  <c r="R5" i="40"/>
  <c r="N133" i="40"/>
  <c r="H5" i="42"/>
  <c r="J5" i="42"/>
  <c r="I5" i="42"/>
  <c r="L5" i="42"/>
  <c r="J5" i="41"/>
  <c r="R5" i="41"/>
  <c r="M5" i="42"/>
  <c r="S5" i="41"/>
  <c r="P5" i="42"/>
  <c r="T5" i="42"/>
  <c r="S5" i="42"/>
  <c r="Q5" i="42"/>
  <c r="M135" i="41"/>
  <c r="O135" i="43"/>
  <c r="N135" i="43"/>
  <c r="M135" i="43"/>
  <c r="L135" i="43"/>
  <c r="R5" i="43"/>
  <c r="G135" i="43"/>
  <c r="G139" i="42" l="1"/>
  <c r="I139" i="42"/>
  <c r="H139" i="42"/>
  <c r="L138" i="42"/>
  <c r="M138" i="42"/>
  <c r="N138" i="42"/>
  <c r="O138" i="42"/>
  <c r="L42" i="31"/>
  <c r="J31" i="31"/>
  <c r="L31" i="31"/>
  <c r="F38" i="31"/>
  <c r="F43" i="31"/>
  <c r="J210" i="30"/>
  <c r="L145" i="30"/>
  <c r="J189" i="30"/>
  <c r="F87" i="30"/>
  <c r="H276" i="30"/>
  <c r="L33" i="28"/>
  <c r="K33" i="28"/>
  <c r="M33" i="28"/>
  <c r="J33" i="28"/>
  <c r="I33" i="28"/>
  <c r="L47" i="28"/>
  <c r="J47" i="28"/>
  <c r="F62" i="25"/>
  <c r="L101" i="25"/>
  <c r="J195" i="24"/>
  <c r="H160" i="19"/>
  <c r="J160" i="19"/>
  <c r="M60" i="17"/>
  <c r="L60" i="17"/>
  <c r="I60" i="17"/>
  <c r="K60" i="17"/>
  <c r="J60" i="17"/>
  <c r="P74" i="19"/>
  <c r="E76" i="13"/>
  <c r="J68" i="13"/>
  <c r="L68" i="13"/>
  <c r="O142" i="41"/>
  <c r="M142" i="41"/>
  <c r="L142" i="41"/>
  <c r="N142" i="41"/>
  <c r="J146" i="41"/>
  <c r="Y33" i="35"/>
  <c r="O9" i="35"/>
  <c r="P9" i="35"/>
  <c r="AN18" i="35"/>
  <c r="AO18" i="35"/>
  <c r="F64" i="31"/>
  <c r="J32" i="31"/>
  <c r="L32" i="31"/>
  <c r="H103" i="31"/>
  <c r="F55" i="30"/>
  <c r="H55" i="30"/>
  <c r="F239" i="30"/>
  <c r="F196" i="30"/>
  <c r="F150" i="30"/>
  <c r="H278" i="30"/>
  <c r="L33" i="25"/>
  <c r="F214" i="24"/>
  <c r="X58" i="19"/>
  <c r="J155" i="19"/>
  <c r="H155" i="19"/>
  <c r="E107" i="19"/>
  <c r="D93" i="17"/>
  <c r="I23" i="12"/>
  <c r="N23" i="12"/>
  <c r="M23" i="12"/>
  <c r="L23" i="12"/>
  <c r="K23" i="12"/>
  <c r="J23" i="12"/>
  <c r="F20" i="8"/>
  <c r="H20" i="8"/>
  <c r="J170" i="8"/>
  <c r="G188" i="3"/>
  <c r="H140" i="43"/>
  <c r="K140" i="43" s="1"/>
  <c r="G140" i="43"/>
  <c r="I140" i="43"/>
  <c r="M140" i="43"/>
  <c r="L140" i="43"/>
  <c r="H145" i="43"/>
  <c r="K145" i="43" s="1"/>
  <c r="G145" i="43"/>
  <c r="I139" i="43"/>
  <c r="H139" i="43"/>
  <c r="K139" i="43" s="1"/>
  <c r="G139" i="43"/>
  <c r="M139" i="43"/>
  <c r="L139" i="43"/>
  <c r="O143" i="43"/>
  <c r="L143" i="43"/>
  <c r="N143" i="43"/>
  <c r="M143" i="43"/>
  <c r="O143" i="41"/>
  <c r="N143" i="41"/>
  <c r="M143" i="41"/>
  <c r="L143" i="41"/>
  <c r="R10" i="41"/>
  <c r="C16" i="41"/>
  <c r="S10" i="41"/>
  <c r="S9" i="40"/>
  <c r="R9" i="40"/>
  <c r="T9" i="40"/>
  <c r="Q9" i="40"/>
  <c r="P9" i="40"/>
  <c r="H136" i="41"/>
  <c r="K136" i="41" s="1"/>
  <c r="I136" i="41"/>
  <c r="G136" i="41"/>
  <c r="F146" i="41"/>
  <c r="I141" i="41"/>
  <c r="I140" i="41"/>
  <c r="L136" i="41"/>
  <c r="M136" i="41"/>
  <c r="D16" i="41"/>
  <c r="O142" i="42"/>
  <c r="N142" i="42"/>
  <c r="M142" i="42"/>
  <c r="L142" i="42"/>
  <c r="N136" i="42"/>
  <c r="M136" i="42"/>
  <c r="J146" i="42"/>
  <c r="L136" i="42"/>
  <c r="O136" i="42"/>
  <c r="F7" i="39"/>
  <c r="I7" i="39"/>
  <c r="H7" i="39"/>
  <c r="N125" i="37"/>
  <c r="M125" i="37"/>
  <c r="K125" i="37"/>
  <c r="L125" i="37"/>
  <c r="O125" i="37"/>
  <c r="K128" i="37"/>
  <c r="K127" i="37"/>
  <c r="K126" i="37"/>
  <c r="F9" i="39"/>
  <c r="AO31" i="35"/>
  <c r="AN31" i="35"/>
  <c r="I39" i="35"/>
  <c r="BB15" i="35"/>
  <c r="BA15" i="35"/>
  <c r="AY15" i="35"/>
  <c r="AZ15" i="35"/>
  <c r="AX15" i="35"/>
  <c r="O13" i="35"/>
  <c r="Y10" i="35"/>
  <c r="X10" i="35"/>
  <c r="Y30" i="35"/>
  <c r="AE16" i="35"/>
  <c r="AF16" i="35"/>
  <c r="AE8" i="35"/>
  <c r="AF8" i="35"/>
  <c r="F10" i="41"/>
  <c r="H10" i="41"/>
  <c r="I10" i="41"/>
  <c r="F9" i="41"/>
  <c r="H9" i="41"/>
  <c r="I9" i="41"/>
  <c r="X36" i="35"/>
  <c r="T8" i="38"/>
  <c r="S8" i="38"/>
  <c r="R8" i="38"/>
  <c r="P8" i="38"/>
  <c r="Q8" i="38"/>
  <c r="AO9" i="35"/>
  <c r="AN9" i="35"/>
  <c r="AP9" i="35"/>
  <c r="AR9" i="35"/>
  <c r="AQ9" i="35"/>
  <c r="P18" i="35"/>
  <c r="AN11" i="35"/>
  <c r="AO11" i="35"/>
  <c r="J63" i="31"/>
  <c r="L63" i="31"/>
  <c r="J36" i="31"/>
  <c r="L36" i="31"/>
  <c r="J85" i="31"/>
  <c r="L85" i="31"/>
  <c r="J58" i="31"/>
  <c r="L58" i="31"/>
  <c r="J107" i="31"/>
  <c r="I9" i="35"/>
  <c r="H9" i="35"/>
  <c r="I14" i="35"/>
  <c r="H14" i="35"/>
  <c r="L100" i="31"/>
  <c r="J97" i="31"/>
  <c r="L97" i="31"/>
  <c r="F53" i="31"/>
  <c r="F82" i="31"/>
  <c r="F62" i="31"/>
  <c r="F97" i="31"/>
  <c r="H58" i="31"/>
  <c r="F217" i="30"/>
  <c r="H217" i="30"/>
  <c r="H212" i="30"/>
  <c r="L218" i="30"/>
  <c r="H60" i="31"/>
  <c r="J60" i="31"/>
  <c r="J144" i="30"/>
  <c r="L129" i="30"/>
  <c r="L261" i="30"/>
  <c r="J254" i="30"/>
  <c r="H258" i="30"/>
  <c r="F241" i="30"/>
  <c r="J164" i="30"/>
  <c r="H165" i="30"/>
  <c r="J170" i="30"/>
  <c r="F189" i="30"/>
  <c r="H121" i="30"/>
  <c r="F125" i="30"/>
  <c r="H125" i="30"/>
  <c r="L63" i="30"/>
  <c r="J152" i="30"/>
  <c r="J148" i="30"/>
  <c r="F123" i="30"/>
  <c r="J79" i="30"/>
  <c r="L79" i="30"/>
  <c r="I111" i="28"/>
  <c r="K111" i="28"/>
  <c r="M15" i="28"/>
  <c r="L15" i="28"/>
  <c r="K15" i="28"/>
  <c r="J15" i="28"/>
  <c r="I15" i="28"/>
  <c r="C62" i="28"/>
  <c r="J280" i="30"/>
  <c r="J284" i="30"/>
  <c r="M139" i="28"/>
  <c r="L139" i="28"/>
  <c r="K139" i="28"/>
  <c r="I139" i="28"/>
  <c r="J139" i="28"/>
  <c r="L102" i="28"/>
  <c r="K102" i="28"/>
  <c r="J102" i="28"/>
  <c r="I102" i="28"/>
  <c r="M102" i="28"/>
  <c r="J152" i="28"/>
  <c r="I152" i="28"/>
  <c r="H160" i="28"/>
  <c r="L152" i="28"/>
  <c r="M152" i="28"/>
  <c r="K152" i="28"/>
  <c r="M81" i="28"/>
  <c r="I81" i="28"/>
  <c r="K81" i="28"/>
  <c r="J81" i="28"/>
  <c r="L81" i="28"/>
  <c r="M116" i="28"/>
  <c r="L116" i="28"/>
  <c r="K116" i="28"/>
  <c r="J116" i="28"/>
  <c r="I116" i="28"/>
  <c r="K28" i="28"/>
  <c r="J28" i="28"/>
  <c r="M28" i="28"/>
  <c r="I28" i="28"/>
  <c r="L28" i="28"/>
  <c r="G146" i="28"/>
  <c r="E62" i="28"/>
  <c r="L154" i="28"/>
  <c r="J154" i="28"/>
  <c r="F76" i="28"/>
  <c r="E48" i="28"/>
  <c r="L44" i="28"/>
  <c r="J44" i="28"/>
  <c r="F43" i="25"/>
  <c r="F104" i="25"/>
  <c r="H257" i="24"/>
  <c r="J257" i="24"/>
  <c r="F229" i="24"/>
  <c r="H229" i="24"/>
  <c r="H54" i="24"/>
  <c r="J54" i="24"/>
  <c r="L41" i="25"/>
  <c r="J209" i="24"/>
  <c r="F187" i="24"/>
  <c r="L129" i="24"/>
  <c r="J187" i="24"/>
  <c r="F33" i="24"/>
  <c r="H33" i="24"/>
  <c r="F78" i="24"/>
  <c r="H78" i="24"/>
  <c r="F124" i="24"/>
  <c r="H124" i="24"/>
  <c r="W93" i="19"/>
  <c r="X94" i="19"/>
  <c r="H53" i="19"/>
  <c r="H56" i="19"/>
  <c r="J56" i="19"/>
  <c r="G63" i="19"/>
  <c r="H54" i="19"/>
  <c r="P131" i="19"/>
  <c r="R11" i="19"/>
  <c r="P11" i="19"/>
  <c r="P130" i="19"/>
  <c r="H131" i="19"/>
  <c r="X113" i="19"/>
  <c r="X31" i="19"/>
  <c r="H59" i="19"/>
  <c r="H12" i="19"/>
  <c r="J122" i="17"/>
  <c r="I122" i="17"/>
  <c r="M122" i="17"/>
  <c r="H121" i="17"/>
  <c r="L122" i="17"/>
  <c r="K122" i="17"/>
  <c r="K136" i="17"/>
  <c r="J136" i="17"/>
  <c r="I136" i="17"/>
  <c r="H135" i="17"/>
  <c r="M136" i="17"/>
  <c r="L136" i="17"/>
  <c r="M146" i="17"/>
  <c r="L146" i="17"/>
  <c r="I146" i="17"/>
  <c r="K146" i="17"/>
  <c r="J146" i="17"/>
  <c r="L137" i="17"/>
  <c r="K137" i="17"/>
  <c r="M137" i="17"/>
  <c r="J137" i="17"/>
  <c r="I137" i="17"/>
  <c r="R21" i="17"/>
  <c r="R9" i="17"/>
  <c r="N35" i="19"/>
  <c r="I87" i="13"/>
  <c r="M87" i="13"/>
  <c r="L87" i="13"/>
  <c r="K87" i="13"/>
  <c r="J87" i="13"/>
  <c r="P60" i="19"/>
  <c r="L60" i="13"/>
  <c r="K60" i="13"/>
  <c r="J60" i="13"/>
  <c r="M60" i="13"/>
  <c r="I60" i="13"/>
  <c r="M135" i="13"/>
  <c r="L135" i="13"/>
  <c r="K135" i="13"/>
  <c r="I135" i="13"/>
  <c r="J135" i="13"/>
  <c r="H55" i="12"/>
  <c r="N8" i="12"/>
  <c r="M8" i="12"/>
  <c r="L8" i="12"/>
  <c r="K8" i="12"/>
  <c r="J8" i="12"/>
  <c r="I8" i="12"/>
  <c r="M49" i="12"/>
  <c r="L49" i="12"/>
  <c r="I49" i="12"/>
  <c r="N49" i="12"/>
  <c r="K49" i="12"/>
  <c r="J49" i="12"/>
  <c r="H63" i="10"/>
  <c r="J63" i="10"/>
  <c r="F34" i="10"/>
  <c r="S16" i="5"/>
  <c r="U16" i="5"/>
  <c r="I43" i="5"/>
  <c r="M43" i="5"/>
  <c r="L43" i="5"/>
  <c r="K43" i="5"/>
  <c r="J43" i="5"/>
  <c r="M45" i="5"/>
  <c r="H65" i="8"/>
  <c r="J65" i="8"/>
  <c r="H142" i="8"/>
  <c r="J142" i="8"/>
  <c r="M145" i="43"/>
  <c r="N145" i="43"/>
  <c r="L145" i="43"/>
  <c r="O145" i="43"/>
  <c r="I8" i="41"/>
  <c r="H8" i="41"/>
  <c r="J8" i="41"/>
  <c r="M8" i="41"/>
  <c r="L8" i="41"/>
  <c r="H37" i="35"/>
  <c r="AN34" i="35"/>
  <c r="AO34" i="35"/>
  <c r="Y36" i="35"/>
  <c r="J6" i="38"/>
  <c r="I6" i="38"/>
  <c r="H6" i="38"/>
  <c r="L6" i="38"/>
  <c r="J11" i="38"/>
  <c r="M6" i="38"/>
  <c r="J8" i="38"/>
  <c r="J12" i="38"/>
  <c r="J9" i="38"/>
  <c r="AN38" i="35"/>
  <c r="AO17" i="35"/>
  <c r="AN17" i="35"/>
  <c r="L80" i="31"/>
  <c r="L64" i="31"/>
  <c r="F76" i="31"/>
  <c r="F55" i="31"/>
  <c r="L215" i="30"/>
  <c r="H61" i="31"/>
  <c r="J61" i="31"/>
  <c r="J121" i="30"/>
  <c r="L121" i="30"/>
  <c r="L56" i="30"/>
  <c r="J283" i="30"/>
  <c r="M29" i="28"/>
  <c r="L29" i="28"/>
  <c r="J29" i="28"/>
  <c r="I29" i="28"/>
  <c r="K29" i="28"/>
  <c r="F36" i="25"/>
  <c r="J83" i="24"/>
  <c r="L83" i="24"/>
  <c r="H40" i="19"/>
  <c r="F49" i="19"/>
  <c r="L59" i="17"/>
  <c r="K59" i="17"/>
  <c r="M59" i="17"/>
  <c r="J59" i="17"/>
  <c r="I59" i="17"/>
  <c r="J10" i="38"/>
  <c r="I10" i="38"/>
  <c r="H10" i="38"/>
  <c r="M10" i="38"/>
  <c r="L10" i="38"/>
  <c r="P7" i="38"/>
  <c r="T7" i="38"/>
  <c r="AA19" i="38" s="1"/>
  <c r="R7" i="38"/>
  <c r="Q7" i="38"/>
  <c r="S7" i="38"/>
  <c r="P11" i="35"/>
  <c r="O11" i="35"/>
  <c r="F42" i="31"/>
  <c r="F99" i="31"/>
  <c r="F56" i="31"/>
  <c r="H56" i="31"/>
  <c r="F60" i="30"/>
  <c r="H60" i="30"/>
  <c r="L236" i="30"/>
  <c r="L168" i="30"/>
  <c r="F131" i="30"/>
  <c r="H142" i="30"/>
  <c r="J278" i="30"/>
  <c r="K38" i="28"/>
  <c r="J38" i="28"/>
  <c r="M38" i="28"/>
  <c r="L38" i="28"/>
  <c r="I38" i="28"/>
  <c r="J56" i="28"/>
  <c r="L56" i="28"/>
  <c r="L187" i="24"/>
  <c r="F41" i="24"/>
  <c r="H41" i="24"/>
  <c r="F87" i="24"/>
  <c r="H87" i="24"/>
  <c r="H96" i="19"/>
  <c r="X33" i="19"/>
  <c r="M138" i="17"/>
  <c r="L138" i="17"/>
  <c r="I138" i="17"/>
  <c r="K138" i="17"/>
  <c r="J138" i="17"/>
  <c r="L88" i="13"/>
  <c r="J88" i="13"/>
  <c r="L185" i="8"/>
  <c r="H142" i="42"/>
  <c r="I142" i="42"/>
  <c r="G142" i="42"/>
  <c r="E146" i="42"/>
  <c r="N145" i="41"/>
  <c r="M145" i="41"/>
  <c r="L145" i="41"/>
  <c r="O145" i="41"/>
  <c r="R14" i="41"/>
  <c r="S14" i="41"/>
  <c r="J9" i="40"/>
  <c r="M9" i="40"/>
  <c r="I9" i="40"/>
  <c r="H9" i="40"/>
  <c r="L9" i="40"/>
  <c r="H145" i="41"/>
  <c r="K145" i="41" s="1"/>
  <c r="I145" i="41"/>
  <c r="G145" i="41"/>
  <c r="L9" i="38"/>
  <c r="N9" i="38"/>
  <c r="P9" i="38"/>
  <c r="Q9" i="38"/>
  <c r="M9" i="38"/>
  <c r="O137" i="42"/>
  <c r="N137" i="42"/>
  <c r="M137" i="42"/>
  <c r="L137" i="42"/>
  <c r="L143" i="42"/>
  <c r="N143" i="42"/>
  <c r="M143" i="42"/>
  <c r="O143" i="42"/>
  <c r="Y38" i="35"/>
  <c r="X38" i="35"/>
  <c r="AN39" i="35"/>
  <c r="AO39" i="35"/>
  <c r="I36" i="35"/>
  <c r="Y15" i="35"/>
  <c r="X15" i="35"/>
  <c r="BB12" i="35"/>
  <c r="BA12" i="35"/>
  <c r="AZ12" i="35"/>
  <c r="AX12" i="35"/>
  <c r="AY12" i="35"/>
  <c r="AN40" i="35"/>
  <c r="AE13" i="35"/>
  <c r="AF13" i="35"/>
  <c r="F11" i="41"/>
  <c r="I11" i="41"/>
  <c r="H11" i="41"/>
  <c r="F13" i="41"/>
  <c r="H13" i="41"/>
  <c r="I13" i="41"/>
  <c r="H7" i="38"/>
  <c r="J7" i="38"/>
  <c r="I7" i="38"/>
  <c r="M7" i="38"/>
  <c r="L7" i="38"/>
  <c r="AN12" i="35"/>
  <c r="AO12" i="35"/>
  <c r="BA18" i="35"/>
  <c r="AZ18" i="35"/>
  <c r="O17" i="35"/>
  <c r="P17" i="35"/>
  <c r="L61" i="31"/>
  <c r="L34" i="31"/>
  <c r="L83" i="31"/>
  <c r="L56" i="31"/>
  <c r="J104" i="31"/>
  <c r="L104" i="31"/>
  <c r="I10" i="35"/>
  <c r="H10" i="35"/>
  <c r="I15" i="35"/>
  <c r="H15" i="35"/>
  <c r="J86" i="31"/>
  <c r="L86" i="31"/>
  <c r="J59" i="31"/>
  <c r="L59" i="31"/>
  <c r="F102" i="31"/>
  <c r="F107" i="31"/>
  <c r="F81" i="31"/>
  <c r="F105" i="31"/>
  <c r="L214" i="30"/>
  <c r="F214" i="30"/>
  <c r="F210" i="30"/>
  <c r="H82" i="31"/>
  <c r="H79" i="31"/>
  <c r="J79" i="31"/>
  <c r="L131" i="30"/>
  <c r="L54" i="30"/>
  <c r="H254" i="30"/>
  <c r="F260" i="30"/>
  <c r="J238" i="30"/>
  <c r="L241" i="30"/>
  <c r="F167" i="30"/>
  <c r="J165" i="30"/>
  <c r="J186" i="30"/>
  <c r="H191" i="30"/>
  <c r="J187" i="30"/>
  <c r="F120" i="30"/>
  <c r="F145" i="30"/>
  <c r="L152" i="30"/>
  <c r="H150" i="30"/>
  <c r="H87" i="30"/>
  <c r="J87" i="30"/>
  <c r="F284" i="30"/>
  <c r="H273" i="30"/>
  <c r="J273" i="30"/>
  <c r="L284" i="30"/>
  <c r="C146" i="28"/>
  <c r="M13" i="28"/>
  <c r="I13" i="28"/>
  <c r="L13" i="28"/>
  <c r="K13" i="28"/>
  <c r="J13" i="28"/>
  <c r="J92" i="28"/>
  <c r="I92" i="28"/>
  <c r="M92" i="28"/>
  <c r="L92" i="28"/>
  <c r="K92" i="28"/>
  <c r="K54" i="28"/>
  <c r="J54" i="28"/>
  <c r="H62" i="28"/>
  <c r="M54" i="28"/>
  <c r="I54" i="28"/>
  <c r="L54" i="28"/>
  <c r="I17" i="28"/>
  <c r="M17" i="28"/>
  <c r="L17" i="28"/>
  <c r="K17" i="28"/>
  <c r="J17" i="28"/>
  <c r="M98" i="28"/>
  <c r="K98" i="28"/>
  <c r="J98" i="28"/>
  <c r="L98" i="28"/>
  <c r="I98" i="28"/>
  <c r="K151" i="28"/>
  <c r="I151" i="28"/>
  <c r="F118" i="28"/>
  <c r="L83" i="28"/>
  <c r="J83" i="28"/>
  <c r="D76" i="28"/>
  <c r="F265" i="24"/>
  <c r="F103" i="25"/>
  <c r="F85" i="25"/>
  <c r="H219" i="24"/>
  <c r="J150" i="24"/>
  <c r="L150" i="24"/>
  <c r="L107" i="25"/>
  <c r="L106" i="25"/>
  <c r="L208" i="24"/>
  <c r="H175" i="24"/>
  <c r="H148" i="24"/>
  <c r="J148" i="24"/>
  <c r="F164" i="24"/>
  <c r="H164" i="24"/>
  <c r="W77" i="19"/>
  <c r="X69" i="19"/>
  <c r="W65" i="19"/>
  <c r="X150" i="19"/>
  <c r="W149" i="19"/>
  <c r="H27" i="19"/>
  <c r="G35" i="19"/>
  <c r="H30" i="19"/>
  <c r="J30" i="19"/>
  <c r="J28" i="19"/>
  <c r="H28" i="19"/>
  <c r="X128" i="19"/>
  <c r="H11" i="19"/>
  <c r="R139" i="19"/>
  <c r="O147" i="19"/>
  <c r="P139" i="19"/>
  <c r="H136" i="19"/>
  <c r="G135" i="19"/>
  <c r="X28" i="19"/>
  <c r="V121" i="19"/>
  <c r="X122" i="19"/>
  <c r="X40" i="19"/>
  <c r="H68" i="19"/>
  <c r="H20" i="19"/>
  <c r="E77" i="19"/>
  <c r="E65" i="19"/>
  <c r="E93" i="17"/>
  <c r="M126" i="17"/>
  <c r="J126" i="17"/>
  <c r="I126" i="17"/>
  <c r="L126" i="17"/>
  <c r="K126" i="17"/>
  <c r="L115" i="17"/>
  <c r="K115" i="17"/>
  <c r="J115" i="17"/>
  <c r="I115" i="17"/>
  <c r="M115" i="17"/>
  <c r="Z11" i="17"/>
  <c r="Y11" i="17"/>
  <c r="X11" i="17"/>
  <c r="W11" i="17"/>
  <c r="C147" i="17"/>
  <c r="L37" i="13"/>
  <c r="J37" i="13"/>
  <c r="N147" i="19"/>
  <c r="C105" i="17"/>
  <c r="W50" i="12"/>
  <c r="J58" i="10"/>
  <c r="J53" i="10"/>
  <c r="U91" i="19"/>
  <c r="F109" i="10"/>
  <c r="L256" i="8"/>
  <c r="L188" i="8"/>
  <c r="L20" i="6"/>
  <c r="J20" i="6"/>
  <c r="J124" i="8"/>
  <c r="N138" i="41"/>
  <c r="O138" i="41"/>
  <c r="G144" i="41"/>
  <c r="H144" i="41"/>
  <c r="K144" i="41" s="1"/>
  <c r="I144" i="41"/>
  <c r="L144" i="41"/>
  <c r="M144" i="41"/>
  <c r="L134" i="40"/>
  <c r="K134" i="40"/>
  <c r="O134" i="40"/>
  <c r="N134" i="40"/>
  <c r="M134" i="40"/>
  <c r="K135" i="40"/>
  <c r="K137" i="40"/>
  <c r="K136" i="40"/>
  <c r="K138" i="40"/>
  <c r="AO36" i="35"/>
  <c r="AN36" i="35"/>
  <c r="BB13" i="35"/>
  <c r="BA13" i="35"/>
  <c r="AY13" i="35"/>
  <c r="AZ13" i="35"/>
  <c r="AX13" i="35"/>
  <c r="P16" i="35"/>
  <c r="L232" i="30"/>
  <c r="F185" i="30"/>
  <c r="L32" i="28"/>
  <c r="K32" i="28"/>
  <c r="I32" i="28"/>
  <c r="M32" i="28"/>
  <c r="J32" i="28"/>
  <c r="J262" i="24"/>
  <c r="L262" i="24"/>
  <c r="J172" i="24"/>
  <c r="L172" i="24"/>
  <c r="G79" i="19"/>
  <c r="H80" i="19"/>
  <c r="X90" i="19"/>
  <c r="E149" i="19"/>
  <c r="C133" i="17"/>
  <c r="X31" i="12"/>
  <c r="V31" i="12"/>
  <c r="U31" i="12"/>
  <c r="F130" i="8"/>
  <c r="O16" i="35"/>
  <c r="O8" i="35"/>
  <c r="AO10" i="35"/>
  <c r="AN10" i="35"/>
  <c r="J98" i="31"/>
  <c r="L98" i="31"/>
  <c r="H215" i="30"/>
  <c r="J215" i="30"/>
  <c r="J130" i="30"/>
  <c r="H263" i="30"/>
  <c r="J163" i="30"/>
  <c r="L150" i="30"/>
  <c r="M30" i="28"/>
  <c r="L30" i="28"/>
  <c r="K30" i="28"/>
  <c r="I30" i="28"/>
  <c r="J30" i="28"/>
  <c r="E34" i="28"/>
  <c r="L27" i="28"/>
  <c r="J27" i="28"/>
  <c r="J213" i="24"/>
  <c r="L213" i="24"/>
  <c r="L193" i="24"/>
  <c r="F84" i="24"/>
  <c r="F105" i="17"/>
  <c r="L64" i="8"/>
  <c r="X20" i="12"/>
  <c r="V20" i="12"/>
  <c r="U20" i="12"/>
  <c r="O141" i="43"/>
  <c r="N141" i="43"/>
  <c r="M141" i="43"/>
  <c r="L141" i="43"/>
  <c r="H137" i="41"/>
  <c r="K137" i="41" s="1"/>
  <c r="G137" i="41"/>
  <c r="I137" i="41"/>
  <c r="M137" i="41"/>
  <c r="L137" i="41"/>
  <c r="F9" i="40"/>
  <c r="G128" i="37"/>
  <c r="I128" i="37"/>
  <c r="H128" i="37"/>
  <c r="M128" i="37"/>
  <c r="F129" i="37"/>
  <c r="L128" i="37"/>
  <c r="O139" i="42"/>
  <c r="N139" i="42"/>
  <c r="M139" i="42"/>
  <c r="L139" i="42"/>
  <c r="D146" i="41"/>
  <c r="I134" i="39"/>
  <c r="H134" i="39"/>
  <c r="G134" i="39"/>
  <c r="I138" i="39"/>
  <c r="I135" i="39"/>
  <c r="L134" i="39"/>
  <c r="I136" i="39"/>
  <c r="M134" i="39"/>
  <c r="I137" i="39"/>
  <c r="F10" i="39"/>
  <c r="H10" i="39"/>
  <c r="I10" i="39"/>
  <c r="H38" i="35"/>
  <c r="F9" i="38"/>
  <c r="I9" i="38"/>
  <c r="H9" i="38"/>
  <c r="Y31" i="35"/>
  <c r="BB17" i="35"/>
  <c r="BA17" i="35"/>
  <c r="AY17" i="35"/>
  <c r="AZ17" i="35"/>
  <c r="AX17" i="35"/>
  <c r="Y12" i="35"/>
  <c r="X12" i="35"/>
  <c r="BB9" i="35"/>
  <c r="BA9" i="35"/>
  <c r="AZ9" i="35"/>
  <c r="AY9" i="35"/>
  <c r="AX9" i="35"/>
  <c r="AE10" i="35"/>
  <c r="AF10" i="35"/>
  <c r="F12" i="41"/>
  <c r="AN33" i="35"/>
  <c r="X30" i="35"/>
  <c r="AN13" i="35"/>
  <c r="AO13" i="35"/>
  <c r="X33" i="35"/>
  <c r="AQ13" i="35"/>
  <c r="AP13" i="35"/>
  <c r="L107" i="31"/>
  <c r="F61" i="31"/>
  <c r="F34" i="31"/>
  <c r="I16" i="35"/>
  <c r="H16" i="35"/>
  <c r="L84" i="31"/>
  <c r="L57" i="31"/>
  <c r="F79" i="31"/>
  <c r="F104" i="31"/>
  <c r="H104" i="31"/>
  <c r="F109" i="31"/>
  <c r="H216" i="30"/>
  <c r="J216" i="30"/>
  <c r="J211" i="30"/>
  <c r="L211" i="30"/>
  <c r="F219" i="30"/>
  <c r="L210" i="30"/>
  <c r="F207" i="30"/>
  <c r="H100" i="31"/>
  <c r="J100" i="31"/>
  <c r="H65" i="31"/>
  <c r="J65" i="31"/>
  <c r="L128" i="30"/>
  <c r="L84" i="30"/>
  <c r="H252" i="30"/>
  <c r="H260" i="30"/>
  <c r="J262" i="30"/>
  <c r="H234" i="30"/>
  <c r="J172" i="30"/>
  <c r="L192" i="30"/>
  <c r="L187" i="30"/>
  <c r="F152" i="30"/>
  <c r="F173" i="30"/>
  <c r="L83" i="30"/>
  <c r="J54" i="30"/>
  <c r="M96" i="28"/>
  <c r="K96" i="28"/>
  <c r="H104" i="28"/>
  <c r="J96" i="28"/>
  <c r="I96" i="28"/>
  <c r="L96" i="28"/>
  <c r="H279" i="30"/>
  <c r="J279" i="30"/>
  <c r="C20" i="28"/>
  <c r="K80" i="28"/>
  <c r="J80" i="28"/>
  <c r="M80" i="28"/>
  <c r="L80" i="28"/>
  <c r="I80" i="28"/>
  <c r="I69" i="28"/>
  <c r="M69" i="28"/>
  <c r="L69" i="28"/>
  <c r="J69" i="28"/>
  <c r="K69" i="28"/>
  <c r="H76" i="28"/>
  <c r="M107" i="28"/>
  <c r="L107" i="28"/>
  <c r="K107" i="28"/>
  <c r="J107" i="28"/>
  <c r="I107" i="28"/>
  <c r="M99" i="28"/>
  <c r="L99" i="28"/>
  <c r="K99" i="28"/>
  <c r="J99" i="28"/>
  <c r="I99" i="28"/>
  <c r="K57" i="28"/>
  <c r="I57" i="28"/>
  <c r="D132" i="28"/>
  <c r="L57" i="28"/>
  <c r="J57" i="28"/>
  <c r="E104" i="28"/>
  <c r="L134" i="28"/>
  <c r="J134" i="28"/>
  <c r="D48" i="28"/>
  <c r="H261" i="24"/>
  <c r="J261" i="24"/>
  <c r="L234" i="24"/>
  <c r="F60" i="25"/>
  <c r="L258" i="24"/>
  <c r="L235" i="24"/>
  <c r="F148" i="24"/>
  <c r="L57" i="25"/>
  <c r="L209" i="24"/>
  <c r="L121" i="24"/>
  <c r="L97" i="25"/>
  <c r="L188" i="24"/>
  <c r="F185" i="24"/>
  <c r="H185" i="24"/>
  <c r="H77" i="24"/>
  <c r="J77" i="24"/>
  <c r="F55" i="24"/>
  <c r="H55" i="24"/>
  <c r="F217" i="24"/>
  <c r="F172" i="24"/>
  <c r="H172" i="24"/>
  <c r="L63" i="24"/>
  <c r="F9" i="24"/>
  <c r="H9" i="24"/>
  <c r="H67" i="19"/>
  <c r="P144" i="19"/>
  <c r="P24" i="19"/>
  <c r="O23" i="19"/>
  <c r="P27" i="19"/>
  <c r="O35" i="19"/>
  <c r="P25" i="19"/>
  <c r="P88" i="19"/>
  <c r="X123" i="19"/>
  <c r="P124" i="19"/>
  <c r="V105" i="19"/>
  <c r="F65" i="19"/>
  <c r="V37" i="19"/>
  <c r="X117" i="19"/>
  <c r="H154" i="19"/>
  <c r="H89" i="19"/>
  <c r="E121" i="19"/>
  <c r="L124" i="17"/>
  <c r="K124" i="17"/>
  <c r="J124" i="17"/>
  <c r="I124" i="17"/>
  <c r="M124" i="17"/>
  <c r="L56" i="13"/>
  <c r="K56" i="13"/>
  <c r="M56" i="13"/>
  <c r="J56" i="13"/>
  <c r="I56" i="13"/>
  <c r="H62" i="13"/>
  <c r="J130" i="17"/>
  <c r="L130" i="17"/>
  <c r="I36" i="13"/>
  <c r="M36" i="13"/>
  <c r="L36" i="13"/>
  <c r="K36" i="13"/>
  <c r="J36" i="13"/>
  <c r="Y16" i="16"/>
  <c r="W16" i="16"/>
  <c r="M74" i="13"/>
  <c r="L74" i="13"/>
  <c r="K74" i="13"/>
  <c r="I74" i="13"/>
  <c r="J74" i="13"/>
  <c r="L56" i="10"/>
  <c r="U107" i="19"/>
  <c r="F85" i="10"/>
  <c r="I28" i="6"/>
  <c r="K28" i="6"/>
  <c r="F84" i="10"/>
  <c r="J172" i="8"/>
  <c r="M17" i="6"/>
  <c r="L17" i="6"/>
  <c r="K17" i="6"/>
  <c r="J17" i="6"/>
  <c r="I17" i="6"/>
  <c r="M20" i="6"/>
  <c r="L48" i="5"/>
  <c r="J48" i="5"/>
  <c r="J62" i="2"/>
  <c r="K62" i="2"/>
  <c r="C56" i="12"/>
  <c r="H282" i="8"/>
  <c r="J282" i="8"/>
  <c r="C146" i="43"/>
  <c r="N10" i="41"/>
  <c r="M10" i="41"/>
  <c r="L10" i="41"/>
  <c r="K16" i="41"/>
  <c r="Q10" i="41"/>
  <c r="P10" i="41"/>
  <c r="Y8" i="35"/>
  <c r="X8" i="35"/>
  <c r="F8" i="38"/>
  <c r="H8" i="38"/>
  <c r="I8" i="38"/>
  <c r="X31" i="35"/>
  <c r="AQ17" i="35"/>
  <c r="AP17" i="35"/>
  <c r="I12" i="35"/>
  <c r="H12" i="35"/>
  <c r="J101" i="31"/>
  <c r="L101" i="31"/>
  <c r="F78" i="31"/>
  <c r="L263" i="30"/>
  <c r="F129" i="30"/>
  <c r="L127" i="28"/>
  <c r="J127" i="28"/>
  <c r="J234" i="24"/>
  <c r="L81" i="25"/>
  <c r="J55" i="24"/>
  <c r="L55" i="24"/>
  <c r="F165" i="24"/>
  <c r="H165" i="24"/>
  <c r="X81" i="19"/>
  <c r="V107" i="19"/>
  <c r="F18" i="10"/>
  <c r="O140" i="41"/>
  <c r="N140" i="41"/>
  <c r="I31" i="35"/>
  <c r="Y32" i="35"/>
  <c r="F6" i="41"/>
  <c r="E16" i="41"/>
  <c r="F16" i="41" s="1"/>
  <c r="I6" i="41"/>
  <c r="H6" i="41"/>
  <c r="O10" i="35"/>
  <c r="P10" i="35"/>
  <c r="J99" i="31"/>
  <c r="L99" i="31"/>
  <c r="F63" i="31"/>
  <c r="H55" i="31"/>
  <c r="F208" i="30"/>
  <c r="H208" i="30"/>
  <c r="H33" i="31"/>
  <c r="J33" i="31"/>
  <c r="L252" i="30"/>
  <c r="H169" i="30"/>
  <c r="J135" i="28"/>
  <c r="I135" i="28"/>
  <c r="M135" i="28"/>
  <c r="L135" i="28"/>
  <c r="K135" i="28"/>
  <c r="F54" i="25"/>
  <c r="F108" i="24"/>
  <c r="H108" i="24"/>
  <c r="P157" i="19"/>
  <c r="F93" i="19"/>
  <c r="L128" i="17"/>
  <c r="K128" i="17"/>
  <c r="M128" i="17"/>
  <c r="J128" i="17"/>
  <c r="I128" i="17"/>
  <c r="H258" i="8"/>
  <c r="I136" i="42"/>
  <c r="F146" i="42"/>
  <c r="H136" i="42"/>
  <c r="K136" i="42" s="1"/>
  <c r="G136" i="42"/>
  <c r="I143" i="42"/>
  <c r="I140" i="42"/>
  <c r="I138" i="42"/>
  <c r="I137" i="42"/>
  <c r="I141" i="42"/>
  <c r="I145" i="42"/>
  <c r="N7" i="40"/>
  <c r="M7" i="40"/>
  <c r="L7" i="40"/>
  <c r="P7" i="40"/>
  <c r="Q7" i="40"/>
  <c r="L142" i="43"/>
  <c r="O142" i="43"/>
  <c r="N142" i="43"/>
  <c r="M142" i="43"/>
  <c r="I15" i="41"/>
  <c r="J15" i="41"/>
  <c r="H15" i="41"/>
  <c r="L15" i="41"/>
  <c r="M15" i="41"/>
  <c r="C146" i="41"/>
  <c r="O136" i="41"/>
  <c r="N136" i="41"/>
  <c r="G142" i="41"/>
  <c r="I142" i="41"/>
  <c r="H142" i="41"/>
  <c r="K142" i="41" s="1"/>
  <c r="I139" i="41"/>
  <c r="H139" i="41"/>
  <c r="K139" i="41" s="1"/>
  <c r="G139" i="41"/>
  <c r="M139" i="41"/>
  <c r="L139" i="41"/>
  <c r="F6" i="40"/>
  <c r="F7" i="40"/>
  <c r="F11" i="40"/>
  <c r="I6" i="40"/>
  <c r="H6" i="40"/>
  <c r="F12" i="40"/>
  <c r="M141" i="42"/>
  <c r="O141" i="42"/>
  <c r="N141" i="42"/>
  <c r="L141" i="42"/>
  <c r="S9" i="39"/>
  <c r="R9" i="39"/>
  <c r="Q9" i="39"/>
  <c r="P9" i="39"/>
  <c r="T9" i="39"/>
  <c r="Y17" i="35"/>
  <c r="X17" i="35"/>
  <c r="BB14" i="35"/>
  <c r="BA14" i="35"/>
  <c r="AY14" i="35"/>
  <c r="AX14" i="35"/>
  <c r="AZ14" i="35"/>
  <c r="Y9" i="35"/>
  <c r="X9" i="35"/>
  <c r="Y40" i="35"/>
  <c r="AE18" i="35"/>
  <c r="AF18" i="35"/>
  <c r="AE15" i="35"/>
  <c r="AF15" i="35"/>
  <c r="N128" i="37"/>
  <c r="O128" i="37"/>
  <c r="F10" i="38"/>
  <c r="H134" i="38"/>
  <c r="G134" i="38"/>
  <c r="AO16" i="35"/>
  <c r="AN16" i="35"/>
  <c r="AQ16" i="35"/>
  <c r="AR16" i="35"/>
  <c r="AP16" i="35"/>
  <c r="R6" i="38"/>
  <c r="Q6" i="38"/>
  <c r="P6" i="38"/>
  <c r="T6" i="38"/>
  <c r="S6" i="38"/>
  <c r="T9" i="38"/>
  <c r="T11" i="38"/>
  <c r="T12" i="38"/>
  <c r="P13" i="35"/>
  <c r="O15" i="35"/>
  <c r="P15" i="35"/>
  <c r="AO14" i="35"/>
  <c r="AN14" i="35"/>
  <c r="X40" i="35"/>
  <c r="AP14" i="35"/>
  <c r="AQ14" i="35"/>
  <c r="J103" i="31"/>
  <c r="L103" i="31"/>
  <c r="J55" i="31"/>
  <c r="L55" i="31"/>
  <c r="L105" i="31"/>
  <c r="J77" i="31"/>
  <c r="L77" i="31"/>
  <c r="J39" i="31"/>
  <c r="L39" i="31"/>
  <c r="I17" i="35"/>
  <c r="H17" i="35"/>
  <c r="L109" i="31"/>
  <c r="F84" i="31"/>
  <c r="F57" i="31"/>
  <c r="F87" i="31"/>
  <c r="F32" i="31"/>
  <c r="F103" i="31"/>
  <c r="F101" i="31"/>
  <c r="H107" i="31"/>
  <c r="J208" i="30"/>
  <c r="L219" i="30"/>
  <c r="J212" i="30"/>
  <c r="L212" i="30"/>
  <c r="L207" i="30"/>
  <c r="H84" i="31"/>
  <c r="J84" i="31"/>
  <c r="J255" i="30"/>
  <c r="F84" i="30"/>
  <c r="J253" i="30"/>
  <c r="F240" i="30"/>
  <c r="F232" i="30"/>
  <c r="F235" i="30"/>
  <c r="F175" i="30"/>
  <c r="L171" i="30"/>
  <c r="H188" i="30"/>
  <c r="J195" i="30"/>
  <c r="H126" i="30"/>
  <c r="F151" i="30"/>
  <c r="L147" i="30"/>
  <c r="F147" i="30"/>
  <c r="H147" i="30"/>
  <c r="L165" i="30"/>
  <c r="F83" i="30"/>
  <c r="J81" i="30"/>
  <c r="L81" i="30"/>
  <c r="J66" i="28"/>
  <c r="I66" i="28"/>
  <c r="L66" i="28"/>
  <c r="K66" i="28"/>
  <c r="M66" i="28"/>
  <c r="C76" i="28"/>
  <c r="H281" i="30"/>
  <c r="L279" i="30"/>
  <c r="L273" i="30"/>
  <c r="G104" i="28"/>
  <c r="K88" i="28"/>
  <c r="J88" i="28"/>
  <c r="L88" i="28"/>
  <c r="I88" i="28"/>
  <c r="M88" i="28"/>
  <c r="I86" i="28"/>
  <c r="L86" i="28"/>
  <c r="K86" i="28"/>
  <c r="M86" i="28"/>
  <c r="J86" i="28"/>
  <c r="M158" i="28"/>
  <c r="J158" i="28"/>
  <c r="L158" i="28"/>
  <c r="K158" i="28"/>
  <c r="I158" i="28"/>
  <c r="I136" i="28"/>
  <c r="K136" i="28"/>
  <c r="F48" i="28"/>
  <c r="L8" i="28"/>
  <c r="J8" i="28"/>
  <c r="L23" i="28"/>
  <c r="J23" i="28"/>
  <c r="F234" i="24"/>
  <c r="F235" i="24"/>
  <c r="J194" i="24"/>
  <c r="L194" i="24"/>
  <c r="L58" i="25"/>
  <c r="L65" i="25"/>
  <c r="J212" i="24"/>
  <c r="J167" i="24"/>
  <c r="L167" i="24"/>
  <c r="L42" i="25"/>
  <c r="L105" i="25"/>
  <c r="L130" i="24"/>
  <c r="F193" i="24"/>
  <c r="H193" i="24"/>
  <c r="X18" i="22"/>
  <c r="AA18" i="22"/>
  <c r="Z18" i="22"/>
  <c r="Y18" i="22"/>
  <c r="AB18" i="22"/>
  <c r="L57" i="24"/>
  <c r="F20" i="24"/>
  <c r="H20" i="24"/>
  <c r="G49" i="19"/>
  <c r="J41" i="19"/>
  <c r="H41" i="19"/>
  <c r="G37" i="19"/>
  <c r="X124" i="19"/>
  <c r="H103" i="19"/>
  <c r="J103" i="19"/>
  <c r="R99" i="19"/>
  <c r="P99" i="19"/>
  <c r="X85" i="19"/>
  <c r="X127" i="19"/>
  <c r="R128" i="19"/>
  <c r="P128" i="19"/>
  <c r="X88" i="19"/>
  <c r="X126" i="19"/>
  <c r="E79" i="19"/>
  <c r="H115" i="19"/>
  <c r="J70" i="17"/>
  <c r="I70" i="17"/>
  <c r="M70" i="17"/>
  <c r="L70" i="17"/>
  <c r="K70" i="17"/>
  <c r="Y18" i="17"/>
  <c r="X18" i="17"/>
  <c r="W18" i="17"/>
  <c r="Z18" i="17"/>
  <c r="M74" i="17"/>
  <c r="J74" i="17"/>
  <c r="I74" i="17"/>
  <c r="L74" i="17"/>
  <c r="K74" i="17"/>
  <c r="I82" i="17"/>
  <c r="M82" i="17"/>
  <c r="L82" i="17"/>
  <c r="K82" i="17"/>
  <c r="J82" i="17"/>
  <c r="S20" i="13"/>
  <c r="N133" i="19"/>
  <c r="P125" i="19"/>
  <c r="J127" i="13"/>
  <c r="I127" i="13"/>
  <c r="M127" i="13"/>
  <c r="L127" i="13"/>
  <c r="K127" i="13"/>
  <c r="L39" i="10"/>
  <c r="H80" i="8"/>
  <c r="J80" i="8"/>
  <c r="V44" i="12"/>
  <c r="X44" i="12"/>
  <c r="U44" i="12"/>
  <c r="H87" i="10"/>
  <c r="J87" i="10"/>
  <c r="W10" i="6"/>
  <c r="V10" i="6"/>
  <c r="U10" i="6"/>
  <c r="T10" i="6"/>
  <c r="S10" i="6"/>
  <c r="F147" i="8"/>
  <c r="H147" i="8"/>
  <c r="S32" i="6"/>
  <c r="W32" i="6"/>
  <c r="U32" i="6"/>
  <c r="V32" i="6"/>
  <c r="T32" i="6"/>
  <c r="I16" i="5"/>
  <c r="M16" i="5"/>
  <c r="K16" i="5"/>
  <c r="L16" i="5"/>
  <c r="J16" i="5"/>
  <c r="V40" i="12"/>
  <c r="X40" i="12"/>
  <c r="U40" i="12"/>
  <c r="J106" i="10"/>
  <c r="L106" i="10"/>
  <c r="E56" i="12"/>
  <c r="Y16" i="35"/>
  <c r="X16" i="35"/>
  <c r="Y34" i="35"/>
  <c r="AE14" i="35"/>
  <c r="AF14" i="35"/>
  <c r="F14" i="41"/>
  <c r="I14" i="41"/>
  <c r="H14" i="41"/>
  <c r="AO38" i="35"/>
  <c r="P12" i="35"/>
  <c r="O12" i="35"/>
  <c r="F65" i="31"/>
  <c r="H39" i="31"/>
  <c r="L256" i="30"/>
  <c r="J194" i="30"/>
  <c r="H128" i="30"/>
  <c r="J83" i="30"/>
  <c r="J82" i="30"/>
  <c r="F230" i="24"/>
  <c r="J168" i="24"/>
  <c r="L168" i="24"/>
  <c r="F60" i="24"/>
  <c r="H60" i="24"/>
  <c r="H15" i="19"/>
  <c r="X151" i="19"/>
  <c r="V51" i="19"/>
  <c r="S19" i="21"/>
  <c r="R19" i="21"/>
  <c r="T19" i="21"/>
  <c r="L168" i="8"/>
  <c r="E189" i="3"/>
  <c r="L178" i="3"/>
  <c r="M178" i="3"/>
  <c r="N14" i="41"/>
  <c r="M14" i="41"/>
  <c r="L14" i="41"/>
  <c r="Q14" i="41"/>
  <c r="P14" i="41"/>
  <c r="R7" i="40"/>
  <c r="S7" i="40"/>
  <c r="BB10" i="35"/>
  <c r="BA10" i="35"/>
  <c r="AZ10" i="35"/>
  <c r="AX10" i="35"/>
  <c r="AY10" i="35"/>
  <c r="AE11" i="35"/>
  <c r="AF11" i="35"/>
  <c r="X39" i="35"/>
  <c r="F80" i="31"/>
  <c r="F54" i="31"/>
  <c r="H54" i="31"/>
  <c r="H218" i="30"/>
  <c r="J193" i="30"/>
  <c r="J256" i="30"/>
  <c r="F172" i="30"/>
  <c r="H123" i="30"/>
  <c r="C160" i="28"/>
  <c r="L137" i="28"/>
  <c r="K137" i="28"/>
  <c r="J137" i="28"/>
  <c r="I137" i="28"/>
  <c r="M137" i="28"/>
  <c r="J60" i="24"/>
  <c r="L60" i="24"/>
  <c r="F40" i="24"/>
  <c r="H40" i="24"/>
  <c r="F53" i="24"/>
  <c r="X55" i="19"/>
  <c r="W63" i="19"/>
  <c r="X155" i="19"/>
  <c r="V119" i="19"/>
  <c r="X35" i="12"/>
  <c r="V35" i="12"/>
  <c r="U35" i="12"/>
  <c r="L29" i="12"/>
  <c r="K29" i="12"/>
  <c r="D146" i="42"/>
  <c r="O137" i="41"/>
  <c r="N137" i="41"/>
  <c r="H144" i="42"/>
  <c r="K144" i="42" s="1"/>
  <c r="G144" i="42"/>
  <c r="I144" i="42"/>
  <c r="M144" i="42"/>
  <c r="L144" i="42"/>
  <c r="H144" i="43"/>
  <c r="K144" i="43" s="1"/>
  <c r="G144" i="43"/>
  <c r="I144" i="43"/>
  <c r="H137" i="43"/>
  <c r="K137" i="43" s="1"/>
  <c r="G137" i="43"/>
  <c r="I137" i="43"/>
  <c r="M137" i="43"/>
  <c r="L137" i="43"/>
  <c r="F146" i="43"/>
  <c r="J146" i="43"/>
  <c r="L136" i="43"/>
  <c r="O136" i="43"/>
  <c r="N136" i="43"/>
  <c r="M136" i="43"/>
  <c r="M13" i="41"/>
  <c r="L13" i="41"/>
  <c r="N13" i="41"/>
  <c r="P13" i="41"/>
  <c r="Q13" i="41"/>
  <c r="I7" i="41"/>
  <c r="H7" i="41"/>
  <c r="J7" i="41"/>
  <c r="G16" i="41"/>
  <c r="L7" i="41"/>
  <c r="M7" i="41"/>
  <c r="R8" i="41"/>
  <c r="Q8" i="41"/>
  <c r="P8" i="41"/>
  <c r="T8" i="41"/>
  <c r="S8" i="41"/>
  <c r="O16" i="41"/>
  <c r="I143" i="41"/>
  <c r="H143" i="41"/>
  <c r="K143" i="41" s="1"/>
  <c r="G143" i="41"/>
  <c r="F10" i="40"/>
  <c r="I10" i="40"/>
  <c r="H10" i="40"/>
  <c r="H40" i="35"/>
  <c r="I40" i="35"/>
  <c r="M145" i="42"/>
  <c r="L145" i="42"/>
  <c r="O145" i="42"/>
  <c r="N145" i="42"/>
  <c r="J9" i="39"/>
  <c r="I9" i="39"/>
  <c r="H9" i="39"/>
  <c r="M9" i="39"/>
  <c r="L9" i="39"/>
  <c r="I38" i="35"/>
  <c r="AO35" i="35"/>
  <c r="AN35" i="35"/>
  <c r="Y14" i="35"/>
  <c r="X14" i="35"/>
  <c r="BB11" i="35"/>
  <c r="BA11" i="35"/>
  <c r="AZ11" i="35"/>
  <c r="AX11" i="35"/>
  <c r="AW22" i="35"/>
  <c r="AY11" i="35"/>
  <c r="AE12" i="35"/>
  <c r="AF12" i="35"/>
  <c r="D129" i="37"/>
  <c r="O127" i="37"/>
  <c r="N127" i="37"/>
  <c r="F7" i="41"/>
  <c r="AO33" i="35"/>
  <c r="AO32" i="35"/>
  <c r="AA20" i="38"/>
  <c r="R10" i="38"/>
  <c r="Q10" i="38"/>
  <c r="P10" i="38"/>
  <c r="T10" i="38"/>
  <c r="S10" i="38"/>
  <c r="P14" i="35"/>
  <c r="AO15" i="35"/>
  <c r="AN15" i="35"/>
  <c r="X35" i="35"/>
  <c r="AP15" i="35"/>
  <c r="AQ15" i="35"/>
  <c r="L53" i="31"/>
  <c r="L102" i="31"/>
  <c r="L75" i="31"/>
  <c r="L37" i="31"/>
  <c r="H8" i="35"/>
  <c r="I8" i="35"/>
  <c r="I18" i="35"/>
  <c r="H18" i="35"/>
  <c r="J105" i="31"/>
  <c r="J78" i="31"/>
  <c r="L78" i="31"/>
  <c r="J40" i="31"/>
  <c r="L40" i="31"/>
  <c r="F98" i="31"/>
  <c r="F40" i="31"/>
  <c r="F100" i="31"/>
  <c r="F83" i="31"/>
  <c r="J207" i="30"/>
  <c r="L216" i="30"/>
  <c r="H211" i="30"/>
  <c r="H35" i="31"/>
  <c r="J35" i="31"/>
  <c r="H34" i="31"/>
  <c r="J34" i="31"/>
  <c r="H99" i="31"/>
  <c r="H77" i="30"/>
  <c r="H193" i="30"/>
  <c r="F76" i="30"/>
  <c r="J257" i="30"/>
  <c r="L231" i="30"/>
  <c r="H229" i="30"/>
  <c r="F237" i="30"/>
  <c r="J128" i="30"/>
  <c r="L190" i="30"/>
  <c r="L124" i="30"/>
  <c r="H146" i="30"/>
  <c r="F163" i="30"/>
  <c r="H163" i="30"/>
  <c r="L64" i="30"/>
  <c r="F281" i="30"/>
  <c r="F283" i="30"/>
  <c r="M53" i="28"/>
  <c r="K53" i="28"/>
  <c r="L53" i="28"/>
  <c r="J53" i="28"/>
  <c r="I53" i="28"/>
  <c r="K131" i="28"/>
  <c r="J131" i="28"/>
  <c r="I131" i="28"/>
  <c r="M131" i="28"/>
  <c r="L131" i="28"/>
  <c r="I95" i="28"/>
  <c r="M95" i="28"/>
  <c r="L95" i="28"/>
  <c r="K95" i="28"/>
  <c r="J95" i="28"/>
  <c r="I153" i="28"/>
  <c r="K153" i="28"/>
  <c r="J67" i="28"/>
  <c r="L67" i="28"/>
  <c r="J130" i="28"/>
  <c r="L130" i="28"/>
  <c r="F160" i="28"/>
  <c r="D90" i="28"/>
  <c r="L239" i="24"/>
  <c r="F231" i="24"/>
  <c r="H231" i="24"/>
  <c r="F192" i="24"/>
  <c r="J128" i="24"/>
  <c r="L128" i="24"/>
  <c r="L85" i="25"/>
  <c r="L43" i="25"/>
  <c r="J219" i="24"/>
  <c r="L219" i="24"/>
  <c r="L151" i="24"/>
  <c r="J82" i="24"/>
  <c r="L82" i="24"/>
  <c r="H210" i="24"/>
  <c r="F152" i="24"/>
  <c r="H152" i="24"/>
  <c r="F54" i="24"/>
  <c r="F261" i="24"/>
  <c r="F168" i="24"/>
  <c r="H168" i="24"/>
  <c r="L58" i="24"/>
  <c r="O37" i="19"/>
  <c r="P38" i="19"/>
  <c r="H122" i="19"/>
  <c r="G121" i="19"/>
  <c r="X101" i="19"/>
  <c r="H98" i="19"/>
  <c r="G105" i="19"/>
  <c r="G65" i="19"/>
  <c r="H66" i="19"/>
  <c r="X108" i="19"/>
  <c r="W107" i="19"/>
  <c r="P158" i="19"/>
  <c r="E63" i="19"/>
  <c r="E119" i="19"/>
  <c r="I90" i="17"/>
  <c r="M90" i="17"/>
  <c r="L90" i="17"/>
  <c r="K90" i="17"/>
  <c r="J90" i="17"/>
  <c r="S16" i="21"/>
  <c r="R16" i="21"/>
  <c r="T16" i="21"/>
  <c r="P48" i="19"/>
  <c r="P151" i="19"/>
  <c r="C121" i="17"/>
  <c r="J120" i="13"/>
  <c r="L120" i="13"/>
  <c r="W11" i="15"/>
  <c r="Y11" i="15"/>
  <c r="L31" i="10"/>
  <c r="W51" i="12"/>
  <c r="W11" i="12"/>
  <c r="F21" i="10"/>
  <c r="I9" i="6"/>
  <c r="K9" i="6"/>
  <c r="F187" i="3"/>
  <c r="L252" i="8"/>
  <c r="L207" i="8"/>
  <c r="U29" i="12"/>
  <c r="X29" i="12"/>
  <c r="V29" i="12"/>
  <c r="G189" i="3"/>
  <c r="F56" i="10"/>
  <c r="H56" i="10"/>
  <c r="H103" i="10"/>
  <c r="J103" i="10"/>
  <c r="J231" i="8"/>
  <c r="F236" i="8"/>
  <c r="F216" i="30"/>
  <c r="F63" i="30"/>
  <c r="H63" i="30"/>
  <c r="J230" i="30"/>
  <c r="H170" i="30"/>
  <c r="J190" i="30"/>
  <c r="K157" i="28"/>
  <c r="J157" i="28"/>
  <c r="I157" i="28"/>
  <c r="M157" i="28"/>
  <c r="L157" i="28"/>
  <c r="H235" i="24"/>
  <c r="J235" i="24"/>
  <c r="L261" i="24"/>
  <c r="H147" i="24"/>
  <c r="J147" i="24"/>
  <c r="F103" i="24"/>
  <c r="H103" i="24"/>
  <c r="X84" i="19"/>
  <c r="W91" i="19"/>
  <c r="H151" i="19"/>
  <c r="E146" i="43"/>
  <c r="J12" i="41"/>
  <c r="I12" i="41"/>
  <c r="H12" i="41"/>
  <c r="M12" i="41"/>
  <c r="L12" i="41"/>
  <c r="H32" i="35"/>
  <c r="I32" i="35"/>
  <c r="C129" i="37"/>
  <c r="Y13" i="35"/>
  <c r="X13" i="35"/>
  <c r="F15" i="41"/>
  <c r="Y18" i="35"/>
  <c r="AP18" i="35"/>
  <c r="AQ18" i="35"/>
  <c r="I13" i="35"/>
  <c r="H13" i="35"/>
  <c r="L65" i="31"/>
  <c r="F86" i="31"/>
  <c r="H86" i="31"/>
  <c r="F106" i="31"/>
  <c r="H63" i="31"/>
  <c r="J217" i="30"/>
  <c r="L217" i="30"/>
  <c r="J234" i="30"/>
  <c r="J85" i="30"/>
  <c r="L85" i="30"/>
  <c r="K16" i="28"/>
  <c r="I16" i="28"/>
  <c r="L152" i="24"/>
  <c r="F127" i="24"/>
  <c r="H127" i="24"/>
  <c r="X56" i="19"/>
  <c r="X18" i="19"/>
  <c r="W20" i="17"/>
  <c r="Y20" i="17"/>
  <c r="P43" i="19"/>
  <c r="F166" i="8"/>
  <c r="D146" i="43"/>
  <c r="M138" i="43"/>
  <c r="L138" i="43"/>
  <c r="O138" i="43"/>
  <c r="N138" i="43"/>
  <c r="O144" i="43"/>
  <c r="N144" i="43"/>
  <c r="M144" i="43"/>
  <c r="L144" i="43"/>
  <c r="S12" i="41"/>
  <c r="R12" i="41"/>
  <c r="Q12" i="41"/>
  <c r="P12" i="41"/>
  <c r="T12" i="41"/>
  <c r="I138" i="41"/>
  <c r="H138" i="41"/>
  <c r="K138" i="41" s="1"/>
  <c r="G138" i="41"/>
  <c r="M138" i="41"/>
  <c r="L138" i="41"/>
  <c r="F8" i="40"/>
  <c r="I8" i="40"/>
  <c r="H8" i="40"/>
  <c r="X37" i="35"/>
  <c r="Y37" i="35"/>
  <c r="N140" i="42"/>
  <c r="M140" i="42"/>
  <c r="L140" i="42"/>
  <c r="O140" i="42"/>
  <c r="F6" i="39"/>
  <c r="F11" i="39"/>
  <c r="F8" i="39"/>
  <c r="F12" i="39"/>
  <c r="H6" i="39"/>
  <c r="I6" i="39"/>
  <c r="BB16" i="35"/>
  <c r="BA16" i="35"/>
  <c r="AY16" i="35"/>
  <c r="AZ16" i="35"/>
  <c r="AX16" i="35"/>
  <c r="O14" i="35"/>
  <c r="Y11" i="35"/>
  <c r="X11" i="35"/>
  <c r="BB8" i="35"/>
  <c r="BA8" i="35"/>
  <c r="AZ8" i="35"/>
  <c r="AY8" i="35"/>
  <c r="AX8" i="35"/>
  <c r="BB18" i="35"/>
  <c r="AE17" i="35"/>
  <c r="AF17" i="35"/>
  <c r="AE9" i="35"/>
  <c r="AF9" i="35"/>
  <c r="F8" i="41"/>
  <c r="AO30" i="35"/>
  <c r="F7" i="38"/>
  <c r="Y39" i="35"/>
  <c r="X34" i="35"/>
  <c r="J82" i="31"/>
  <c r="L82" i="31"/>
  <c r="J102" i="31"/>
  <c r="F37" i="31"/>
  <c r="I11" i="35"/>
  <c r="H11" i="35"/>
  <c r="L76" i="31"/>
  <c r="L38" i="31"/>
  <c r="F75" i="31"/>
  <c r="H75" i="31"/>
  <c r="F36" i="31"/>
  <c r="F35" i="31"/>
  <c r="F59" i="31"/>
  <c r="H59" i="31"/>
  <c r="F108" i="31"/>
  <c r="J213" i="30"/>
  <c r="L213" i="30"/>
  <c r="L208" i="30"/>
  <c r="J218" i="30"/>
  <c r="H214" i="30"/>
  <c r="J214" i="30"/>
  <c r="H37" i="31"/>
  <c r="J37" i="31"/>
  <c r="H53" i="31"/>
  <c r="J53" i="31"/>
  <c r="H262" i="30"/>
  <c r="F65" i="30"/>
  <c r="F263" i="30"/>
  <c r="L259" i="30"/>
  <c r="L237" i="30"/>
  <c r="F170" i="30"/>
  <c r="J168" i="30"/>
  <c r="H175" i="30"/>
  <c r="L87" i="30"/>
  <c r="F192" i="30"/>
  <c r="L188" i="30"/>
  <c r="J145" i="30"/>
  <c r="H153" i="30"/>
  <c r="J153" i="30"/>
  <c r="J64" i="30"/>
  <c r="L51" i="28"/>
  <c r="K51" i="28"/>
  <c r="I51" i="28"/>
  <c r="M51" i="28"/>
  <c r="J51" i="28"/>
  <c r="F273" i="30"/>
  <c r="L274" i="30"/>
  <c r="H283" i="30"/>
  <c r="L281" i="30"/>
  <c r="L59" i="28"/>
  <c r="K59" i="28"/>
  <c r="I59" i="28"/>
  <c r="J59" i="28"/>
  <c r="M59" i="28"/>
  <c r="M144" i="28"/>
  <c r="L144" i="28"/>
  <c r="I144" i="28"/>
  <c r="K144" i="28"/>
  <c r="J144" i="28"/>
  <c r="K149" i="28"/>
  <c r="J149" i="28"/>
  <c r="I149" i="28"/>
  <c r="M149" i="28"/>
  <c r="L149" i="28"/>
  <c r="I138" i="28"/>
  <c r="H146" i="28"/>
  <c r="M138" i="28"/>
  <c r="L138" i="28"/>
  <c r="K138" i="28"/>
  <c r="J138" i="28"/>
  <c r="M61" i="28"/>
  <c r="K61" i="28"/>
  <c r="L61" i="28"/>
  <c r="I61" i="28"/>
  <c r="J61" i="28"/>
  <c r="E76" i="28"/>
  <c r="J68" i="28"/>
  <c r="L68" i="28"/>
  <c r="L94" i="28"/>
  <c r="J94" i="28"/>
  <c r="E118" i="28"/>
  <c r="L110" i="28"/>
  <c r="J110" i="28"/>
  <c r="F38" i="25"/>
  <c r="F63" i="25"/>
  <c r="F31" i="25"/>
  <c r="F241" i="24"/>
  <c r="H241" i="24"/>
  <c r="L104" i="25"/>
  <c r="L62" i="25"/>
  <c r="J197" i="24"/>
  <c r="L197" i="24"/>
  <c r="H197" i="24"/>
  <c r="L37" i="25"/>
  <c r="Y9" i="22"/>
  <c r="X9" i="22"/>
  <c r="AB9" i="22"/>
  <c r="AA9" i="22"/>
  <c r="Z9" i="22"/>
  <c r="AB15" i="22"/>
  <c r="AB14" i="22"/>
  <c r="AB13" i="22"/>
  <c r="AB20" i="22"/>
  <c r="AB16" i="22"/>
  <c r="AB12" i="22"/>
  <c r="F262" i="24"/>
  <c r="F81" i="24"/>
  <c r="F266" i="24"/>
  <c r="H266" i="24"/>
  <c r="F120" i="24"/>
  <c r="H120" i="24"/>
  <c r="X17" i="19"/>
  <c r="P84" i="19"/>
  <c r="O91" i="19"/>
  <c r="P87" i="19"/>
  <c r="X82" i="19"/>
  <c r="P62" i="19"/>
  <c r="X112" i="19"/>
  <c r="H112" i="19"/>
  <c r="G119" i="19"/>
  <c r="V23" i="19"/>
  <c r="F121" i="19"/>
  <c r="F133" i="19"/>
  <c r="V21" i="17"/>
  <c r="Z13" i="17"/>
  <c r="Y13" i="17"/>
  <c r="X13" i="17"/>
  <c r="W13" i="17"/>
  <c r="AA13" i="17"/>
  <c r="M52" i="17"/>
  <c r="H51" i="17"/>
  <c r="L52" i="17"/>
  <c r="I52" i="17"/>
  <c r="K52" i="17"/>
  <c r="J52" i="17"/>
  <c r="I159" i="17"/>
  <c r="M159" i="17"/>
  <c r="L159" i="17"/>
  <c r="K159" i="17"/>
  <c r="J159" i="17"/>
  <c r="V17" i="14"/>
  <c r="T17" i="14"/>
  <c r="U17" i="14"/>
  <c r="J152" i="17"/>
  <c r="L152" i="17"/>
  <c r="I139" i="13"/>
  <c r="M139" i="13"/>
  <c r="L139" i="13"/>
  <c r="K139" i="13"/>
  <c r="J139" i="13"/>
  <c r="J75" i="13"/>
  <c r="I75" i="13"/>
  <c r="M75" i="13"/>
  <c r="L75" i="13"/>
  <c r="K75" i="13"/>
  <c r="L18" i="10"/>
  <c r="L13" i="10"/>
  <c r="U35" i="19"/>
  <c r="L55" i="8"/>
  <c r="K167" i="3"/>
  <c r="J167" i="3"/>
  <c r="F215" i="8"/>
  <c r="G77" i="17"/>
  <c r="H59" i="8"/>
  <c r="F97" i="10"/>
  <c r="H97" i="10"/>
  <c r="F258" i="8"/>
  <c r="L122" i="24"/>
  <c r="H58" i="24"/>
  <c r="J58" i="24"/>
  <c r="F196" i="24"/>
  <c r="H196" i="24"/>
  <c r="F147" i="24"/>
  <c r="F98" i="24"/>
  <c r="H98" i="24"/>
  <c r="H81" i="24"/>
  <c r="J81" i="24"/>
  <c r="S21" i="22"/>
  <c r="Y13" i="22"/>
  <c r="AA13" i="22"/>
  <c r="F79" i="24"/>
  <c r="H79" i="24"/>
  <c r="R21" i="22"/>
  <c r="F64" i="24"/>
  <c r="H64" i="24"/>
  <c r="F62" i="24"/>
  <c r="F80" i="24"/>
  <c r="F85" i="24"/>
  <c r="F264" i="24"/>
  <c r="F211" i="24"/>
  <c r="H211" i="24"/>
  <c r="F218" i="24"/>
  <c r="H218" i="24"/>
  <c r="F163" i="24"/>
  <c r="H163" i="24"/>
  <c r="L65" i="24"/>
  <c r="L53" i="24"/>
  <c r="F17" i="24"/>
  <c r="H17" i="24"/>
  <c r="F18" i="24"/>
  <c r="H18" i="24"/>
  <c r="X98" i="19"/>
  <c r="H75" i="19"/>
  <c r="R46" i="19"/>
  <c r="P46" i="19"/>
  <c r="G23" i="19"/>
  <c r="H24" i="19"/>
  <c r="H156" i="19"/>
  <c r="J156" i="19"/>
  <c r="H130" i="19"/>
  <c r="X89" i="19"/>
  <c r="H61" i="19"/>
  <c r="J61" i="19"/>
  <c r="P32" i="19"/>
  <c r="H108" i="19"/>
  <c r="G107" i="19"/>
  <c r="J108" i="19"/>
  <c r="H95" i="19"/>
  <c r="X67" i="19"/>
  <c r="H39" i="19"/>
  <c r="J39" i="19"/>
  <c r="J102" i="19"/>
  <c r="H102" i="19"/>
  <c r="H88" i="19"/>
  <c r="H62" i="19"/>
  <c r="P33" i="19"/>
  <c r="P140" i="19"/>
  <c r="X111" i="19"/>
  <c r="W119" i="19"/>
  <c r="P71" i="19"/>
  <c r="P45" i="19"/>
  <c r="X16" i="19"/>
  <c r="X114" i="19"/>
  <c r="W161" i="19"/>
  <c r="X153" i="19"/>
  <c r="X142" i="19"/>
  <c r="P122" i="19"/>
  <c r="O121" i="19"/>
  <c r="O119" i="19"/>
  <c r="P111" i="19"/>
  <c r="P150" i="19"/>
  <c r="O149" i="19"/>
  <c r="H142" i="19"/>
  <c r="J123" i="19"/>
  <c r="H123" i="19"/>
  <c r="H43" i="19"/>
  <c r="F107" i="19"/>
  <c r="H101" i="19"/>
  <c r="V49" i="19"/>
  <c r="X70" i="19"/>
  <c r="V91" i="19"/>
  <c r="V79" i="19"/>
  <c r="X83" i="19"/>
  <c r="V161" i="19"/>
  <c r="H33" i="19"/>
  <c r="H137" i="19"/>
  <c r="F77" i="19"/>
  <c r="F23" i="19"/>
  <c r="H72" i="19"/>
  <c r="H158" i="19"/>
  <c r="H86" i="19"/>
  <c r="E35" i="19"/>
  <c r="J87" i="17"/>
  <c r="I87" i="17"/>
  <c r="M87" i="17"/>
  <c r="L87" i="17"/>
  <c r="K87" i="17"/>
  <c r="K153" i="17"/>
  <c r="J153" i="17"/>
  <c r="I153" i="17"/>
  <c r="H161" i="17"/>
  <c r="M153" i="17"/>
  <c r="L153" i="17"/>
  <c r="F107" i="17"/>
  <c r="E135" i="17"/>
  <c r="Z12" i="17"/>
  <c r="X12" i="17"/>
  <c r="M112" i="17"/>
  <c r="L112" i="17"/>
  <c r="I112" i="17"/>
  <c r="K112" i="17"/>
  <c r="J112" i="17"/>
  <c r="L89" i="17"/>
  <c r="K89" i="17"/>
  <c r="J89" i="17"/>
  <c r="I89" i="17"/>
  <c r="M89" i="17"/>
  <c r="I56" i="17"/>
  <c r="M56" i="17"/>
  <c r="L56" i="17"/>
  <c r="K56" i="17"/>
  <c r="J56" i="17"/>
  <c r="I142" i="17"/>
  <c r="M142" i="17"/>
  <c r="L142" i="17"/>
  <c r="K142" i="17"/>
  <c r="J142" i="17"/>
  <c r="L102" i="17"/>
  <c r="K102" i="17"/>
  <c r="M102" i="17"/>
  <c r="J102" i="17"/>
  <c r="I102" i="17"/>
  <c r="J96" i="17"/>
  <c r="I96" i="17"/>
  <c r="M96" i="17"/>
  <c r="L96" i="17"/>
  <c r="K96" i="17"/>
  <c r="Z15" i="17"/>
  <c r="Y15" i="17"/>
  <c r="X15" i="17"/>
  <c r="W15" i="17"/>
  <c r="F77" i="17"/>
  <c r="K75" i="17"/>
  <c r="J75" i="17"/>
  <c r="M75" i="17"/>
  <c r="I75" i="17"/>
  <c r="L75" i="17"/>
  <c r="E147" i="17"/>
  <c r="E91" i="17"/>
  <c r="Q21" i="15"/>
  <c r="L125" i="13"/>
  <c r="K125" i="13"/>
  <c r="M125" i="13"/>
  <c r="J125" i="13"/>
  <c r="I125" i="13"/>
  <c r="H132" i="13"/>
  <c r="D65" i="17"/>
  <c r="J66" i="17"/>
  <c r="L66" i="17"/>
  <c r="L149" i="13"/>
  <c r="J149" i="13"/>
  <c r="I53" i="13"/>
  <c r="M53" i="13"/>
  <c r="L53" i="13"/>
  <c r="K53" i="13"/>
  <c r="J53" i="13"/>
  <c r="S13" i="21"/>
  <c r="R13" i="21"/>
  <c r="T13" i="21"/>
  <c r="N91" i="19"/>
  <c r="P83" i="19"/>
  <c r="P56" i="19"/>
  <c r="J137" i="13"/>
  <c r="L137" i="13"/>
  <c r="J33" i="13"/>
  <c r="L33" i="13"/>
  <c r="Z19" i="16"/>
  <c r="X19" i="16"/>
  <c r="E146" i="13"/>
  <c r="M152" i="13"/>
  <c r="L152" i="13"/>
  <c r="K152" i="13"/>
  <c r="I152" i="13"/>
  <c r="H160" i="13"/>
  <c r="J152" i="13"/>
  <c r="M83" i="13"/>
  <c r="L83" i="13"/>
  <c r="K83" i="13"/>
  <c r="I83" i="13"/>
  <c r="J83" i="13"/>
  <c r="L24" i="13"/>
  <c r="J24" i="13"/>
  <c r="W41" i="12"/>
  <c r="L77" i="10"/>
  <c r="C90" i="13"/>
  <c r="W21" i="12"/>
  <c r="W45" i="12"/>
  <c r="G53" i="12"/>
  <c r="F41" i="10"/>
  <c r="H85" i="10"/>
  <c r="L214" i="8"/>
  <c r="F78" i="8"/>
  <c r="H78" i="8"/>
  <c r="I40" i="5"/>
  <c r="M40" i="5"/>
  <c r="L40" i="5"/>
  <c r="K40" i="5"/>
  <c r="J40" i="5"/>
  <c r="H194" i="3"/>
  <c r="J183" i="3"/>
  <c r="K183" i="3"/>
  <c r="F273" i="8"/>
  <c r="H273" i="8"/>
  <c r="L259" i="8"/>
  <c r="F102" i="8"/>
  <c r="H102" i="8"/>
  <c r="I18" i="6"/>
  <c r="M18" i="6"/>
  <c r="K18" i="6"/>
  <c r="L18" i="6"/>
  <c r="J18" i="6"/>
  <c r="S46" i="5"/>
  <c r="U46" i="5"/>
  <c r="I27" i="5"/>
  <c r="J27" i="5"/>
  <c r="K27" i="5"/>
  <c r="M27" i="5"/>
  <c r="L27" i="5"/>
  <c r="G186" i="3"/>
  <c r="F127" i="8"/>
  <c r="I140" i="13"/>
  <c r="K140" i="13"/>
  <c r="U53" i="12"/>
  <c r="X53" i="12"/>
  <c r="V53" i="12"/>
  <c r="C55" i="12"/>
  <c r="L123" i="8"/>
  <c r="L30" i="12"/>
  <c r="K30" i="12"/>
  <c r="G48" i="13"/>
  <c r="G34" i="13"/>
  <c r="I120" i="13"/>
  <c r="K120" i="13"/>
  <c r="J283" i="8"/>
  <c r="L283" i="8"/>
  <c r="F168" i="8"/>
  <c r="F230" i="8"/>
  <c r="X9" i="12"/>
  <c r="V9" i="12"/>
  <c r="U9" i="12"/>
  <c r="F215" i="30"/>
  <c r="H36" i="31"/>
  <c r="H42" i="31"/>
  <c r="J42" i="31"/>
  <c r="H41" i="31"/>
  <c r="J41" i="31"/>
  <c r="H76" i="31"/>
  <c r="J76" i="31"/>
  <c r="F79" i="30"/>
  <c r="H79" i="30"/>
  <c r="H58" i="30"/>
  <c r="J233" i="30"/>
  <c r="F143" i="30"/>
  <c r="L65" i="30"/>
  <c r="H53" i="30"/>
  <c r="J53" i="30"/>
  <c r="J252" i="30"/>
  <c r="F254" i="30"/>
  <c r="L255" i="30"/>
  <c r="L260" i="30"/>
  <c r="H261" i="30"/>
  <c r="L251" i="30"/>
  <c r="J261" i="30"/>
  <c r="F229" i="30"/>
  <c r="F234" i="30"/>
  <c r="H239" i="30"/>
  <c r="F231" i="30"/>
  <c r="H231" i="30"/>
  <c r="F236" i="30"/>
  <c r="L240" i="30"/>
  <c r="L170" i="30"/>
  <c r="H168" i="30"/>
  <c r="H173" i="30"/>
  <c r="L163" i="30"/>
  <c r="J173" i="30"/>
  <c r="L173" i="30"/>
  <c r="J125" i="30"/>
  <c r="H194" i="30"/>
  <c r="L189" i="30"/>
  <c r="F188" i="30"/>
  <c r="L185" i="30"/>
  <c r="H186" i="30"/>
  <c r="J196" i="30"/>
  <c r="L196" i="30"/>
  <c r="L193" i="30"/>
  <c r="J120" i="30"/>
  <c r="F128" i="30"/>
  <c r="H131" i="30"/>
  <c r="J126" i="30"/>
  <c r="H149" i="30"/>
  <c r="H152" i="30"/>
  <c r="F142" i="30"/>
  <c r="H145" i="30"/>
  <c r="F126" i="30"/>
  <c r="F64" i="30"/>
  <c r="J60" i="30"/>
  <c r="L60" i="30"/>
  <c r="J62" i="30"/>
  <c r="J75" i="30"/>
  <c r="M108" i="28"/>
  <c r="L108" i="28"/>
  <c r="K108" i="28"/>
  <c r="J108" i="28"/>
  <c r="I108" i="28"/>
  <c r="I65" i="28"/>
  <c r="K65" i="28"/>
  <c r="K18" i="28"/>
  <c r="I18" i="28"/>
  <c r="F276" i="30"/>
  <c r="H284" i="30"/>
  <c r="F278" i="30"/>
  <c r="J276" i="30"/>
  <c r="J281" i="30"/>
  <c r="L276" i="30"/>
  <c r="L58" i="28"/>
  <c r="I58" i="28"/>
  <c r="K58" i="28"/>
  <c r="J58" i="28"/>
  <c r="M58" i="28"/>
  <c r="M142" i="28"/>
  <c r="L142" i="28"/>
  <c r="K142" i="28"/>
  <c r="J142" i="28"/>
  <c r="I142" i="28"/>
  <c r="J31" i="28"/>
  <c r="I31" i="28"/>
  <c r="M31" i="28"/>
  <c r="L31" i="28"/>
  <c r="K31" i="28"/>
  <c r="K71" i="28"/>
  <c r="J71" i="28"/>
  <c r="M71" i="28"/>
  <c r="L71" i="28"/>
  <c r="I71" i="28"/>
  <c r="K140" i="28"/>
  <c r="J140" i="28"/>
  <c r="I140" i="28"/>
  <c r="M140" i="28"/>
  <c r="L140" i="28"/>
  <c r="J143" i="28"/>
  <c r="I143" i="28"/>
  <c r="L143" i="28"/>
  <c r="K143" i="28"/>
  <c r="M143" i="28"/>
  <c r="I78" i="28"/>
  <c r="M78" i="28"/>
  <c r="K78" i="28"/>
  <c r="J78" i="28"/>
  <c r="L78" i="28"/>
  <c r="I155" i="28"/>
  <c r="K155" i="28"/>
  <c r="L155" i="28"/>
  <c r="J155" i="28"/>
  <c r="M155" i="28"/>
  <c r="M89" i="28"/>
  <c r="J89" i="28"/>
  <c r="I89" i="28"/>
  <c r="L89" i="28"/>
  <c r="K89" i="28"/>
  <c r="I67" i="28"/>
  <c r="K67" i="28"/>
  <c r="D62" i="28"/>
  <c r="E146" i="28"/>
  <c r="F132" i="28"/>
  <c r="E20" i="28"/>
  <c r="L19" i="28"/>
  <c r="J19" i="28"/>
  <c r="L25" i="28"/>
  <c r="J25" i="28"/>
  <c r="J145" i="28"/>
  <c r="L145" i="28"/>
  <c r="L101" i="28"/>
  <c r="J101" i="28"/>
  <c r="L113" i="28"/>
  <c r="J113" i="28"/>
  <c r="L39" i="28"/>
  <c r="J39" i="28"/>
  <c r="D160" i="28"/>
  <c r="D118" i="28"/>
  <c r="F239" i="24"/>
  <c r="F57" i="25"/>
  <c r="L260" i="24"/>
  <c r="J236" i="24"/>
  <c r="L236" i="24"/>
  <c r="F79" i="25"/>
  <c r="F82" i="25"/>
  <c r="J260" i="24"/>
  <c r="H236" i="24"/>
  <c r="F39" i="25"/>
  <c r="J237" i="24"/>
  <c r="L237" i="24"/>
  <c r="F233" i="24"/>
  <c r="H233" i="24"/>
  <c r="F237" i="24"/>
  <c r="H237" i="24"/>
  <c r="L192" i="24"/>
  <c r="L170" i="24"/>
  <c r="L148" i="24"/>
  <c r="L126" i="24"/>
  <c r="L77" i="25"/>
  <c r="L109" i="25"/>
  <c r="L38" i="25"/>
  <c r="L54" i="25"/>
  <c r="J210" i="24"/>
  <c r="L210" i="24"/>
  <c r="H208" i="24"/>
  <c r="L217" i="24"/>
  <c r="J189" i="24"/>
  <c r="L189" i="24"/>
  <c r="H169" i="24"/>
  <c r="J169" i="24"/>
  <c r="F151" i="24"/>
  <c r="J131" i="24"/>
  <c r="L131" i="24"/>
  <c r="H57" i="24"/>
  <c r="J57" i="24"/>
  <c r="L59" i="25"/>
  <c r="L80" i="25"/>
  <c r="J190" i="24"/>
  <c r="L190" i="24"/>
  <c r="H170" i="24"/>
  <c r="J170" i="24"/>
  <c r="J56" i="24"/>
  <c r="F144" i="24"/>
  <c r="F106" i="24"/>
  <c r="H106" i="24"/>
  <c r="F82" i="24"/>
  <c r="F76" i="24"/>
  <c r="X10" i="22"/>
  <c r="AA10" i="22"/>
  <c r="Z10" i="22"/>
  <c r="Y10" i="22"/>
  <c r="AB10" i="22"/>
  <c r="Y19" i="22"/>
  <c r="X19" i="22"/>
  <c r="AB19" i="22"/>
  <c r="AA19" i="22"/>
  <c r="Z19" i="22"/>
  <c r="F258" i="24"/>
  <c r="H258" i="24"/>
  <c r="F213" i="24"/>
  <c r="F215" i="24"/>
  <c r="H215" i="24"/>
  <c r="F171" i="24"/>
  <c r="H171" i="24"/>
  <c r="F119" i="24"/>
  <c r="H119" i="24"/>
  <c r="L64" i="24"/>
  <c r="L61" i="24"/>
  <c r="F19" i="24"/>
  <c r="H19" i="24"/>
  <c r="O105" i="19"/>
  <c r="P97" i="19"/>
  <c r="O93" i="19"/>
  <c r="P72" i="19"/>
  <c r="X43" i="19"/>
  <c r="P20" i="19"/>
  <c r="P153" i="19"/>
  <c r="R153" i="19"/>
  <c r="O161" i="19"/>
  <c r="P127" i="19"/>
  <c r="H87" i="19"/>
  <c r="P58" i="19"/>
  <c r="R58" i="19"/>
  <c r="X29" i="19"/>
  <c r="W35" i="19"/>
  <c r="P104" i="19"/>
  <c r="R104" i="19"/>
  <c r="H90" i="19"/>
  <c r="P61" i="19"/>
  <c r="X32" i="19"/>
  <c r="X100" i="19"/>
  <c r="P85" i="19"/>
  <c r="P59" i="19"/>
  <c r="X30" i="19"/>
  <c r="X137" i="19"/>
  <c r="H109" i="19"/>
  <c r="X68" i="19"/>
  <c r="X42" i="19"/>
  <c r="H14" i="19"/>
  <c r="G21" i="19"/>
  <c r="X118" i="19"/>
  <c r="X157" i="19"/>
  <c r="X146" i="19"/>
  <c r="P126" i="19"/>
  <c r="O133" i="19"/>
  <c r="P115" i="19"/>
  <c r="P154" i="19"/>
  <c r="J146" i="19"/>
  <c r="H146" i="19"/>
  <c r="H127" i="19"/>
  <c r="X103" i="19"/>
  <c r="E93" i="19"/>
  <c r="V21" i="19"/>
  <c r="V9" i="19"/>
  <c r="X87" i="19"/>
  <c r="X14" i="19"/>
  <c r="X109" i="19"/>
  <c r="F91" i="19"/>
  <c r="F21" i="19"/>
  <c r="H13" i="19"/>
  <c r="F9" i="19"/>
  <c r="F79" i="19"/>
  <c r="H42" i="19"/>
  <c r="H145" i="19"/>
  <c r="H81" i="19"/>
  <c r="F135" i="19"/>
  <c r="E91" i="19"/>
  <c r="E37" i="19"/>
  <c r="E51" i="19"/>
  <c r="E79" i="17"/>
  <c r="K101" i="17"/>
  <c r="J101" i="17"/>
  <c r="I101" i="17"/>
  <c r="L101" i="17"/>
  <c r="M101" i="17"/>
  <c r="F63" i="17"/>
  <c r="AA19" i="17"/>
  <c r="Z19" i="17"/>
  <c r="W19" i="17"/>
  <c r="Y19" i="17"/>
  <c r="X19" i="17"/>
  <c r="X10" i="17"/>
  <c r="V9" i="17"/>
  <c r="AA11" i="17" s="1"/>
  <c r="W10" i="17"/>
  <c r="AA10" i="17"/>
  <c r="Z10" i="17"/>
  <c r="Y10" i="17"/>
  <c r="M129" i="17"/>
  <c r="L129" i="17"/>
  <c r="I129" i="17"/>
  <c r="K129" i="17"/>
  <c r="J129" i="17"/>
  <c r="L98" i="17"/>
  <c r="K98" i="17"/>
  <c r="J98" i="17"/>
  <c r="I98" i="17"/>
  <c r="M98" i="17"/>
  <c r="H105" i="17"/>
  <c r="I73" i="17"/>
  <c r="M73" i="17"/>
  <c r="L73" i="17"/>
  <c r="K73" i="17"/>
  <c r="J73" i="17"/>
  <c r="I151" i="17"/>
  <c r="M151" i="17"/>
  <c r="L151" i="17"/>
  <c r="K151" i="17"/>
  <c r="J151" i="17"/>
  <c r="H119" i="17"/>
  <c r="L111" i="17"/>
  <c r="K111" i="17"/>
  <c r="M111" i="17"/>
  <c r="J111" i="17"/>
  <c r="I111" i="17"/>
  <c r="K58" i="17"/>
  <c r="J58" i="17"/>
  <c r="M58" i="17"/>
  <c r="I58" i="17"/>
  <c r="L58" i="17"/>
  <c r="E63" i="17"/>
  <c r="L116" i="13"/>
  <c r="K116" i="13"/>
  <c r="I116" i="13"/>
  <c r="M116" i="13"/>
  <c r="J116" i="13"/>
  <c r="L17" i="13"/>
  <c r="K17" i="13"/>
  <c r="M17" i="13"/>
  <c r="J17" i="13"/>
  <c r="I17" i="13"/>
  <c r="J100" i="17"/>
  <c r="L100" i="17"/>
  <c r="I96" i="13"/>
  <c r="H104" i="13"/>
  <c r="M96" i="13"/>
  <c r="L96" i="13"/>
  <c r="K96" i="13"/>
  <c r="J96" i="13"/>
  <c r="I44" i="13"/>
  <c r="M44" i="13"/>
  <c r="L44" i="13"/>
  <c r="K44" i="13"/>
  <c r="J44" i="13"/>
  <c r="S12" i="21"/>
  <c r="R12" i="21"/>
  <c r="T12" i="21"/>
  <c r="S15" i="21"/>
  <c r="R15" i="21"/>
  <c r="T15" i="21"/>
  <c r="O22" i="21"/>
  <c r="P57" i="19"/>
  <c r="P73" i="19"/>
  <c r="P17" i="19"/>
  <c r="N121" i="19"/>
  <c r="N149" i="19"/>
  <c r="T21" i="15"/>
  <c r="J136" i="13"/>
  <c r="I136" i="13"/>
  <c r="M136" i="13"/>
  <c r="L136" i="13"/>
  <c r="K136" i="13"/>
  <c r="J85" i="13"/>
  <c r="L85" i="13"/>
  <c r="L15" i="13"/>
  <c r="K15" i="13"/>
  <c r="J15" i="13"/>
  <c r="M15" i="13"/>
  <c r="I15" i="13"/>
  <c r="T20" i="13"/>
  <c r="K40" i="12"/>
  <c r="J40" i="12"/>
  <c r="N40" i="12"/>
  <c r="M40" i="12"/>
  <c r="L40" i="12"/>
  <c r="I40" i="12"/>
  <c r="W24" i="12"/>
  <c r="K20" i="12"/>
  <c r="J20" i="12"/>
  <c r="I20" i="12"/>
  <c r="N20" i="12"/>
  <c r="M20" i="12"/>
  <c r="L20" i="12"/>
  <c r="L21" i="10"/>
  <c r="L35" i="10"/>
  <c r="U161" i="19"/>
  <c r="U65" i="19"/>
  <c r="U147" i="19"/>
  <c r="H79" i="10"/>
  <c r="F187" i="8"/>
  <c r="F31" i="8"/>
  <c r="H31" i="8"/>
  <c r="K21" i="5"/>
  <c r="I21" i="5"/>
  <c r="H190" i="3"/>
  <c r="K179" i="3"/>
  <c r="J179" i="3"/>
  <c r="J32" i="2"/>
  <c r="K32" i="2"/>
  <c r="J263" i="8"/>
  <c r="L263" i="8"/>
  <c r="H252" i="8"/>
  <c r="J252" i="8"/>
  <c r="L191" i="8"/>
  <c r="V12" i="12"/>
  <c r="U12" i="12"/>
  <c r="X12" i="12"/>
  <c r="F261" i="8"/>
  <c r="K17" i="5"/>
  <c r="J17" i="5"/>
  <c r="I17" i="5"/>
  <c r="M17" i="5"/>
  <c r="L17" i="5"/>
  <c r="M21" i="5"/>
  <c r="M18" i="5"/>
  <c r="J98" i="10"/>
  <c r="L98" i="10"/>
  <c r="F65" i="8"/>
  <c r="L25" i="12"/>
  <c r="K25" i="12"/>
  <c r="X16" i="12"/>
  <c r="V16" i="12"/>
  <c r="U16" i="12"/>
  <c r="H106" i="10"/>
  <c r="L232" i="8"/>
  <c r="J164" i="8"/>
  <c r="J59" i="8"/>
  <c r="L59" i="8"/>
  <c r="F252" i="8"/>
  <c r="L217" i="3"/>
  <c r="M217" i="3"/>
  <c r="N48" i="2"/>
  <c r="L48" i="2"/>
  <c r="M48" i="2"/>
  <c r="K48" i="2"/>
  <c r="J48" i="2"/>
  <c r="J209" i="30"/>
  <c r="L209" i="30"/>
  <c r="H40" i="31"/>
  <c r="H81" i="31"/>
  <c r="J81" i="31"/>
  <c r="H80" i="31"/>
  <c r="J80" i="31"/>
  <c r="H87" i="31"/>
  <c r="J87" i="31"/>
  <c r="H101" i="31"/>
  <c r="F187" i="30"/>
  <c r="F54" i="30"/>
  <c r="J127" i="30"/>
  <c r="F82" i="30"/>
  <c r="H82" i="30"/>
  <c r="H61" i="30"/>
  <c r="J61" i="30"/>
  <c r="H257" i="30"/>
  <c r="J263" i="30"/>
  <c r="H259" i="30"/>
  <c r="F252" i="30"/>
  <c r="H255" i="30"/>
  <c r="H230" i="30"/>
  <c r="H235" i="30"/>
  <c r="H240" i="30"/>
  <c r="L234" i="30"/>
  <c r="L233" i="30"/>
  <c r="L238" i="30"/>
  <c r="L229" i="30"/>
  <c r="J239" i="30"/>
  <c r="L239" i="30"/>
  <c r="H174" i="30"/>
  <c r="F164" i="30"/>
  <c r="H167" i="30"/>
  <c r="H144" i="30"/>
  <c r="J191" i="30"/>
  <c r="L191" i="30"/>
  <c r="H197" i="30"/>
  <c r="J197" i="30"/>
  <c r="H130" i="30"/>
  <c r="L130" i="30"/>
  <c r="H120" i="30"/>
  <c r="F130" i="30"/>
  <c r="L142" i="30"/>
  <c r="J149" i="30"/>
  <c r="L144" i="30"/>
  <c r="F149" i="30"/>
  <c r="F144" i="30"/>
  <c r="F81" i="30"/>
  <c r="H81" i="30"/>
  <c r="F56" i="30"/>
  <c r="J57" i="30"/>
  <c r="J59" i="30"/>
  <c r="L59" i="30"/>
  <c r="L50" i="28"/>
  <c r="M50" i="28"/>
  <c r="K50" i="28"/>
  <c r="J50" i="28"/>
  <c r="I50" i="28"/>
  <c r="K14" i="28"/>
  <c r="G20" i="28"/>
  <c r="I14" i="28"/>
  <c r="L278" i="30"/>
  <c r="L283" i="30"/>
  <c r="J282" i="30"/>
  <c r="F275" i="30"/>
  <c r="F280" i="30"/>
  <c r="H275" i="30"/>
  <c r="F285" i="30"/>
  <c r="H280" i="30"/>
  <c r="J275" i="30"/>
  <c r="L275" i="30"/>
  <c r="M82" i="28"/>
  <c r="L82" i="28"/>
  <c r="J82" i="28"/>
  <c r="I82" i="28"/>
  <c r="H90" i="28"/>
  <c r="K82" i="28"/>
  <c r="L75" i="28"/>
  <c r="K75" i="28"/>
  <c r="J75" i="28"/>
  <c r="M75" i="28"/>
  <c r="I75" i="28"/>
  <c r="K44" i="28"/>
  <c r="I44" i="28"/>
  <c r="I10" i="28"/>
  <c r="K10" i="28"/>
  <c r="K97" i="28"/>
  <c r="J97" i="28"/>
  <c r="I97" i="28"/>
  <c r="M97" i="28"/>
  <c r="L97" i="28"/>
  <c r="J100" i="28"/>
  <c r="I100" i="28"/>
  <c r="M100" i="28"/>
  <c r="L100" i="28"/>
  <c r="K100" i="28"/>
  <c r="I26" i="28"/>
  <c r="H34" i="28"/>
  <c r="M26" i="28"/>
  <c r="K26" i="28"/>
  <c r="J26" i="28"/>
  <c r="L26" i="28"/>
  <c r="I103" i="28"/>
  <c r="M103" i="28"/>
  <c r="L103" i="28"/>
  <c r="K103" i="28"/>
  <c r="J103" i="28"/>
  <c r="M46" i="28"/>
  <c r="L46" i="28"/>
  <c r="J46" i="28"/>
  <c r="I46" i="28"/>
  <c r="K46" i="28"/>
  <c r="M115" i="28"/>
  <c r="K115" i="28"/>
  <c r="J115" i="28"/>
  <c r="L115" i="28"/>
  <c r="I115" i="28"/>
  <c r="G62" i="28"/>
  <c r="G34" i="28"/>
  <c r="I24" i="28"/>
  <c r="K24" i="28"/>
  <c r="I93" i="28"/>
  <c r="K93" i="28"/>
  <c r="L111" i="28"/>
  <c r="J111" i="28"/>
  <c r="J41" i="28"/>
  <c r="L41" i="28"/>
  <c r="L136" i="28"/>
  <c r="J136" i="28"/>
  <c r="L65" i="28"/>
  <c r="J65" i="28"/>
  <c r="J93" i="28"/>
  <c r="L93" i="28"/>
  <c r="F100" i="25"/>
  <c r="J259" i="24"/>
  <c r="L259" i="24"/>
  <c r="F84" i="25"/>
  <c r="H256" i="24"/>
  <c r="J256" i="24"/>
  <c r="F106" i="25"/>
  <c r="L266" i="24"/>
  <c r="L232" i="24"/>
  <c r="F77" i="25"/>
  <c r="F238" i="24"/>
  <c r="L215" i="24"/>
  <c r="H188" i="24"/>
  <c r="J188" i="24"/>
  <c r="H166" i="24"/>
  <c r="J166" i="24"/>
  <c r="H144" i="24"/>
  <c r="J144" i="24"/>
  <c r="H122" i="24"/>
  <c r="J122" i="24"/>
  <c r="L36" i="25"/>
  <c r="L60" i="25"/>
  <c r="L76" i="25"/>
  <c r="L100" i="25"/>
  <c r="J215" i="24"/>
  <c r="H214" i="24"/>
  <c r="L212" i="24"/>
  <c r="J211" i="24"/>
  <c r="L195" i="24"/>
  <c r="L165" i="24"/>
  <c r="L80" i="24"/>
  <c r="F32" i="24"/>
  <c r="H32" i="24"/>
  <c r="J208" i="24"/>
  <c r="L86" i="24"/>
  <c r="L196" i="24"/>
  <c r="L166" i="24"/>
  <c r="L81" i="24"/>
  <c r="F186" i="24"/>
  <c r="H186" i="24"/>
  <c r="F190" i="24"/>
  <c r="H190" i="24"/>
  <c r="F141" i="24"/>
  <c r="H141" i="24"/>
  <c r="H85" i="24"/>
  <c r="J85" i="24"/>
  <c r="AB17" i="22"/>
  <c r="AA17" i="22"/>
  <c r="Z17" i="22"/>
  <c r="Y17" i="22"/>
  <c r="X17" i="22"/>
  <c r="W21" i="22"/>
  <c r="F121" i="24"/>
  <c r="H121" i="24"/>
  <c r="F86" i="24"/>
  <c r="H86" i="24"/>
  <c r="F173" i="24"/>
  <c r="H173" i="24"/>
  <c r="F57" i="24"/>
  <c r="F58" i="24"/>
  <c r="F260" i="24"/>
  <c r="H260" i="24"/>
  <c r="F255" i="24"/>
  <c r="H255" i="24"/>
  <c r="F207" i="24"/>
  <c r="H207" i="24"/>
  <c r="F169" i="24"/>
  <c r="F128" i="24"/>
  <c r="H128" i="24"/>
  <c r="F104" i="24"/>
  <c r="H104" i="24"/>
  <c r="L56" i="24"/>
  <c r="F11" i="24"/>
  <c r="H11" i="24"/>
  <c r="F14" i="24"/>
  <c r="H14" i="24"/>
  <c r="J104" i="19"/>
  <c r="H104" i="19"/>
  <c r="P89" i="19"/>
  <c r="X60" i="19"/>
  <c r="X34" i="19"/>
  <c r="P12" i="19"/>
  <c r="X141" i="19"/>
  <c r="P118" i="19"/>
  <c r="R118" i="19"/>
  <c r="P75" i="19"/>
  <c r="X46" i="19"/>
  <c r="X20" i="19"/>
  <c r="P100" i="19"/>
  <c r="H82" i="19"/>
  <c r="P53" i="19"/>
  <c r="R53" i="19"/>
  <c r="X24" i="19"/>
  <c r="W23" i="19"/>
  <c r="X96" i="19"/>
  <c r="P76" i="19"/>
  <c r="X47" i="19"/>
  <c r="H19" i="19"/>
  <c r="X154" i="19"/>
  <c r="H126" i="19"/>
  <c r="G91" i="19"/>
  <c r="H83" i="19"/>
  <c r="X59" i="19"/>
  <c r="H31" i="19"/>
  <c r="X10" i="19"/>
  <c r="W9" i="19"/>
  <c r="X131" i="19"/>
  <c r="X116" i="19"/>
  <c r="X159" i="19"/>
  <c r="P143" i="19"/>
  <c r="R132" i="19"/>
  <c r="P132" i="19"/>
  <c r="H116" i="19"/>
  <c r="H159" i="19"/>
  <c r="H140" i="19"/>
  <c r="X19" i="19"/>
  <c r="V35" i="19"/>
  <c r="X27" i="19"/>
  <c r="X130" i="19"/>
  <c r="V63" i="19"/>
  <c r="V149" i="19"/>
  <c r="V77" i="19"/>
  <c r="X48" i="19"/>
  <c r="X143" i="19"/>
  <c r="H76" i="19"/>
  <c r="F35" i="19"/>
  <c r="H29" i="19"/>
  <c r="H124" i="19"/>
  <c r="F161" i="19"/>
  <c r="F105" i="19"/>
  <c r="H97" i="19"/>
  <c r="X62" i="19"/>
  <c r="E135" i="19"/>
  <c r="E23" i="19"/>
  <c r="F119" i="17"/>
  <c r="K84" i="17"/>
  <c r="J84" i="17"/>
  <c r="I84" i="17"/>
  <c r="M84" i="17"/>
  <c r="L84" i="17"/>
  <c r="H91" i="17"/>
  <c r="M160" i="17"/>
  <c r="J160" i="17"/>
  <c r="I160" i="17"/>
  <c r="L160" i="17"/>
  <c r="K160" i="17"/>
  <c r="M57" i="17"/>
  <c r="J57" i="17"/>
  <c r="I57" i="17"/>
  <c r="L57" i="17"/>
  <c r="K57" i="17"/>
  <c r="M69" i="17"/>
  <c r="L69" i="17"/>
  <c r="I69" i="17"/>
  <c r="H77" i="17"/>
  <c r="K69" i="17"/>
  <c r="J69" i="17"/>
  <c r="H65" i="17"/>
  <c r="M155" i="17"/>
  <c r="L155" i="17"/>
  <c r="I155" i="17"/>
  <c r="K155" i="17"/>
  <c r="J155" i="17"/>
  <c r="L132" i="17"/>
  <c r="K132" i="17"/>
  <c r="J132" i="17"/>
  <c r="I132" i="17"/>
  <c r="M132" i="17"/>
  <c r="I99" i="17"/>
  <c r="M99" i="17"/>
  <c r="L99" i="17"/>
  <c r="K99" i="17"/>
  <c r="J99" i="17"/>
  <c r="L68" i="17"/>
  <c r="K68" i="17"/>
  <c r="M68" i="17"/>
  <c r="J68" i="17"/>
  <c r="I68" i="17"/>
  <c r="L145" i="17"/>
  <c r="K145" i="17"/>
  <c r="M145" i="17"/>
  <c r="J145" i="17"/>
  <c r="I145" i="17"/>
  <c r="T9" i="17"/>
  <c r="F135" i="17"/>
  <c r="E51" i="17"/>
  <c r="L151" i="13"/>
  <c r="K151" i="13"/>
  <c r="M151" i="13"/>
  <c r="J151" i="13"/>
  <c r="I151" i="13"/>
  <c r="J54" i="17"/>
  <c r="L54" i="17"/>
  <c r="D121" i="17"/>
  <c r="I79" i="13"/>
  <c r="M79" i="13"/>
  <c r="L79" i="13"/>
  <c r="J79" i="13"/>
  <c r="K79" i="13"/>
  <c r="I27" i="13"/>
  <c r="M27" i="13"/>
  <c r="L27" i="13"/>
  <c r="K27" i="13"/>
  <c r="J27" i="13"/>
  <c r="S14" i="21"/>
  <c r="R14" i="21"/>
  <c r="T14" i="21"/>
  <c r="Q22" i="21"/>
  <c r="P102" i="19"/>
  <c r="P86" i="19"/>
  <c r="C93" i="17"/>
  <c r="S21" i="15"/>
  <c r="Z11" i="15"/>
  <c r="X11" i="15"/>
  <c r="Z20" i="15"/>
  <c r="Y20" i="15"/>
  <c r="W20" i="15"/>
  <c r="AA20" i="15"/>
  <c r="X20" i="15"/>
  <c r="J111" i="13"/>
  <c r="L111" i="13"/>
  <c r="J59" i="13"/>
  <c r="L59" i="13"/>
  <c r="Q21" i="16"/>
  <c r="T22" i="14"/>
  <c r="L112" i="13"/>
  <c r="K112" i="13"/>
  <c r="J112" i="13"/>
  <c r="I112" i="13"/>
  <c r="M112" i="13"/>
  <c r="L43" i="13"/>
  <c r="K43" i="13"/>
  <c r="J43" i="13"/>
  <c r="I43" i="13"/>
  <c r="M43" i="13"/>
  <c r="M126" i="13"/>
  <c r="L126" i="13"/>
  <c r="K126" i="13"/>
  <c r="I126" i="13"/>
  <c r="J126" i="13"/>
  <c r="AA18" i="13"/>
  <c r="Y18" i="13"/>
  <c r="X18" i="13"/>
  <c r="Z18" i="13"/>
  <c r="W18" i="13"/>
  <c r="W40" i="12"/>
  <c r="L61" i="10"/>
  <c r="C20" i="13"/>
  <c r="N42" i="12"/>
  <c r="K42" i="12"/>
  <c r="J42" i="12"/>
  <c r="L42" i="12"/>
  <c r="I42" i="12"/>
  <c r="M42" i="12"/>
  <c r="A15" i="12"/>
  <c r="J15" i="12"/>
  <c r="I15" i="12"/>
  <c r="I43" i="12"/>
  <c r="M43" i="12"/>
  <c r="L43" i="12"/>
  <c r="N43" i="12"/>
  <c r="K43" i="12"/>
  <c r="J43" i="12"/>
  <c r="L105" i="10"/>
  <c r="F11" i="10"/>
  <c r="H11" i="10"/>
  <c r="J78" i="8"/>
  <c r="L100" i="10"/>
  <c r="U135" i="19"/>
  <c r="F141" i="8"/>
  <c r="H141" i="8"/>
  <c r="T30" i="5"/>
  <c r="W30" i="5"/>
  <c r="V30" i="5"/>
  <c r="U30" i="5"/>
  <c r="S30" i="5"/>
  <c r="M13" i="5"/>
  <c r="J13" i="5"/>
  <c r="L13" i="5"/>
  <c r="I13" i="5"/>
  <c r="K13" i="5"/>
  <c r="J163" i="3"/>
  <c r="K163" i="3"/>
  <c r="F78" i="10"/>
  <c r="H256" i="8"/>
  <c r="F229" i="8"/>
  <c r="H229" i="8"/>
  <c r="J217" i="8"/>
  <c r="L217" i="8"/>
  <c r="H190" i="8"/>
  <c r="J190" i="8"/>
  <c r="F209" i="8"/>
  <c r="L50" i="5"/>
  <c r="J50" i="5"/>
  <c r="J209" i="3"/>
  <c r="K209" i="3"/>
  <c r="U33" i="12"/>
  <c r="X33" i="12"/>
  <c r="V33" i="12"/>
  <c r="G91" i="17"/>
  <c r="I83" i="17"/>
  <c r="K83" i="17"/>
  <c r="K54" i="17"/>
  <c r="I54" i="17"/>
  <c r="L164" i="8"/>
  <c r="F64" i="10"/>
  <c r="H64" i="10"/>
  <c r="K208" i="3"/>
  <c r="J208" i="3"/>
  <c r="M41" i="6"/>
  <c r="L41" i="6"/>
  <c r="K41" i="6"/>
  <c r="J41" i="6"/>
  <c r="I41" i="6"/>
  <c r="K38" i="12"/>
  <c r="L38" i="12"/>
  <c r="L124" i="8"/>
  <c r="L279" i="8"/>
  <c r="L231" i="8"/>
  <c r="F105" i="8"/>
  <c r="H105" i="8"/>
  <c r="F175" i="8"/>
  <c r="H175" i="8"/>
  <c r="F284" i="8"/>
  <c r="H284" i="8"/>
  <c r="L162" i="3"/>
  <c r="M162" i="3"/>
  <c r="G17" i="2"/>
  <c r="H219" i="30"/>
  <c r="J219" i="30"/>
  <c r="H62" i="31"/>
  <c r="J62" i="31"/>
  <c r="H43" i="31"/>
  <c r="J43" i="31"/>
  <c r="H97" i="31"/>
  <c r="H77" i="31"/>
  <c r="H108" i="31"/>
  <c r="J108" i="31"/>
  <c r="H109" i="31"/>
  <c r="J109" i="31"/>
  <c r="J167" i="30"/>
  <c r="L167" i="30"/>
  <c r="L125" i="30"/>
  <c r="J169" i="30"/>
  <c r="L126" i="30"/>
  <c r="H80" i="30"/>
  <c r="F251" i="30"/>
  <c r="J251" i="30"/>
  <c r="H251" i="30"/>
  <c r="F261" i="30"/>
  <c r="H256" i="30"/>
  <c r="F257" i="30"/>
  <c r="J237" i="30"/>
  <c r="J229" i="30"/>
  <c r="J235" i="30"/>
  <c r="L230" i="30"/>
  <c r="J240" i="30"/>
  <c r="H236" i="30"/>
  <c r="J231" i="30"/>
  <c r="H166" i="30"/>
  <c r="L172" i="30"/>
  <c r="F169" i="30"/>
  <c r="H172" i="30"/>
  <c r="L186" i="30"/>
  <c r="J185" i="30"/>
  <c r="H195" i="30"/>
  <c r="L194" i="30"/>
  <c r="F193" i="30"/>
  <c r="H192" i="30"/>
  <c r="H189" i="30"/>
  <c r="H127" i="30"/>
  <c r="L122" i="30"/>
  <c r="F127" i="30"/>
  <c r="F122" i="30"/>
  <c r="H122" i="30"/>
  <c r="J141" i="30"/>
  <c r="J146" i="30"/>
  <c r="F141" i="30"/>
  <c r="L149" i="30"/>
  <c r="F146" i="30"/>
  <c r="J63" i="30"/>
  <c r="J65" i="30"/>
  <c r="J78" i="30"/>
  <c r="L78" i="30"/>
  <c r="K128" i="28"/>
  <c r="I128" i="28"/>
  <c r="I87" i="28"/>
  <c r="K87" i="28"/>
  <c r="K11" i="28"/>
  <c r="I11" i="28"/>
  <c r="C104" i="28"/>
  <c r="H274" i="30"/>
  <c r="F277" i="30"/>
  <c r="F282" i="30"/>
  <c r="H282" i="30"/>
  <c r="H285" i="30"/>
  <c r="M122" i="28"/>
  <c r="L122" i="28"/>
  <c r="K122" i="28"/>
  <c r="I122" i="28"/>
  <c r="J122" i="28"/>
  <c r="J74" i="28"/>
  <c r="I74" i="28"/>
  <c r="K74" i="28"/>
  <c r="M74" i="28"/>
  <c r="L74" i="28"/>
  <c r="L42" i="28"/>
  <c r="K42" i="28"/>
  <c r="I42" i="28"/>
  <c r="M42" i="28"/>
  <c r="J42" i="28"/>
  <c r="I39" i="28"/>
  <c r="K39" i="28"/>
  <c r="M148" i="28"/>
  <c r="L148" i="28"/>
  <c r="K148" i="28"/>
  <c r="J148" i="28"/>
  <c r="I148" i="28"/>
  <c r="K106" i="28"/>
  <c r="J106" i="28"/>
  <c r="I106" i="28"/>
  <c r="M106" i="28"/>
  <c r="L106" i="28"/>
  <c r="J109" i="28"/>
  <c r="I109" i="28"/>
  <c r="M109" i="28"/>
  <c r="L109" i="28"/>
  <c r="K109" i="28"/>
  <c r="I43" i="28"/>
  <c r="J43" i="28"/>
  <c r="L43" i="28"/>
  <c r="K43" i="28"/>
  <c r="M43" i="28"/>
  <c r="I112" i="28"/>
  <c r="L112" i="28"/>
  <c r="K112" i="28"/>
  <c r="M112" i="28"/>
  <c r="J112" i="28"/>
  <c r="H118" i="28"/>
  <c r="M55" i="28"/>
  <c r="K55" i="28"/>
  <c r="J55" i="28"/>
  <c r="L55" i="28"/>
  <c r="I55" i="28"/>
  <c r="H132" i="28"/>
  <c r="M124" i="28"/>
  <c r="L124" i="28"/>
  <c r="K124" i="28"/>
  <c r="I124" i="28"/>
  <c r="J124" i="28"/>
  <c r="L85" i="28"/>
  <c r="K85" i="28"/>
  <c r="I85" i="28"/>
  <c r="J85" i="28"/>
  <c r="M85" i="28"/>
  <c r="H20" i="28"/>
  <c r="L12" i="28"/>
  <c r="K12" i="28"/>
  <c r="I12" i="28"/>
  <c r="M12" i="28"/>
  <c r="J12" i="28"/>
  <c r="G90" i="28"/>
  <c r="I83" i="28"/>
  <c r="K83" i="28"/>
  <c r="G160" i="28"/>
  <c r="K101" i="28"/>
  <c r="I101" i="28"/>
  <c r="F146" i="28"/>
  <c r="E132" i="28"/>
  <c r="J70" i="28"/>
  <c r="L70" i="28"/>
  <c r="J151" i="28"/>
  <c r="L151" i="28"/>
  <c r="F34" i="28"/>
  <c r="D20" i="28"/>
  <c r="F35" i="25"/>
  <c r="L257" i="24"/>
  <c r="J233" i="24"/>
  <c r="L233" i="24"/>
  <c r="H230" i="24"/>
  <c r="J230" i="24"/>
  <c r="F109" i="25"/>
  <c r="F55" i="25"/>
  <c r="H265" i="24"/>
  <c r="J265" i="24"/>
  <c r="J255" i="24"/>
  <c r="L255" i="24"/>
  <c r="L99" i="25"/>
  <c r="F232" i="24"/>
  <c r="H232" i="24"/>
  <c r="L214" i="24"/>
  <c r="L56" i="25"/>
  <c r="L55" i="25"/>
  <c r="L79" i="25"/>
  <c r="L84" i="25"/>
  <c r="L108" i="25"/>
  <c r="J214" i="24"/>
  <c r="F195" i="24"/>
  <c r="J175" i="24"/>
  <c r="L175" i="24"/>
  <c r="J145" i="24"/>
  <c r="L145" i="24"/>
  <c r="H125" i="24"/>
  <c r="J125" i="24"/>
  <c r="L207" i="24"/>
  <c r="L78" i="24"/>
  <c r="J217" i="24"/>
  <c r="J146" i="24"/>
  <c r="L146" i="24"/>
  <c r="H126" i="24"/>
  <c r="J126" i="24"/>
  <c r="J75" i="24"/>
  <c r="L75" i="24"/>
  <c r="F194" i="24"/>
  <c r="H194" i="24"/>
  <c r="F170" i="24"/>
  <c r="F149" i="24"/>
  <c r="H149" i="24"/>
  <c r="F97" i="24"/>
  <c r="H97" i="24"/>
  <c r="H82" i="24"/>
  <c r="X16" i="22"/>
  <c r="Z16" i="22"/>
  <c r="V21" i="22"/>
  <c r="F129" i="24"/>
  <c r="H129" i="24"/>
  <c r="F65" i="24"/>
  <c r="AA15" i="22"/>
  <c r="Y15" i="22"/>
  <c r="F61" i="24"/>
  <c r="F259" i="24"/>
  <c r="H259" i="24"/>
  <c r="F263" i="24"/>
  <c r="H263" i="24"/>
  <c r="F219" i="24"/>
  <c r="F166" i="24"/>
  <c r="F125" i="24"/>
  <c r="L54" i="24"/>
  <c r="F12" i="24"/>
  <c r="H12" i="24"/>
  <c r="F13" i="24"/>
  <c r="H13" i="24"/>
  <c r="X102" i="19"/>
  <c r="X86" i="19"/>
  <c r="H58" i="19"/>
  <c r="H32" i="19"/>
  <c r="H139" i="19"/>
  <c r="G147" i="19"/>
  <c r="X115" i="19"/>
  <c r="X72" i="19"/>
  <c r="H44" i="19"/>
  <c r="H18" i="19"/>
  <c r="H99" i="19"/>
  <c r="X75" i="19"/>
  <c r="H47" i="19"/>
  <c r="O107" i="19"/>
  <c r="P108" i="19"/>
  <c r="P95" i="19"/>
  <c r="X73" i="19"/>
  <c r="H45" i="19"/>
  <c r="P16" i="19"/>
  <c r="H152" i="19"/>
  <c r="P123" i="19"/>
  <c r="R80" i="19"/>
  <c r="O79" i="19"/>
  <c r="P80" i="19"/>
  <c r="H57" i="19"/>
  <c r="P28" i="19"/>
  <c r="R10" i="19"/>
  <c r="P10" i="19"/>
  <c r="O9" i="19"/>
  <c r="R38" i="19" s="1"/>
  <c r="W135" i="19"/>
  <c r="X136" i="19"/>
  <c r="W133" i="19"/>
  <c r="X125" i="19"/>
  <c r="W121" i="19"/>
  <c r="R109" i="19"/>
  <c r="P109" i="19"/>
  <c r="R152" i="19"/>
  <c r="P152" i="19"/>
  <c r="P137" i="19"/>
  <c r="G133" i="19"/>
  <c r="H125" i="19"/>
  <c r="H110" i="19"/>
  <c r="H144" i="19"/>
  <c r="H60" i="19"/>
  <c r="X44" i="19"/>
  <c r="V147" i="19"/>
  <c r="X139" i="19"/>
  <c r="X57" i="19"/>
  <c r="X152" i="19"/>
  <c r="V135" i="19"/>
  <c r="V133" i="19"/>
  <c r="H85" i="19"/>
  <c r="F147" i="19"/>
  <c r="F37" i="19"/>
  <c r="H38" i="19"/>
  <c r="H132" i="19"/>
  <c r="E105" i="19"/>
  <c r="E147" i="19"/>
  <c r="J156" i="17"/>
  <c r="I156" i="17"/>
  <c r="M156" i="17"/>
  <c r="L156" i="17"/>
  <c r="K156" i="17"/>
  <c r="J104" i="17"/>
  <c r="I104" i="17"/>
  <c r="M104" i="17"/>
  <c r="L104" i="17"/>
  <c r="K104" i="17"/>
  <c r="F133" i="17"/>
  <c r="U21" i="17"/>
  <c r="U9" i="17"/>
  <c r="W17" i="17"/>
  <c r="AA17" i="17"/>
  <c r="Z17" i="17"/>
  <c r="X17" i="17"/>
  <c r="Y17" i="17"/>
  <c r="E161" i="17"/>
  <c r="E149" i="17"/>
  <c r="M109" i="17"/>
  <c r="J109" i="17"/>
  <c r="I109" i="17"/>
  <c r="L109" i="17"/>
  <c r="K109" i="17"/>
  <c r="Z16" i="17"/>
  <c r="X16" i="17"/>
  <c r="M86" i="17"/>
  <c r="L86" i="17"/>
  <c r="I86" i="17"/>
  <c r="K86" i="17"/>
  <c r="J86" i="17"/>
  <c r="L55" i="17"/>
  <c r="K55" i="17"/>
  <c r="H63" i="17"/>
  <c r="J55" i="17"/>
  <c r="I55" i="17"/>
  <c r="M55" i="17"/>
  <c r="L141" i="17"/>
  <c r="K141" i="17"/>
  <c r="J141" i="17"/>
  <c r="I141" i="17"/>
  <c r="M141" i="17"/>
  <c r="I108" i="17"/>
  <c r="M108" i="17"/>
  <c r="H107" i="17"/>
  <c r="L108" i="17"/>
  <c r="K108" i="17"/>
  <c r="J108" i="17"/>
  <c r="L76" i="17"/>
  <c r="K76" i="17"/>
  <c r="M76" i="17"/>
  <c r="I76" i="17"/>
  <c r="J76" i="17"/>
  <c r="L154" i="17"/>
  <c r="K154" i="17"/>
  <c r="M154" i="17"/>
  <c r="J154" i="17"/>
  <c r="I154" i="17"/>
  <c r="J61" i="17"/>
  <c r="I61" i="17"/>
  <c r="M61" i="17"/>
  <c r="L61" i="17"/>
  <c r="K61" i="17"/>
  <c r="F121" i="17"/>
  <c r="E77" i="17"/>
  <c r="D146" i="13"/>
  <c r="E48" i="13"/>
  <c r="J88" i="17"/>
  <c r="L88" i="17"/>
  <c r="D107" i="17"/>
  <c r="D161" i="17"/>
  <c r="T16" i="14"/>
  <c r="V16" i="14"/>
  <c r="U16" i="14"/>
  <c r="S23" i="14"/>
  <c r="I122" i="13"/>
  <c r="M122" i="13"/>
  <c r="L122" i="13"/>
  <c r="K122" i="13"/>
  <c r="J122" i="13"/>
  <c r="J71" i="13"/>
  <c r="L71" i="13"/>
  <c r="L16" i="13"/>
  <c r="J16" i="13"/>
  <c r="N23" i="19"/>
  <c r="N37" i="19"/>
  <c r="P112" i="19"/>
  <c r="N119" i="19"/>
  <c r="C65" i="17"/>
  <c r="U21" i="15"/>
  <c r="J110" i="13"/>
  <c r="I110" i="13"/>
  <c r="H118" i="13"/>
  <c r="M110" i="13"/>
  <c r="K110" i="13"/>
  <c r="L110" i="13"/>
  <c r="J58" i="13"/>
  <c r="I58" i="13"/>
  <c r="M58" i="13"/>
  <c r="L58" i="13"/>
  <c r="K58" i="13"/>
  <c r="W15" i="16"/>
  <c r="Y15" i="16"/>
  <c r="T14" i="14"/>
  <c r="V20" i="14"/>
  <c r="T20" i="14"/>
  <c r="U20" i="14"/>
  <c r="M109" i="13"/>
  <c r="L109" i="13"/>
  <c r="K109" i="13"/>
  <c r="I109" i="13"/>
  <c r="J109" i="13"/>
  <c r="W44" i="12"/>
  <c r="J17" i="10"/>
  <c r="L17" i="10"/>
  <c r="F55" i="12"/>
  <c r="I47" i="12"/>
  <c r="M47" i="12"/>
  <c r="L47" i="12"/>
  <c r="N47" i="12"/>
  <c r="K47" i="12"/>
  <c r="J47" i="12"/>
  <c r="H41" i="10"/>
  <c r="J41" i="10"/>
  <c r="J75" i="8"/>
  <c r="W29" i="12"/>
  <c r="G56" i="12"/>
  <c r="L97" i="10"/>
  <c r="J42" i="10"/>
  <c r="H9" i="10"/>
  <c r="J83" i="10"/>
  <c r="AA13" i="13"/>
  <c r="Z13" i="13"/>
  <c r="W13" i="13"/>
  <c r="Y13" i="13"/>
  <c r="X13" i="13"/>
  <c r="F129" i="8"/>
  <c r="F84" i="8"/>
  <c r="I29" i="5"/>
  <c r="K29" i="5"/>
  <c r="F193" i="3"/>
  <c r="F86" i="10"/>
  <c r="H86" i="10"/>
  <c r="L262" i="8"/>
  <c r="L196" i="8"/>
  <c r="L126" i="8"/>
  <c r="H56" i="8"/>
  <c r="I26" i="6"/>
  <c r="J26" i="6"/>
  <c r="M26" i="6"/>
  <c r="K26" i="6"/>
  <c r="L26" i="6"/>
  <c r="I35" i="5"/>
  <c r="K35" i="5"/>
  <c r="J35" i="5"/>
  <c r="M35" i="5"/>
  <c r="L35" i="5"/>
  <c r="G67" i="2"/>
  <c r="F195" i="8"/>
  <c r="J37" i="6"/>
  <c r="I37" i="6"/>
  <c r="L37" i="6"/>
  <c r="K37" i="6"/>
  <c r="M37" i="6"/>
  <c r="H193" i="3"/>
  <c r="J182" i="3"/>
  <c r="K182" i="3"/>
  <c r="X39" i="12"/>
  <c r="U39" i="12"/>
  <c r="V39" i="12"/>
  <c r="G107" i="17"/>
  <c r="I62" i="17"/>
  <c r="K62" i="17"/>
  <c r="J166" i="8"/>
  <c r="L83" i="8"/>
  <c r="S52" i="5"/>
  <c r="U52" i="5"/>
  <c r="F185" i="8"/>
  <c r="H185" i="8"/>
  <c r="H196" i="3"/>
  <c r="K196" i="3" s="1"/>
  <c r="K185" i="3"/>
  <c r="J185" i="3"/>
  <c r="F18" i="2"/>
  <c r="H195" i="3"/>
  <c r="I32" i="13"/>
  <c r="K32" i="13"/>
  <c r="K64" i="13"/>
  <c r="I64" i="13"/>
  <c r="I159" i="13"/>
  <c r="K159" i="13"/>
  <c r="J281" i="8"/>
  <c r="L234" i="8"/>
  <c r="L141" i="8"/>
  <c r="F104" i="8"/>
  <c r="H104" i="8"/>
  <c r="F189" i="8"/>
  <c r="W52" i="6"/>
  <c r="V52" i="6"/>
  <c r="U52" i="6"/>
  <c r="T52" i="6"/>
  <c r="S52" i="6"/>
  <c r="N13" i="2"/>
  <c r="L13" i="2"/>
  <c r="M13" i="2"/>
  <c r="K13" i="2"/>
  <c r="J13" i="2"/>
  <c r="N14" i="2"/>
  <c r="N15" i="2"/>
  <c r="H31" i="31"/>
  <c r="H78" i="31"/>
  <c r="H105" i="31"/>
  <c r="H85" i="31"/>
  <c r="H38" i="31"/>
  <c r="J38" i="31"/>
  <c r="H98" i="31"/>
  <c r="F165" i="30"/>
  <c r="L62" i="30"/>
  <c r="L123" i="30"/>
  <c r="L57" i="30"/>
  <c r="J260" i="30"/>
  <c r="L253" i="30"/>
  <c r="F255" i="30"/>
  <c r="F253" i="30"/>
  <c r="H253" i="30"/>
  <c r="F258" i="30"/>
  <c r="L257" i="30"/>
  <c r="L262" i="30"/>
  <c r="F233" i="30"/>
  <c r="H238" i="30"/>
  <c r="J232" i="30"/>
  <c r="F238" i="30"/>
  <c r="H241" i="30"/>
  <c r="F168" i="30"/>
  <c r="L164" i="30"/>
  <c r="J174" i="30"/>
  <c r="L169" i="30"/>
  <c r="L174" i="30"/>
  <c r="H164" i="30"/>
  <c r="F174" i="30"/>
  <c r="J131" i="30"/>
  <c r="J188" i="30"/>
  <c r="H196" i="30"/>
  <c r="L195" i="30"/>
  <c r="F194" i="30"/>
  <c r="F191" i="30"/>
  <c r="H171" i="30"/>
  <c r="H124" i="30"/>
  <c r="J124" i="30"/>
  <c r="L127" i="30"/>
  <c r="L148" i="30"/>
  <c r="H151" i="30"/>
  <c r="L141" i="30"/>
  <c r="J151" i="30"/>
  <c r="H185" i="30"/>
  <c r="J142" i="30"/>
  <c r="F119" i="30"/>
  <c r="H119" i="30"/>
  <c r="L75" i="30"/>
  <c r="J58" i="30"/>
  <c r="L58" i="30"/>
  <c r="J76" i="30"/>
  <c r="J86" i="30"/>
  <c r="L86" i="30"/>
  <c r="M125" i="28"/>
  <c r="L125" i="28"/>
  <c r="K125" i="28"/>
  <c r="J125" i="28"/>
  <c r="I125" i="28"/>
  <c r="C118" i="28"/>
  <c r="J285" i="30"/>
  <c r="J277" i="30"/>
  <c r="J274" i="30"/>
  <c r="L285" i="30"/>
  <c r="F274" i="30"/>
  <c r="H277" i="30"/>
  <c r="J40" i="28"/>
  <c r="I40" i="28"/>
  <c r="K40" i="28"/>
  <c r="H48" i="28"/>
  <c r="M40" i="28"/>
  <c r="L40" i="28"/>
  <c r="J80" i="30"/>
  <c r="L80" i="30"/>
  <c r="L120" i="28"/>
  <c r="K120" i="28"/>
  <c r="J120" i="28"/>
  <c r="I120" i="28"/>
  <c r="M120" i="28"/>
  <c r="G76" i="28"/>
  <c r="K68" i="28"/>
  <c r="I68" i="28"/>
  <c r="I37" i="28"/>
  <c r="K37" i="28"/>
  <c r="M156" i="28"/>
  <c r="L156" i="28"/>
  <c r="K156" i="28"/>
  <c r="J156" i="28"/>
  <c r="I156" i="28"/>
  <c r="K114" i="28"/>
  <c r="J114" i="28"/>
  <c r="I114" i="28"/>
  <c r="L114" i="28"/>
  <c r="M114" i="28"/>
  <c r="J117" i="28"/>
  <c r="I117" i="28"/>
  <c r="M117" i="28"/>
  <c r="K117" i="28"/>
  <c r="L117" i="28"/>
  <c r="I52" i="28"/>
  <c r="K52" i="28"/>
  <c r="J52" i="28"/>
  <c r="M52" i="28"/>
  <c r="L52" i="28"/>
  <c r="I121" i="28"/>
  <c r="M121" i="28"/>
  <c r="L121" i="28"/>
  <c r="J121" i="28"/>
  <c r="K121" i="28"/>
  <c r="M64" i="28"/>
  <c r="L64" i="28"/>
  <c r="K64" i="28"/>
  <c r="I64" i="28"/>
  <c r="J64" i="28"/>
  <c r="M141" i="28"/>
  <c r="J141" i="28"/>
  <c r="L141" i="28"/>
  <c r="K141" i="28"/>
  <c r="I141" i="28"/>
  <c r="L84" i="28"/>
  <c r="M84" i="28"/>
  <c r="K84" i="28"/>
  <c r="I84" i="28"/>
  <c r="J84" i="28"/>
  <c r="I41" i="28"/>
  <c r="G48" i="28"/>
  <c r="K41" i="28"/>
  <c r="G118" i="28"/>
  <c r="I110" i="28"/>
  <c r="K110" i="28"/>
  <c r="D104" i="28"/>
  <c r="F90" i="28"/>
  <c r="F104" i="28"/>
  <c r="E160" i="28"/>
  <c r="L153" i="28"/>
  <c r="J153" i="28"/>
  <c r="L79" i="28"/>
  <c r="J79" i="28"/>
  <c r="E90" i="28"/>
  <c r="F20" i="28"/>
  <c r="D146" i="28"/>
  <c r="F81" i="25"/>
  <c r="F257" i="24"/>
  <c r="L231" i="24"/>
  <c r="F76" i="25"/>
  <c r="H264" i="24"/>
  <c r="J264" i="24"/>
  <c r="F98" i="25"/>
  <c r="L240" i="24"/>
  <c r="L86" i="25"/>
  <c r="F240" i="24"/>
  <c r="H240" i="24"/>
  <c r="L211" i="24"/>
  <c r="J186" i="24"/>
  <c r="L186" i="24"/>
  <c r="J164" i="24"/>
  <c r="L164" i="24"/>
  <c r="J142" i="24"/>
  <c r="L142" i="24"/>
  <c r="J120" i="24"/>
  <c r="L120" i="24"/>
  <c r="L31" i="25"/>
  <c r="L63" i="25"/>
  <c r="L87" i="25"/>
  <c r="L103" i="25"/>
  <c r="H217" i="24"/>
  <c r="H213" i="24"/>
  <c r="L173" i="24"/>
  <c r="L143" i="24"/>
  <c r="H65" i="24"/>
  <c r="J65" i="24"/>
  <c r="H189" i="24"/>
  <c r="J61" i="24"/>
  <c r="L174" i="24"/>
  <c r="L144" i="24"/>
  <c r="J64" i="24"/>
  <c r="F191" i="24"/>
  <c r="F142" i="24"/>
  <c r="H142" i="24"/>
  <c r="F146" i="24"/>
  <c r="H146" i="24"/>
  <c r="F105" i="24"/>
  <c r="H105" i="24"/>
  <c r="H76" i="24"/>
  <c r="J76" i="24"/>
  <c r="U21" i="22"/>
  <c r="F75" i="24"/>
  <c r="H75" i="24"/>
  <c r="F59" i="24"/>
  <c r="H59" i="24"/>
  <c r="F267" i="24"/>
  <c r="H267" i="24"/>
  <c r="F209" i="24"/>
  <c r="H209" i="24"/>
  <c r="F216" i="24"/>
  <c r="F174" i="24"/>
  <c r="H174" i="24"/>
  <c r="F122" i="24"/>
  <c r="L62" i="24"/>
  <c r="F15" i="24"/>
  <c r="H15" i="24"/>
  <c r="F21" i="24"/>
  <c r="H21" i="24"/>
  <c r="R101" i="19"/>
  <c r="P101" i="19"/>
  <c r="H84" i="19"/>
  <c r="O63" i="19"/>
  <c r="R55" i="19"/>
  <c r="P55" i="19"/>
  <c r="O51" i="19"/>
  <c r="R29" i="19"/>
  <c r="P29" i="19"/>
  <c r="P136" i="19"/>
  <c r="O135" i="19"/>
  <c r="R136" i="19"/>
  <c r="H113" i="19"/>
  <c r="H70" i="19"/>
  <c r="J70" i="19"/>
  <c r="G77" i="19"/>
  <c r="P41" i="19"/>
  <c r="O49" i="19"/>
  <c r="R41" i="19"/>
  <c r="P15" i="19"/>
  <c r="R15" i="19"/>
  <c r="O21" i="19"/>
  <c r="X97" i="19"/>
  <c r="W105" i="19"/>
  <c r="H73" i="19"/>
  <c r="J73" i="19"/>
  <c r="P44" i="19"/>
  <c r="R44" i="19"/>
  <c r="X104" i="19"/>
  <c r="H94" i="19"/>
  <c r="G93" i="19"/>
  <c r="H71" i="19"/>
  <c r="R42" i="19"/>
  <c r="P42" i="19"/>
  <c r="W21" i="19"/>
  <c r="X13" i="19"/>
  <c r="X145" i="19"/>
  <c r="H117" i="19"/>
  <c r="X76" i="19"/>
  <c r="R54" i="19"/>
  <c r="P54" i="19"/>
  <c r="X25" i="19"/>
  <c r="H10" i="19"/>
  <c r="G9" i="19"/>
  <c r="J98" i="19" s="1"/>
  <c r="X140" i="19"/>
  <c r="W147" i="19"/>
  <c r="X129" i="19"/>
  <c r="R113" i="19"/>
  <c r="P113" i="19"/>
  <c r="R156" i="19"/>
  <c r="P156" i="19"/>
  <c r="R141" i="19"/>
  <c r="P141" i="19"/>
  <c r="J129" i="19"/>
  <c r="H129" i="19"/>
  <c r="J114" i="19"/>
  <c r="H114" i="19"/>
  <c r="G161" i="19"/>
  <c r="J153" i="19"/>
  <c r="H153" i="19"/>
  <c r="G149" i="19"/>
  <c r="E133" i="19"/>
  <c r="X53" i="19"/>
  <c r="X156" i="19"/>
  <c r="V93" i="19"/>
  <c r="V65" i="19"/>
  <c r="X66" i="19"/>
  <c r="X160" i="19"/>
  <c r="H16" i="19"/>
  <c r="F119" i="19"/>
  <c r="H111" i="19"/>
  <c r="H46" i="19"/>
  <c r="H141" i="19"/>
  <c r="E161" i="19"/>
  <c r="E49" i="19"/>
  <c r="E105" i="17"/>
  <c r="J53" i="17"/>
  <c r="I53" i="17"/>
  <c r="M53" i="17"/>
  <c r="L53" i="17"/>
  <c r="K53" i="17"/>
  <c r="K118" i="17"/>
  <c r="J118" i="17"/>
  <c r="I118" i="17"/>
  <c r="M118" i="17"/>
  <c r="L118" i="17"/>
  <c r="F149" i="17"/>
  <c r="X14" i="17"/>
  <c r="W14" i="17"/>
  <c r="AA14" i="17"/>
  <c r="Y14" i="17"/>
  <c r="Z14" i="17"/>
  <c r="M95" i="17"/>
  <c r="L95" i="17"/>
  <c r="I95" i="17"/>
  <c r="K95" i="17"/>
  <c r="J95" i="17"/>
  <c r="L72" i="17"/>
  <c r="K72" i="17"/>
  <c r="J72" i="17"/>
  <c r="I72" i="17"/>
  <c r="M72" i="17"/>
  <c r="L150" i="17"/>
  <c r="K150" i="17"/>
  <c r="J150" i="17"/>
  <c r="I150" i="17"/>
  <c r="M150" i="17"/>
  <c r="H149" i="17"/>
  <c r="I116" i="17"/>
  <c r="M116" i="17"/>
  <c r="L116" i="17"/>
  <c r="K116" i="17"/>
  <c r="J116" i="17"/>
  <c r="L85" i="17"/>
  <c r="K85" i="17"/>
  <c r="M85" i="17"/>
  <c r="J85" i="17"/>
  <c r="I85" i="17"/>
  <c r="J113" i="17"/>
  <c r="I113" i="17"/>
  <c r="M113" i="17"/>
  <c r="L113" i="17"/>
  <c r="K113" i="17"/>
  <c r="F161" i="17"/>
  <c r="F65" i="17"/>
  <c r="L134" i="13"/>
  <c r="K134" i="13"/>
  <c r="M134" i="13"/>
  <c r="J134" i="13"/>
  <c r="I134" i="13"/>
  <c r="E90" i="13"/>
  <c r="J140" i="17"/>
  <c r="L140" i="17"/>
  <c r="D79" i="17"/>
  <c r="J79" i="17" s="1"/>
  <c r="J80" i="17"/>
  <c r="L80" i="17"/>
  <c r="D133" i="17"/>
  <c r="L114" i="13"/>
  <c r="J114" i="13"/>
  <c r="E20" i="13"/>
  <c r="J12" i="13"/>
  <c r="L12" i="13"/>
  <c r="P14" i="19"/>
  <c r="N65" i="19"/>
  <c r="P66" i="19"/>
  <c r="N21" i="19"/>
  <c r="P13" i="19"/>
  <c r="P146" i="19"/>
  <c r="J101" i="13"/>
  <c r="I101" i="13"/>
  <c r="M101" i="13"/>
  <c r="L101" i="13"/>
  <c r="K101" i="13"/>
  <c r="J42" i="13"/>
  <c r="L42" i="13"/>
  <c r="Z15" i="16"/>
  <c r="X15" i="16"/>
  <c r="R21" i="16"/>
  <c r="Z12" i="16"/>
  <c r="X12" i="16"/>
  <c r="O23" i="14"/>
  <c r="M100" i="13"/>
  <c r="L100" i="13"/>
  <c r="K100" i="13"/>
  <c r="I100" i="13"/>
  <c r="J100" i="13"/>
  <c r="J32" i="13"/>
  <c r="L32" i="13"/>
  <c r="W57" i="12"/>
  <c r="J18" i="12"/>
  <c r="I18" i="12"/>
  <c r="W36" i="12"/>
  <c r="L37" i="10"/>
  <c r="C118" i="13"/>
  <c r="K28" i="12"/>
  <c r="J28" i="12"/>
  <c r="I28" i="12"/>
  <c r="N28" i="12"/>
  <c r="M28" i="12"/>
  <c r="L28" i="12"/>
  <c r="L40" i="10"/>
  <c r="L81" i="10"/>
  <c r="U93" i="19"/>
  <c r="Z154" i="19"/>
  <c r="F101" i="10"/>
  <c r="F80" i="10"/>
  <c r="J255" i="8"/>
  <c r="L255" i="8"/>
  <c r="J125" i="8"/>
  <c r="K36" i="6"/>
  <c r="I36" i="6"/>
  <c r="T21" i="6"/>
  <c r="W21" i="6"/>
  <c r="S21" i="6"/>
  <c r="V21" i="6"/>
  <c r="U21" i="6"/>
  <c r="L76" i="8"/>
  <c r="H255" i="8"/>
  <c r="L194" i="8"/>
  <c r="I51" i="5"/>
  <c r="J51" i="5"/>
  <c r="M51" i="5"/>
  <c r="L51" i="5"/>
  <c r="K51" i="5"/>
  <c r="J131" i="8"/>
  <c r="J38" i="5"/>
  <c r="I38" i="5"/>
  <c r="L38" i="5"/>
  <c r="M38" i="5"/>
  <c r="K38" i="5"/>
  <c r="J154" i="3"/>
  <c r="K154" i="3"/>
  <c r="V13" i="12"/>
  <c r="U13" i="12"/>
  <c r="X13" i="12"/>
  <c r="X43" i="12"/>
  <c r="U43" i="12"/>
  <c r="V43" i="12"/>
  <c r="I157" i="17"/>
  <c r="K157" i="17"/>
  <c r="F173" i="8"/>
  <c r="L120" i="8"/>
  <c r="K72" i="13"/>
  <c r="I72" i="13"/>
  <c r="I25" i="13"/>
  <c r="K25" i="13"/>
  <c r="H280" i="8"/>
  <c r="F207" i="8"/>
  <c r="H207" i="8"/>
  <c r="J141" i="8"/>
  <c r="F285" i="8"/>
  <c r="N138" i="3"/>
  <c r="M138" i="3"/>
  <c r="L138" i="3"/>
  <c r="K138" i="3"/>
  <c r="J138" i="3"/>
  <c r="F218" i="30"/>
  <c r="F213" i="30"/>
  <c r="H213" i="30"/>
  <c r="H32" i="31"/>
  <c r="H83" i="31"/>
  <c r="J83" i="31"/>
  <c r="H102" i="31"/>
  <c r="H57" i="31"/>
  <c r="J57" i="31"/>
  <c r="H106" i="31"/>
  <c r="J106" i="31"/>
  <c r="F62" i="30"/>
  <c r="F262" i="30"/>
  <c r="F148" i="30"/>
  <c r="L120" i="30"/>
  <c r="L76" i="30"/>
  <c r="F57" i="30"/>
  <c r="F256" i="30"/>
  <c r="J258" i="30"/>
  <c r="L258" i="30"/>
  <c r="J259" i="30"/>
  <c r="L254" i="30"/>
  <c r="F259" i="30"/>
  <c r="H232" i="30"/>
  <c r="J236" i="30"/>
  <c r="J241" i="30"/>
  <c r="L235" i="30"/>
  <c r="H237" i="30"/>
  <c r="F230" i="30"/>
  <c r="H233" i="30"/>
  <c r="J166" i="30"/>
  <c r="J171" i="30"/>
  <c r="L166" i="30"/>
  <c r="F171" i="30"/>
  <c r="F166" i="30"/>
  <c r="H129" i="30"/>
  <c r="F190" i="30"/>
  <c r="H190" i="30"/>
  <c r="H187" i="30"/>
  <c r="F186" i="30"/>
  <c r="F197" i="30"/>
  <c r="J192" i="30"/>
  <c r="L151" i="30"/>
  <c r="J123" i="30"/>
  <c r="L119" i="30"/>
  <c r="J129" i="30"/>
  <c r="F124" i="30"/>
  <c r="L82" i="30"/>
  <c r="L153" i="30"/>
  <c r="J150" i="30"/>
  <c r="H143" i="30"/>
  <c r="F153" i="30"/>
  <c r="H148" i="30"/>
  <c r="J143" i="30"/>
  <c r="L143" i="30"/>
  <c r="L146" i="30"/>
  <c r="J175" i="30"/>
  <c r="L175" i="30"/>
  <c r="F75" i="30"/>
  <c r="J77" i="30"/>
  <c r="L77" i="30"/>
  <c r="J84" i="30"/>
  <c r="J56" i="30"/>
  <c r="C132" i="28"/>
  <c r="M73" i="28"/>
  <c r="L73" i="28"/>
  <c r="J73" i="28"/>
  <c r="K73" i="28"/>
  <c r="I73" i="28"/>
  <c r="C48" i="28"/>
  <c r="L280" i="30"/>
  <c r="L277" i="30"/>
  <c r="L282" i="30"/>
  <c r="F279" i="30"/>
  <c r="M159" i="28"/>
  <c r="L159" i="28"/>
  <c r="K159" i="28"/>
  <c r="J159" i="28"/>
  <c r="I159" i="28"/>
  <c r="C34" i="28"/>
  <c r="M36" i="28"/>
  <c r="K36" i="28"/>
  <c r="J36" i="28"/>
  <c r="I36" i="28"/>
  <c r="L36" i="28"/>
  <c r="K45" i="28"/>
  <c r="J45" i="28"/>
  <c r="M45" i="28"/>
  <c r="L45" i="28"/>
  <c r="I45" i="28"/>
  <c r="K123" i="28"/>
  <c r="J123" i="28"/>
  <c r="I123" i="28"/>
  <c r="M123" i="28"/>
  <c r="L123" i="28"/>
  <c r="J126" i="28"/>
  <c r="I126" i="28"/>
  <c r="M126" i="28"/>
  <c r="L126" i="28"/>
  <c r="K126" i="28"/>
  <c r="I60" i="28"/>
  <c r="L60" i="28"/>
  <c r="K60" i="28"/>
  <c r="M60" i="28"/>
  <c r="J60" i="28"/>
  <c r="I129" i="28"/>
  <c r="L129" i="28"/>
  <c r="K129" i="28"/>
  <c r="M129" i="28"/>
  <c r="J129" i="28"/>
  <c r="M72" i="28"/>
  <c r="L72" i="28"/>
  <c r="K72" i="28"/>
  <c r="J72" i="28"/>
  <c r="I72" i="28"/>
  <c r="M150" i="28"/>
  <c r="J150" i="28"/>
  <c r="L150" i="28"/>
  <c r="K150" i="28"/>
  <c r="I150" i="28"/>
  <c r="C90" i="28"/>
  <c r="G132" i="28"/>
  <c r="I127" i="28"/>
  <c r="K127" i="28"/>
  <c r="L37" i="28"/>
  <c r="J37" i="28"/>
  <c r="J9" i="28"/>
  <c r="L9" i="28"/>
  <c r="L18" i="28"/>
  <c r="J18" i="28"/>
  <c r="L87" i="28"/>
  <c r="J87" i="28"/>
  <c r="L22" i="28"/>
  <c r="J22" i="28"/>
  <c r="F62" i="28"/>
  <c r="D34" i="28"/>
  <c r="L265" i="24"/>
  <c r="F65" i="25"/>
  <c r="H238" i="24"/>
  <c r="J238" i="24"/>
  <c r="F87" i="25"/>
  <c r="F101" i="25"/>
  <c r="H262" i="24"/>
  <c r="F58" i="25"/>
  <c r="J263" i="24"/>
  <c r="L263" i="24"/>
  <c r="H239" i="24"/>
  <c r="J239" i="24"/>
  <c r="L61" i="25"/>
  <c r="L77" i="24"/>
  <c r="L39" i="25"/>
  <c r="L82" i="25"/>
  <c r="L98" i="25"/>
  <c r="L35" i="25"/>
  <c r="L216" i="24"/>
  <c r="L218" i="24"/>
  <c r="H216" i="24"/>
  <c r="J216" i="24"/>
  <c r="H191" i="24"/>
  <c r="J191" i="24"/>
  <c r="J153" i="24"/>
  <c r="L153" i="24"/>
  <c r="F143" i="24"/>
  <c r="J123" i="24"/>
  <c r="L123" i="24"/>
  <c r="J63" i="24"/>
  <c r="L64" i="25"/>
  <c r="J53" i="24"/>
  <c r="H192" i="24"/>
  <c r="J192" i="24"/>
  <c r="J124" i="24"/>
  <c r="L124" i="24"/>
  <c r="F188" i="24"/>
  <c r="F150" i="24"/>
  <c r="H150" i="24"/>
  <c r="F126" i="24"/>
  <c r="F102" i="24"/>
  <c r="H102" i="24"/>
  <c r="H84" i="24"/>
  <c r="J84" i="24"/>
  <c r="T21" i="22"/>
  <c r="F77" i="24"/>
  <c r="F83" i="24"/>
  <c r="H83" i="24"/>
  <c r="Y14" i="22"/>
  <c r="AA14" i="22"/>
  <c r="F56" i="24"/>
  <c r="H56" i="24"/>
  <c r="Y11" i="22"/>
  <c r="X11" i="22"/>
  <c r="AB11" i="22"/>
  <c r="AA11" i="22"/>
  <c r="Z11" i="22"/>
  <c r="F256" i="24"/>
  <c r="F212" i="24"/>
  <c r="H212" i="24"/>
  <c r="F210" i="24"/>
  <c r="F130" i="24"/>
  <c r="H130" i="24"/>
  <c r="L59" i="24"/>
  <c r="F16" i="24"/>
  <c r="H16" i="24"/>
  <c r="F10" i="24"/>
  <c r="H10" i="24"/>
  <c r="J100" i="19"/>
  <c r="H100" i="19"/>
  <c r="R81" i="19"/>
  <c r="P81" i="19"/>
  <c r="W51" i="19"/>
  <c r="X52" i="19"/>
  <c r="X26" i="19"/>
  <c r="X158" i="19"/>
  <c r="X132" i="19"/>
  <c r="P110" i="19"/>
  <c r="R110" i="19"/>
  <c r="P67" i="19"/>
  <c r="R67" i="19"/>
  <c r="X38" i="19"/>
  <c r="W37" i="19"/>
  <c r="X12" i="19"/>
  <c r="P96" i="19"/>
  <c r="R96" i="19"/>
  <c r="P70" i="19"/>
  <c r="R70" i="19"/>
  <c r="O77" i="19"/>
  <c r="X41" i="19"/>
  <c r="W49" i="19"/>
  <c r="R103" i="19"/>
  <c r="P103" i="19"/>
  <c r="R90" i="19"/>
  <c r="P90" i="19"/>
  <c r="R68" i="19"/>
  <c r="P68" i="19"/>
  <c r="X39" i="19"/>
  <c r="H143" i="19"/>
  <c r="J143" i="19"/>
  <c r="P114" i="19"/>
  <c r="R114" i="19"/>
  <c r="J74" i="19"/>
  <c r="H74" i="19"/>
  <c r="J48" i="19"/>
  <c r="H48" i="19"/>
  <c r="R19" i="19"/>
  <c r="P19" i="19"/>
  <c r="X110" i="19"/>
  <c r="X144" i="19"/>
  <c r="X138" i="19"/>
  <c r="R117" i="19"/>
  <c r="P117" i="19"/>
  <c r="R160" i="19"/>
  <c r="P160" i="19"/>
  <c r="R145" i="19"/>
  <c r="P145" i="19"/>
  <c r="J138" i="19"/>
  <c r="H138" i="19"/>
  <c r="J118" i="19"/>
  <c r="H118" i="19"/>
  <c r="J157" i="19"/>
  <c r="H157" i="19"/>
  <c r="F51" i="19"/>
  <c r="H52" i="19"/>
  <c r="X61" i="19"/>
  <c r="X74" i="19"/>
  <c r="X54" i="19"/>
  <c r="H25" i="19"/>
  <c r="H128" i="19"/>
  <c r="F63" i="19"/>
  <c r="H55" i="19"/>
  <c r="F149" i="19"/>
  <c r="H150" i="19"/>
  <c r="E21" i="19"/>
  <c r="E9" i="19"/>
  <c r="J139" i="17"/>
  <c r="I139" i="17"/>
  <c r="M139" i="17"/>
  <c r="H147" i="17"/>
  <c r="K139" i="17"/>
  <c r="L139" i="17"/>
  <c r="F93" i="17"/>
  <c r="E119" i="17"/>
  <c r="K67" i="17"/>
  <c r="J67" i="17"/>
  <c r="I67" i="17"/>
  <c r="M67" i="17"/>
  <c r="L67" i="17"/>
  <c r="M143" i="17"/>
  <c r="J143" i="17"/>
  <c r="I143" i="17"/>
  <c r="L143" i="17"/>
  <c r="K143" i="17"/>
  <c r="T21" i="17"/>
  <c r="M103" i="17"/>
  <c r="L103" i="17"/>
  <c r="I103" i="17"/>
  <c r="K103" i="17"/>
  <c r="J103" i="17"/>
  <c r="L81" i="17"/>
  <c r="K81" i="17"/>
  <c r="J81" i="17"/>
  <c r="I81" i="17"/>
  <c r="M81" i="17"/>
  <c r="L158" i="17"/>
  <c r="K158" i="17"/>
  <c r="J158" i="17"/>
  <c r="I158" i="17"/>
  <c r="M158" i="17"/>
  <c r="I125" i="17"/>
  <c r="H133" i="17"/>
  <c r="M125" i="17"/>
  <c r="L125" i="17"/>
  <c r="K125" i="17"/>
  <c r="J125" i="17"/>
  <c r="L94" i="17"/>
  <c r="K94" i="17"/>
  <c r="M94" i="17"/>
  <c r="H93" i="17"/>
  <c r="J94" i="17"/>
  <c r="I94" i="17"/>
  <c r="W15" i="15"/>
  <c r="Y15" i="15"/>
  <c r="E132" i="13"/>
  <c r="D34" i="13"/>
  <c r="L157" i="17"/>
  <c r="J157" i="17"/>
  <c r="D105" i="17"/>
  <c r="J97" i="17"/>
  <c r="L97" i="17"/>
  <c r="D77" i="17"/>
  <c r="L157" i="13"/>
  <c r="J157" i="13"/>
  <c r="I113" i="13"/>
  <c r="M113" i="13"/>
  <c r="L113" i="13"/>
  <c r="K113" i="13"/>
  <c r="J113" i="13"/>
  <c r="I61" i="13"/>
  <c r="M61" i="13"/>
  <c r="L61" i="13"/>
  <c r="K61" i="13"/>
  <c r="J61" i="13"/>
  <c r="P39" i="19"/>
  <c r="C51" i="17"/>
  <c r="Z19" i="15"/>
  <c r="X19" i="15"/>
  <c r="J144" i="13"/>
  <c r="I144" i="13"/>
  <c r="M144" i="13"/>
  <c r="L144" i="13"/>
  <c r="K144" i="13"/>
  <c r="J94" i="13"/>
  <c r="L94" i="13"/>
  <c r="Y17" i="16"/>
  <c r="W17" i="16"/>
  <c r="Z17" i="16"/>
  <c r="X17" i="16"/>
  <c r="S21" i="16"/>
  <c r="D90" i="13"/>
  <c r="L19" i="13"/>
  <c r="K19" i="13"/>
  <c r="J19" i="13"/>
  <c r="M19" i="13"/>
  <c r="I19" i="13"/>
  <c r="D104" i="13"/>
  <c r="L85" i="10"/>
  <c r="C62" i="13"/>
  <c r="I31" i="12"/>
  <c r="N31" i="12"/>
  <c r="M31" i="12"/>
  <c r="L31" i="12"/>
  <c r="K31" i="12"/>
  <c r="J31" i="12"/>
  <c r="L83" i="10"/>
  <c r="Y10" i="13"/>
  <c r="X10" i="13"/>
  <c r="AA10" i="13"/>
  <c r="Z10" i="13"/>
  <c r="W10" i="13"/>
  <c r="L32" i="10"/>
  <c r="L54" i="10"/>
  <c r="U9" i="19"/>
  <c r="Z9" i="19" s="1"/>
  <c r="U49" i="19"/>
  <c r="Z49" i="19" s="1"/>
  <c r="W11" i="13"/>
  <c r="AA11" i="13"/>
  <c r="Z11" i="13"/>
  <c r="Y11" i="13"/>
  <c r="X11" i="13"/>
  <c r="U34" i="6"/>
  <c r="S34" i="6"/>
  <c r="H67" i="2"/>
  <c r="J64" i="2"/>
  <c r="K64" i="2"/>
  <c r="L84" i="8"/>
  <c r="F58" i="10"/>
  <c r="H253" i="8"/>
  <c r="F259" i="8"/>
  <c r="L210" i="8"/>
  <c r="J214" i="8"/>
  <c r="H187" i="8"/>
  <c r="H186" i="8"/>
  <c r="J186" i="8"/>
  <c r="F34" i="8"/>
  <c r="H34" i="8"/>
  <c r="E187" i="3"/>
  <c r="L26" i="5"/>
  <c r="J26" i="5"/>
  <c r="J144" i="3"/>
  <c r="K144" i="3"/>
  <c r="V18" i="12"/>
  <c r="U18" i="12"/>
  <c r="X18" i="12"/>
  <c r="U49" i="12"/>
  <c r="X49" i="12"/>
  <c r="V49" i="12"/>
  <c r="I152" i="17"/>
  <c r="K152" i="17"/>
  <c r="H165" i="8"/>
  <c r="J165" i="8"/>
  <c r="K33" i="5"/>
  <c r="J33" i="5"/>
  <c r="I33" i="5"/>
  <c r="M33" i="5"/>
  <c r="L33" i="5"/>
  <c r="L32" i="2"/>
  <c r="M32" i="2"/>
  <c r="D56" i="12"/>
  <c r="K143" i="3"/>
  <c r="J143" i="3"/>
  <c r="L26" i="12"/>
  <c r="K26" i="12"/>
  <c r="J119" i="8"/>
  <c r="F104" i="13"/>
  <c r="K111" i="13"/>
  <c r="I111" i="13"/>
  <c r="H231" i="8"/>
  <c r="J197" i="8"/>
  <c r="L197" i="8"/>
  <c r="F98" i="8"/>
  <c r="H98" i="8"/>
  <c r="S17" i="5"/>
  <c r="T17" i="5"/>
  <c r="W17" i="5"/>
  <c r="V17" i="5"/>
  <c r="U17" i="5"/>
  <c r="W20" i="5"/>
  <c r="W19" i="5"/>
  <c r="I8" i="5"/>
  <c r="K8" i="5"/>
  <c r="M8" i="5"/>
  <c r="J8" i="5"/>
  <c r="L8" i="5"/>
  <c r="E191" i="3"/>
  <c r="J35" i="2"/>
  <c r="L35" i="2"/>
  <c r="N35" i="2"/>
  <c r="M35" i="2"/>
  <c r="K35" i="2"/>
  <c r="N36" i="2"/>
  <c r="F253" i="8"/>
  <c r="F119" i="8"/>
  <c r="J29" i="6"/>
  <c r="I29" i="6"/>
  <c r="K29" i="6"/>
  <c r="M29" i="6"/>
  <c r="L29" i="6"/>
  <c r="L42" i="5"/>
  <c r="J42" i="5"/>
  <c r="J30" i="5"/>
  <c r="I30" i="5"/>
  <c r="K30" i="5"/>
  <c r="L30" i="5"/>
  <c r="M30" i="5"/>
  <c r="J217" i="3"/>
  <c r="K217" i="3"/>
  <c r="J162" i="3"/>
  <c r="K162" i="3"/>
  <c r="H42" i="2"/>
  <c r="X23" i="12"/>
  <c r="V23" i="12"/>
  <c r="U23" i="12"/>
  <c r="V50" i="12"/>
  <c r="X50" i="12"/>
  <c r="U50" i="12"/>
  <c r="U21" i="12"/>
  <c r="X21" i="12"/>
  <c r="V21" i="12"/>
  <c r="V46" i="12"/>
  <c r="X46" i="12"/>
  <c r="U46" i="12"/>
  <c r="U41" i="12"/>
  <c r="X41" i="12"/>
  <c r="V41" i="12"/>
  <c r="K131" i="17"/>
  <c r="I131" i="17"/>
  <c r="F99" i="10"/>
  <c r="H99" i="10"/>
  <c r="H167" i="8"/>
  <c r="F125" i="8"/>
  <c r="K40" i="6"/>
  <c r="J40" i="6"/>
  <c r="I40" i="6"/>
  <c r="L40" i="6"/>
  <c r="M40" i="6"/>
  <c r="K24" i="6"/>
  <c r="J24" i="6"/>
  <c r="I24" i="6"/>
  <c r="M24" i="6"/>
  <c r="L24" i="6"/>
  <c r="L9" i="6"/>
  <c r="J9" i="6"/>
  <c r="S20" i="5"/>
  <c r="U20" i="5"/>
  <c r="J101" i="10"/>
  <c r="L101" i="10"/>
  <c r="F62" i="10"/>
  <c r="H62" i="10"/>
  <c r="L78" i="8"/>
  <c r="L54" i="8"/>
  <c r="S46" i="6"/>
  <c r="U46" i="6"/>
  <c r="V14" i="6"/>
  <c r="U14" i="6"/>
  <c r="T14" i="6"/>
  <c r="S14" i="6"/>
  <c r="W14" i="6"/>
  <c r="L52" i="5"/>
  <c r="K52" i="5"/>
  <c r="J52" i="5"/>
  <c r="I52" i="5"/>
  <c r="M52" i="5"/>
  <c r="V34" i="5"/>
  <c r="U34" i="5"/>
  <c r="T34" i="5"/>
  <c r="S34" i="5"/>
  <c r="W34" i="5"/>
  <c r="W35" i="5"/>
  <c r="V15" i="5"/>
  <c r="U15" i="5"/>
  <c r="T15" i="5"/>
  <c r="S15" i="5"/>
  <c r="W15" i="5"/>
  <c r="K216" i="3"/>
  <c r="J216" i="3"/>
  <c r="J157" i="3"/>
  <c r="K157" i="3"/>
  <c r="F106" i="10"/>
  <c r="H61" i="8"/>
  <c r="J61" i="8"/>
  <c r="L17" i="12"/>
  <c r="K17" i="12"/>
  <c r="J130" i="8"/>
  <c r="H129" i="8"/>
  <c r="L130" i="8"/>
  <c r="F60" i="8"/>
  <c r="K149" i="13"/>
  <c r="I149" i="13"/>
  <c r="G160" i="13"/>
  <c r="K46" i="13"/>
  <c r="I46" i="13"/>
  <c r="K141" i="13"/>
  <c r="I141" i="13"/>
  <c r="K94" i="13"/>
  <c r="I94" i="13"/>
  <c r="X32" i="12"/>
  <c r="V32" i="12"/>
  <c r="U32" i="12"/>
  <c r="H104" i="10"/>
  <c r="F77" i="10"/>
  <c r="L274" i="8"/>
  <c r="J278" i="8"/>
  <c r="H277" i="8"/>
  <c r="J277" i="8"/>
  <c r="J280" i="8"/>
  <c r="L280" i="8"/>
  <c r="L238" i="8"/>
  <c r="H241" i="8"/>
  <c r="H151" i="8"/>
  <c r="L152" i="8"/>
  <c r="L77" i="8"/>
  <c r="F148" i="8"/>
  <c r="F153" i="8"/>
  <c r="H153" i="8"/>
  <c r="F263" i="8"/>
  <c r="F186" i="8"/>
  <c r="F108" i="8"/>
  <c r="H108" i="8"/>
  <c r="F254" i="8"/>
  <c r="W28" i="6"/>
  <c r="V28" i="6"/>
  <c r="U28" i="6"/>
  <c r="T28" i="6"/>
  <c r="S28" i="6"/>
  <c r="M47" i="5"/>
  <c r="L47" i="5"/>
  <c r="K47" i="5"/>
  <c r="J47" i="5"/>
  <c r="I47" i="5"/>
  <c r="W37" i="5"/>
  <c r="V37" i="5"/>
  <c r="U37" i="5"/>
  <c r="T37" i="5"/>
  <c r="S37" i="5"/>
  <c r="I195" i="3"/>
  <c r="N184" i="3"/>
  <c r="M184" i="3"/>
  <c r="L184" i="3"/>
  <c r="K184" i="3"/>
  <c r="J184" i="3"/>
  <c r="M166" i="3"/>
  <c r="L166" i="3"/>
  <c r="N57" i="2"/>
  <c r="M57" i="2"/>
  <c r="K57" i="2"/>
  <c r="L57" i="2"/>
  <c r="J57" i="2"/>
  <c r="N59" i="2"/>
  <c r="N58" i="2"/>
  <c r="F79" i="17"/>
  <c r="K110" i="17"/>
  <c r="J110" i="17"/>
  <c r="M110" i="17"/>
  <c r="I110" i="17"/>
  <c r="L110" i="17"/>
  <c r="X20" i="17"/>
  <c r="Z20" i="17"/>
  <c r="N22" i="21"/>
  <c r="L108" i="13"/>
  <c r="K108" i="13"/>
  <c r="J108" i="13"/>
  <c r="I108" i="13"/>
  <c r="M108" i="13"/>
  <c r="H90" i="13"/>
  <c r="L82" i="13"/>
  <c r="K82" i="13"/>
  <c r="M82" i="13"/>
  <c r="J82" i="13"/>
  <c r="I82" i="13"/>
  <c r="L30" i="13"/>
  <c r="K30" i="13"/>
  <c r="M30" i="13"/>
  <c r="J30" i="13"/>
  <c r="I30" i="13"/>
  <c r="L13" i="13"/>
  <c r="K13" i="13"/>
  <c r="M13" i="13"/>
  <c r="J13" i="13"/>
  <c r="I13" i="13"/>
  <c r="H20" i="13"/>
  <c r="J123" i="17"/>
  <c r="L123" i="17"/>
  <c r="L62" i="17"/>
  <c r="J62" i="17"/>
  <c r="L117" i="17"/>
  <c r="J117" i="17"/>
  <c r="D51" i="17"/>
  <c r="L140" i="13"/>
  <c r="J140" i="13"/>
  <c r="I70" i="13"/>
  <c r="M70" i="13"/>
  <c r="L70" i="13"/>
  <c r="K70" i="13"/>
  <c r="J70" i="13"/>
  <c r="D48" i="13"/>
  <c r="S20" i="21"/>
  <c r="R20" i="21"/>
  <c r="T20" i="21"/>
  <c r="S10" i="21"/>
  <c r="R10" i="21"/>
  <c r="T10" i="21"/>
  <c r="P40" i="19"/>
  <c r="P18" i="19"/>
  <c r="N79" i="19"/>
  <c r="P47" i="19"/>
  <c r="P159" i="19"/>
  <c r="N105" i="19"/>
  <c r="N93" i="19"/>
  <c r="N77" i="19"/>
  <c r="P69" i="19"/>
  <c r="C77" i="17"/>
  <c r="C161" i="17"/>
  <c r="Z10" i="15"/>
  <c r="X10" i="15"/>
  <c r="AA10" i="15"/>
  <c r="Y10" i="15"/>
  <c r="W10" i="15"/>
  <c r="X9" i="15"/>
  <c r="AA9" i="15"/>
  <c r="Y9" i="15"/>
  <c r="W9" i="15"/>
  <c r="Z9" i="15"/>
  <c r="AA19" i="15"/>
  <c r="AA15" i="15"/>
  <c r="AA11" i="15"/>
  <c r="J93" i="13"/>
  <c r="I93" i="13"/>
  <c r="M93" i="13"/>
  <c r="L93" i="13"/>
  <c r="K93" i="13"/>
  <c r="J67" i="13"/>
  <c r="I67" i="13"/>
  <c r="M67" i="13"/>
  <c r="L67" i="13"/>
  <c r="K67" i="13"/>
  <c r="J41" i="13"/>
  <c r="I41" i="13"/>
  <c r="M41" i="13"/>
  <c r="K41" i="13"/>
  <c r="L41" i="13"/>
  <c r="T21" i="16"/>
  <c r="U21" i="16"/>
  <c r="V13" i="14"/>
  <c r="U13" i="14"/>
  <c r="T13" i="14"/>
  <c r="L138" i="13"/>
  <c r="K138" i="13"/>
  <c r="J138" i="13"/>
  <c r="H146" i="13"/>
  <c r="M138" i="13"/>
  <c r="I138" i="13"/>
  <c r="L86" i="13"/>
  <c r="K86" i="13"/>
  <c r="J86" i="13"/>
  <c r="M86" i="13"/>
  <c r="I86" i="13"/>
  <c r="E160" i="13"/>
  <c r="M57" i="13"/>
  <c r="L57" i="13"/>
  <c r="K57" i="13"/>
  <c r="I57" i="13"/>
  <c r="J57" i="13"/>
  <c r="M31" i="13"/>
  <c r="L31" i="13"/>
  <c r="K31" i="13"/>
  <c r="I31" i="13"/>
  <c r="J31" i="13"/>
  <c r="L10" i="13"/>
  <c r="J10" i="13"/>
  <c r="Y16" i="13"/>
  <c r="X16" i="13"/>
  <c r="W16" i="13"/>
  <c r="AA16" i="13"/>
  <c r="Z16" i="13"/>
  <c r="J30" i="12"/>
  <c r="I30" i="12"/>
  <c r="W9" i="12"/>
  <c r="W54" i="12"/>
  <c r="J79" i="10"/>
  <c r="L79" i="10"/>
  <c r="L80" i="10"/>
  <c r="J9" i="10"/>
  <c r="L9" i="10"/>
  <c r="C76" i="13"/>
  <c r="C160" i="13"/>
  <c r="C146" i="13"/>
  <c r="W6" i="12"/>
  <c r="W32" i="12"/>
  <c r="W22" i="12"/>
  <c r="W23" i="12"/>
  <c r="W18" i="12"/>
  <c r="W13" i="12"/>
  <c r="W12" i="12"/>
  <c r="W35" i="12"/>
  <c r="W7" i="12"/>
  <c r="W19" i="12"/>
  <c r="W39" i="12"/>
  <c r="W31" i="12"/>
  <c r="W16" i="12"/>
  <c r="W15" i="12"/>
  <c r="W27" i="12"/>
  <c r="W34" i="12"/>
  <c r="W8" i="12"/>
  <c r="W14" i="12"/>
  <c r="W30" i="12"/>
  <c r="W55" i="12"/>
  <c r="W47" i="12"/>
  <c r="W26" i="12"/>
  <c r="I39" i="12"/>
  <c r="M39" i="12"/>
  <c r="L39" i="12"/>
  <c r="N39" i="12"/>
  <c r="K39" i="12"/>
  <c r="J39" i="12"/>
  <c r="J85" i="10"/>
  <c r="H60" i="10"/>
  <c r="J60" i="10"/>
  <c r="J39" i="10"/>
  <c r="J20" i="10"/>
  <c r="L20" i="10"/>
  <c r="H77" i="8"/>
  <c r="J77" i="8"/>
  <c r="F13" i="10"/>
  <c r="J86" i="8"/>
  <c r="K44" i="12"/>
  <c r="J44" i="12"/>
  <c r="N44" i="12"/>
  <c r="M44" i="12"/>
  <c r="L44" i="12"/>
  <c r="I44" i="12"/>
  <c r="N46" i="12"/>
  <c r="L43" i="10"/>
  <c r="J10" i="10"/>
  <c r="Z82" i="19"/>
  <c r="Z96" i="19"/>
  <c r="U37" i="19"/>
  <c r="Z26" i="19"/>
  <c r="Z98" i="19"/>
  <c r="U79" i="19"/>
  <c r="AA17" i="13"/>
  <c r="Z17" i="13"/>
  <c r="Y17" i="13"/>
  <c r="W17" i="13"/>
  <c r="X17" i="13"/>
  <c r="H82" i="10"/>
  <c r="J82" i="10"/>
  <c r="F40" i="10"/>
  <c r="F39" i="10"/>
  <c r="F234" i="8"/>
  <c r="L131" i="8"/>
  <c r="L80" i="8"/>
  <c r="F39" i="8"/>
  <c r="H39" i="8"/>
  <c r="W29" i="6"/>
  <c r="V29" i="6"/>
  <c r="S29" i="6"/>
  <c r="U29" i="6"/>
  <c r="T29" i="6"/>
  <c r="W30" i="6"/>
  <c r="W31" i="6"/>
  <c r="J23" i="6"/>
  <c r="I23" i="6"/>
  <c r="M23" i="6"/>
  <c r="L23" i="6"/>
  <c r="K23" i="6"/>
  <c r="S35" i="5"/>
  <c r="U35" i="5"/>
  <c r="W22" i="5"/>
  <c r="S22" i="5"/>
  <c r="V22" i="5"/>
  <c r="U22" i="5"/>
  <c r="T22" i="5"/>
  <c r="W24" i="5"/>
  <c r="W23" i="5"/>
  <c r="S8" i="5"/>
  <c r="U8" i="5"/>
  <c r="F191" i="3"/>
  <c r="K137" i="3"/>
  <c r="J137" i="3"/>
  <c r="X24" i="12"/>
  <c r="V24" i="12"/>
  <c r="U24" i="12"/>
  <c r="F81" i="10"/>
  <c r="F55" i="10"/>
  <c r="J254" i="8"/>
  <c r="J251" i="8"/>
  <c r="H261" i="8"/>
  <c r="J219" i="8"/>
  <c r="L219" i="8"/>
  <c r="H212" i="8"/>
  <c r="H209" i="8"/>
  <c r="L218" i="8"/>
  <c r="L215" i="8"/>
  <c r="L212" i="8"/>
  <c r="H189" i="8"/>
  <c r="H197" i="8"/>
  <c r="H194" i="8"/>
  <c r="J194" i="8"/>
  <c r="H130" i="8"/>
  <c r="F83" i="8"/>
  <c r="F62" i="8"/>
  <c r="H62" i="8"/>
  <c r="K47" i="6"/>
  <c r="I47" i="6"/>
  <c r="S40" i="6"/>
  <c r="T40" i="6"/>
  <c r="W40" i="6"/>
  <c r="V40" i="6"/>
  <c r="U40" i="6"/>
  <c r="I34" i="6"/>
  <c r="J34" i="6"/>
  <c r="M34" i="6"/>
  <c r="L34" i="6"/>
  <c r="K34" i="6"/>
  <c r="G190" i="3"/>
  <c r="M47" i="2"/>
  <c r="L47" i="2"/>
  <c r="M33" i="6"/>
  <c r="L33" i="6"/>
  <c r="K33" i="6"/>
  <c r="J33" i="6"/>
  <c r="I33" i="6"/>
  <c r="G191" i="3"/>
  <c r="F237" i="8"/>
  <c r="H237" i="8"/>
  <c r="F143" i="8"/>
  <c r="L15" i="5"/>
  <c r="J15" i="5"/>
  <c r="K213" i="3"/>
  <c r="J213" i="3"/>
  <c r="J158" i="3"/>
  <c r="K158" i="3"/>
  <c r="X27" i="12"/>
  <c r="V27" i="12"/>
  <c r="U27" i="12"/>
  <c r="V7" i="12"/>
  <c r="U7" i="12"/>
  <c r="X7" i="12"/>
  <c r="U25" i="12"/>
  <c r="X25" i="12"/>
  <c r="V25" i="12"/>
  <c r="V54" i="12"/>
  <c r="X54" i="12"/>
  <c r="U54" i="12"/>
  <c r="U45" i="12"/>
  <c r="X45" i="12"/>
  <c r="V45" i="12"/>
  <c r="G161" i="17"/>
  <c r="I140" i="17"/>
  <c r="K140" i="17"/>
  <c r="J163" i="8"/>
  <c r="J121" i="8"/>
  <c r="L52" i="6"/>
  <c r="J52" i="6"/>
  <c r="J36" i="6"/>
  <c r="L36" i="6"/>
  <c r="G193" i="3"/>
  <c r="J109" i="10"/>
  <c r="L109" i="10"/>
  <c r="F59" i="10"/>
  <c r="H59" i="10"/>
  <c r="H191" i="8"/>
  <c r="J191" i="8"/>
  <c r="H127" i="8"/>
  <c r="F76" i="8"/>
  <c r="H76" i="8"/>
  <c r="L62" i="8"/>
  <c r="T45" i="6"/>
  <c r="V45" i="6"/>
  <c r="U38" i="6"/>
  <c r="S38" i="6"/>
  <c r="V42" i="5"/>
  <c r="U42" i="5"/>
  <c r="W42" i="5"/>
  <c r="T42" i="5"/>
  <c r="S42" i="5"/>
  <c r="K212" i="3"/>
  <c r="J212" i="3"/>
  <c r="K153" i="3"/>
  <c r="J153" i="3"/>
  <c r="J66" i="2"/>
  <c r="K66" i="2"/>
  <c r="U20" i="13"/>
  <c r="F108" i="10"/>
  <c r="H58" i="8"/>
  <c r="L22" i="12"/>
  <c r="K22" i="12"/>
  <c r="L21" i="12"/>
  <c r="K21" i="12"/>
  <c r="F87" i="8"/>
  <c r="H87" i="8"/>
  <c r="I88" i="13"/>
  <c r="K88" i="13"/>
  <c r="I97" i="13"/>
  <c r="K97" i="13"/>
  <c r="K45" i="13"/>
  <c r="I45" i="13"/>
  <c r="I55" i="13"/>
  <c r="K55" i="13"/>
  <c r="K150" i="13"/>
  <c r="I150" i="13"/>
  <c r="I102" i="13"/>
  <c r="K102" i="13"/>
  <c r="E54" i="12"/>
  <c r="H101" i="10"/>
  <c r="F36" i="10"/>
  <c r="J276" i="8"/>
  <c r="J240" i="8"/>
  <c r="L229" i="8"/>
  <c r="H210" i="8"/>
  <c r="L170" i="8"/>
  <c r="H145" i="8"/>
  <c r="J145" i="8"/>
  <c r="L150" i="8"/>
  <c r="F75" i="8"/>
  <c r="H75" i="8"/>
  <c r="F170" i="8"/>
  <c r="F167" i="8"/>
  <c r="F277" i="8"/>
  <c r="F216" i="8"/>
  <c r="F122" i="8"/>
  <c r="F262" i="8"/>
  <c r="H262" i="8"/>
  <c r="M46" i="6"/>
  <c r="L46" i="6"/>
  <c r="K46" i="6"/>
  <c r="J46" i="6"/>
  <c r="I46" i="6"/>
  <c r="E193" i="3"/>
  <c r="M182" i="3"/>
  <c r="L182" i="3"/>
  <c r="N164" i="3"/>
  <c r="M164" i="3"/>
  <c r="L164" i="3"/>
  <c r="K164" i="3"/>
  <c r="J164" i="3"/>
  <c r="N166" i="3"/>
  <c r="N169" i="3"/>
  <c r="N174" i="3"/>
  <c r="N171" i="3"/>
  <c r="N167" i="3"/>
  <c r="N165" i="3"/>
  <c r="N170" i="3"/>
  <c r="N173" i="3"/>
  <c r="F147" i="17"/>
  <c r="F91" i="17"/>
  <c r="S21" i="17"/>
  <c r="E121" i="17"/>
  <c r="E65" i="17"/>
  <c r="L99" i="13"/>
  <c r="K99" i="13"/>
  <c r="M99" i="13"/>
  <c r="J99" i="13"/>
  <c r="I99" i="13"/>
  <c r="L73" i="13"/>
  <c r="K73" i="13"/>
  <c r="M73" i="13"/>
  <c r="J73" i="13"/>
  <c r="I73" i="13"/>
  <c r="L47" i="13"/>
  <c r="K47" i="13"/>
  <c r="I47" i="13"/>
  <c r="M47" i="13"/>
  <c r="J47" i="13"/>
  <c r="L22" i="13"/>
  <c r="K22" i="13"/>
  <c r="M22" i="13"/>
  <c r="J22" i="13"/>
  <c r="I22" i="13"/>
  <c r="L9" i="13"/>
  <c r="K9" i="13"/>
  <c r="M9" i="13"/>
  <c r="J9" i="13"/>
  <c r="I9" i="13"/>
  <c r="J114" i="17"/>
  <c r="L114" i="17"/>
  <c r="D119" i="17"/>
  <c r="D63" i="17"/>
  <c r="I156" i="13"/>
  <c r="M156" i="13"/>
  <c r="L156" i="13"/>
  <c r="K156" i="13"/>
  <c r="J156" i="13"/>
  <c r="L131" i="13"/>
  <c r="J131" i="13"/>
  <c r="J8" i="13"/>
  <c r="L8" i="13"/>
  <c r="S11" i="21"/>
  <c r="R11" i="21"/>
  <c r="T11" i="21"/>
  <c r="P22" i="21"/>
  <c r="P31" i="19"/>
  <c r="P82" i="19"/>
  <c r="P26" i="19"/>
  <c r="P129" i="19"/>
  <c r="C91" i="17"/>
  <c r="C119" i="17"/>
  <c r="C79" i="17"/>
  <c r="C63" i="17"/>
  <c r="Z14" i="15"/>
  <c r="X14" i="15"/>
  <c r="AA14" i="15"/>
  <c r="Y14" i="15"/>
  <c r="W14" i="15"/>
  <c r="X13" i="15"/>
  <c r="V21" i="15"/>
  <c r="AA13" i="15"/>
  <c r="Z13" i="15"/>
  <c r="Y13" i="15"/>
  <c r="W13" i="15"/>
  <c r="Z12" i="15"/>
  <c r="Y12" i="15"/>
  <c r="W12" i="15"/>
  <c r="AA12" i="15"/>
  <c r="X12" i="15"/>
  <c r="L154" i="13"/>
  <c r="J154" i="13"/>
  <c r="J84" i="13"/>
  <c r="I84" i="13"/>
  <c r="M84" i="13"/>
  <c r="L84" i="13"/>
  <c r="K84" i="13"/>
  <c r="D62" i="13"/>
  <c r="Y18" i="16"/>
  <c r="W18" i="16"/>
  <c r="V21" i="14"/>
  <c r="U21" i="14"/>
  <c r="T21" i="14"/>
  <c r="L155" i="13"/>
  <c r="K155" i="13"/>
  <c r="J155" i="13"/>
  <c r="M155" i="13"/>
  <c r="I155" i="13"/>
  <c r="L129" i="13"/>
  <c r="K129" i="13"/>
  <c r="J129" i="13"/>
  <c r="M129" i="13"/>
  <c r="I129" i="13"/>
  <c r="L103" i="13"/>
  <c r="K103" i="13"/>
  <c r="J103" i="13"/>
  <c r="M103" i="13"/>
  <c r="I103" i="13"/>
  <c r="L78" i="13"/>
  <c r="K78" i="13"/>
  <c r="J78" i="13"/>
  <c r="M78" i="13"/>
  <c r="I78" i="13"/>
  <c r="E34" i="13"/>
  <c r="D20" i="13"/>
  <c r="P23" i="14"/>
  <c r="M23" i="13"/>
  <c r="L23" i="13"/>
  <c r="K23" i="13"/>
  <c r="I23" i="13"/>
  <c r="J23" i="13"/>
  <c r="J26" i="12"/>
  <c r="I26" i="12"/>
  <c r="F54" i="12"/>
  <c r="W48" i="12"/>
  <c r="L58" i="10"/>
  <c r="L12" i="10"/>
  <c r="R20" i="13"/>
  <c r="W28" i="12"/>
  <c r="W20" i="12"/>
  <c r="N50" i="12"/>
  <c r="K50" i="12"/>
  <c r="J50" i="12"/>
  <c r="L50" i="12"/>
  <c r="I50" i="12"/>
  <c r="M50" i="12"/>
  <c r="I51" i="12"/>
  <c r="M51" i="12"/>
  <c r="L51" i="12"/>
  <c r="N51" i="12"/>
  <c r="K51" i="12"/>
  <c r="J51" i="12"/>
  <c r="J77" i="10"/>
  <c r="F35" i="10"/>
  <c r="H35" i="10"/>
  <c r="W25" i="12"/>
  <c r="W17" i="12"/>
  <c r="J38" i="12"/>
  <c r="I38" i="12"/>
  <c r="L86" i="10"/>
  <c r="J61" i="10"/>
  <c r="F19" i="10"/>
  <c r="H19" i="10"/>
  <c r="W53" i="12"/>
  <c r="W37" i="12"/>
  <c r="J75" i="10"/>
  <c r="F33" i="10"/>
  <c r="U63" i="19"/>
  <c r="Z63" i="19" s="1"/>
  <c r="Z25" i="19"/>
  <c r="U51" i="19"/>
  <c r="Z31" i="19"/>
  <c r="Z116" i="19"/>
  <c r="W15" i="13"/>
  <c r="AA15" i="13"/>
  <c r="Z15" i="13"/>
  <c r="X15" i="13"/>
  <c r="Y15" i="13"/>
  <c r="H76" i="10"/>
  <c r="J76" i="10"/>
  <c r="F42" i="10"/>
  <c r="J211" i="8"/>
  <c r="L211" i="8"/>
  <c r="H171" i="8"/>
  <c r="J39" i="6"/>
  <c r="M39" i="6"/>
  <c r="L39" i="6"/>
  <c r="K39" i="6"/>
  <c r="I39" i="6"/>
  <c r="S27" i="5"/>
  <c r="U27" i="5"/>
  <c r="J214" i="3"/>
  <c r="K214" i="3"/>
  <c r="H186" i="3"/>
  <c r="J175" i="3"/>
  <c r="K175" i="3"/>
  <c r="J159" i="3"/>
  <c r="K159" i="3"/>
  <c r="K60" i="2"/>
  <c r="J60" i="2"/>
  <c r="L81" i="8"/>
  <c r="J261" i="8"/>
  <c r="L261" i="8"/>
  <c r="J258" i="8"/>
  <c r="L209" i="8"/>
  <c r="L216" i="8"/>
  <c r="L213" i="8"/>
  <c r="J212" i="8"/>
  <c r="J209" i="8"/>
  <c r="H219" i="8"/>
  <c r="H216" i="8"/>
  <c r="J216" i="8"/>
  <c r="J196" i="8"/>
  <c r="J193" i="8"/>
  <c r="F124" i="8"/>
  <c r="F77" i="8"/>
  <c r="S49" i="5"/>
  <c r="W49" i="5"/>
  <c r="U49" i="5"/>
  <c r="V49" i="5"/>
  <c r="T49" i="5"/>
  <c r="S14" i="5"/>
  <c r="T14" i="5"/>
  <c r="U14" i="5"/>
  <c r="W14" i="5"/>
  <c r="V14" i="5"/>
  <c r="L86" i="8"/>
  <c r="F48" i="13"/>
  <c r="F104" i="10"/>
  <c r="L173" i="8"/>
  <c r="F61" i="8"/>
  <c r="J45" i="6"/>
  <c r="I45" i="6"/>
  <c r="K45" i="6"/>
  <c r="M45" i="6"/>
  <c r="L45" i="6"/>
  <c r="J11" i="5"/>
  <c r="I11" i="5"/>
  <c r="L11" i="5"/>
  <c r="K11" i="5"/>
  <c r="M11" i="5"/>
  <c r="H189" i="3"/>
  <c r="K178" i="3"/>
  <c r="J178" i="3"/>
  <c r="J140" i="3"/>
  <c r="K140" i="3"/>
  <c r="E43" i="2"/>
  <c r="L43" i="2" s="1"/>
  <c r="L40" i="2"/>
  <c r="M40" i="2"/>
  <c r="V22" i="12"/>
  <c r="U22" i="12"/>
  <c r="X22" i="12"/>
  <c r="V48" i="12"/>
  <c r="X48" i="12"/>
  <c r="U48" i="12"/>
  <c r="X6" i="12"/>
  <c r="V6" i="12"/>
  <c r="U6" i="12"/>
  <c r="X47" i="12"/>
  <c r="U47" i="12"/>
  <c r="V47" i="12"/>
  <c r="U57" i="12"/>
  <c r="X57" i="12"/>
  <c r="V57" i="12"/>
  <c r="I100" i="17"/>
  <c r="K100" i="17"/>
  <c r="G133" i="17"/>
  <c r="I71" i="17"/>
  <c r="K71" i="17"/>
  <c r="H170" i="8"/>
  <c r="H64" i="8"/>
  <c r="K32" i="6"/>
  <c r="J32" i="6"/>
  <c r="M32" i="6"/>
  <c r="I32" i="6"/>
  <c r="L32" i="6"/>
  <c r="L45" i="5"/>
  <c r="J45" i="5"/>
  <c r="L29" i="5"/>
  <c r="J29" i="5"/>
  <c r="K14" i="5"/>
  <c r="J14" i="5"/>
  <c r="I14" i="5"/>
  <c r="L14" i="5"/>
  <c r="M14" i="5"/>
  <c r="G18" i="2"/>
  <c r="F146" i="13"/>
  <c r="F107" i="10"/>
  <c r="H107" i="10"/>
  <c r="H259" i="8"/>
  <c r="J169" i="8"/>
  <c r="F121" i="8"/>
  <c r="L53" i="8"/>
  <c r="L51" i="6"/>
  <c r="K51" i="6"/>
  <c r="J51" i="6"/>
  <c r="M51" i="6"/>
  <c r="I51" i="6"/>
  <c r="L35" i="6"/>
  <c r="K35" i="6"/>
  <c r="J35" i="6"/>
  <c r="M35" i="6"/>
  <c r="I35" i="6"/>
  <c r="L27" i="6"/>
  <c r="K27" i="6"/>
  <c r="J27" i="6"/>
  <c r="M27" i="6"/>
  <c r="I27" i="6"/>
  <c r="L19" i="6"/>
  <c r="K19" i="6"/>
  <c r="J19" i="6"/>
  <c r="I19" i="6"/>
  <c r="M19" i="6"/>
  <c r="L8" i="6"/>
  <c r="K8" i="6"/>
  <c r="J8" i="6"/>
  <c r="I8" i="6"/>
  <c r="M8" i="6"/>
  <c r="S47" i="5"/>
  <c r="U47" i="5"/>
  <c r="L20" i="5"/>
  <c r="K20" i="5"/>
  <c r="J20" i="5"/>
  <c r="I20" i="5"/>
  <c r="M20" i="5"/>
  <c r="U12" i="5"/>
  <c r="S12" i="5"/>
  <c r="K173" i="3"/>
  <c r="J173" i="3"/>
  <c r="F68" i="2"/>
  <c r="F105" i="10"/>
  <c r="K34" i="12"/>
  <c r="L34" i="12"/>
  <c r="L33" i="12"/>
  <c r="K33" i="12"/>
  <c r="J122" i="8"/>
  <c r="H121" i="8"/>
  <c r="J126" i="8"/>
  <c r="I157" i="13"/>
  <c r="K157" i="13"/>
  <c r="I37" i="13"/>
  <c r="K37" i="13"/>
  <c r="G146" i="13"/>
  <c r="K98" i="13"/>
  <c r="I98" i="13"/>
  <c r="G90" i="13"/>
  <c r="K33" i="13"/>
  <c r="I33" i="13"/>
  <c r="I128" i="13"/>
  <c r="K128" i="13"/>
  <c r="L282" i="8"/>
  <c r="H285" i="8"/>
  <c r="J234" i="8"/>
  <c r="J236" i="8"/>
  <c r="L236" i="8"/>
  <c r="J144" i="8"/>
  <c r="H143" i="8"/>
  <c r="J143" i="8"/>
  <c r="L144" i="8"/>
  <c r="J148" i="8"/>
  <c r="L148" i="8"/>
  <c r="F100" i="8"/>
  <c r="H100" i="8"/>
  <c r="F38" i="8"/>
  <c r="H38" i="8"/>
  <c r="F280" i="8"/>
  <c r="F197" i="8"/>
  <c r="F128" i="8"/>
  <c r="F260" i="8"/>
  <c r="F174" i="8"/>
  <c r="V13" i="6"/>
  <c r="T13" i="6"/>
  <c r="L174" i="3"/>
  <c r="M174" i="3"/>
  <c r="N37" i="2"/>
  <c r="M37" i="2"/>
  <c r="L37" i="2"/>
  <c r="K37" i="2"/>
  <c r="J37" i="2"/>
  <c r="M11" i="2"/>
  <c r="L11" i="2"/>
  <c r="D53" i="12"/>
  <c r="H123" i="8"/>
  <c r="K144" i="17"/>
  <c r="J144" i="17"/>
  <c r="M144" i="17"/>
  <c r="I144" i="17"/>
  <c r="L144" i="17"/>
  <c r="E107" i="17"/>
  <c r="L142" i="13"/>
  <c r="K142" i="13"/>
  <c r="M142" i="13"/>
  <c r="J142" i="13"/>
  <c r="I142" i="13"/>
  <c r="D76" i="13"/>
  <c r="J131" i="17"/>
  <c r="L131" i="17"/>
  <c r="D149" i="17"/>
  <c r="D160" i="13"/>
  <c r="I130" i="13"/>
  <c r="M130" i="13"/>
  <c r="L130" i="13"/>
  <c r="K130" i="13"/>
  <c r="J130" i="13"/>
  <c r="L106" i="13"/>
  <c r="J106" i="13"/>
  <c r="L80" i="13"/>
  <c r="J80" i="13"/>
  <c r="E62" i="13"/>
  <c r="L54" i="13"/>
  <c r="J54" i="13"/>
  <c r="J28" i="13"/>
  <c r="L28" i="13"/>
  <c r="M22" i="21"/>
  <c r="S18" i="21"/>
  <c r="R18" i="21"/>
  <c r="T18" i="21"/>
  <c r="S17" i="21"/>
  <c r="R17" i="21"/>
  <c r="T17" i="21"/>
  <c r="P98" i="19"/>
  <c r="N107" i="19"/>
  <c r="P116" i="19"/>
  <c r="N49" i="19"/>
  <c r="N135" i="19"/>
  <c r="N63" i="19"/>
  <c r="P34" i="19"/>
  <c r="P138" i="19"/>
  <c r="C149" i="17"/>
  <c r="Z15" i="15"/>
  <c r="X15" i="15"/>
  <c r="R21" i="15"/>
  <c r="J153" i="13"/>
  <c r="I153" i="13"/>
  <c r="M153" i="13"/>
  <c r="L153" i="13"/>
  <c r="K153" i="13"/>
  <c r="J128" i="13"/>
  <c r="L128" i="13"/>
  <c r="L102" i="13"/>
  <c r="J102" i="13"/>
  <c r="J51" i="13"/>
  <c r="L51" i="13"/>
  <c r="Z11" i="16"/>
  <c r="X11" i="16"/>
  <c r="Q9" i="16"/>
  <c r="W20" i="16"/>
  <c r="Y20" i="16"/>
  <c r="Y19" i="16"/>
  <c r="W19" i="16"/>
  <c r="D132" i="13"/>
  <c r="L52" i="13"/>
  <c r="K52" i="13"/>
  <c r="J52" i="13"/>
  <c r="M52" i="13"/>
  <c r="I52" i="13"/>
  <c r="L26" i="13"/>
  <c r="K26" i="13"/>
  <c r="J26" i="13"/>
  <c r="H34" i="13"/>
  <c r="M26" i="13"/>
  <c r="I26" i="13"/>
  <c r="M143" i="13"/>
  <c r="L143" i="13"/>
  <c r="K143" i="13"/>
  <c r="I143" i="13"/>
  <c r="J143" i="13"/>
  <c r="M117" i="13"/>
  <c r="L117" i="13"/>
  <c r="K117" i="13"/>
  <c r="I117" i="13"/>
  <c r="J117" i="13"/>
  <c r="M92" i="13"/>
  <c r="L92" i="13"/>
  <c r="K92" i="13"/>
  <c r="I92" i="13"/>
  <c r="J92" i="13"/>
  <c r="J18" i="13"/>
  <c r="L18" i="13"/>
  <c r="C104" i="13"/>
  <c r="N14" i="12"/>
  <c r="M14" i="12"/>
  <c r="L14" i="12"/>
  <c r="K14" i="12"/>
  <c r="J14" i="12"/>
  <c r="I14" i="12"/>
  <c r="W38" i="12"/>
  <c r="W52" i="12"/>
  <c r="F12" i="10"/>
  <c r="L107" i="10"/>
  <c r="L53" i="10"/>
  <c r="C48" i="13"/>
  <c r="C34" i="13"/>
  <c r="W10" i="12"/>
  <c r="M37" i="12"/>
  <c r="L37" i="12"/>
  <c r="I37" i="12"/>
  <c r="J37" i="12"/>
  <c r="N37" i="12"/>
  <c r="K37" i="12"/>
  <c r="L75" i="10"/>
  <c r="H33" i="10"/>
  <c r="J33" i="10"/>
  <c r="J12" i="10"/>
  <c r="W33" i="12"/>
  <c r="L59" i="10"/>
  <c r="F38" i="10"/>
  <c r="H38" i="10"/>
  <c r="H17" i="10"/>
  <c r="K52" i="12"/>
  <c r="J52" i="12"/>
  <c r="N52" i="12"/>
  <c r="M52" i="12"/>
  <c r="L52" i="12"/>
  <c r="I52" i="12"/>
  <c r="F56" i="12"/>
  <c r="L62" i="10"/>
  <c r="Z29" i="19"/>
  <c r="Z85" i="19"/>
  <c r="U105" i="19"/>
  <c r="Z125" i="19"/>
  <c r="U133" i="19"/>
  <c r="Z133" i="19" s="1"/>
  <c r="U121" i="19"/>
  <c r="Y12" i="13"/>
  <c r="X12" i="13"/>
  <c r="AA12" i="13"/>
  <c r="Z12" i="13"/>
  <c r="W12" i="13"/>
  <c r="V20" i="13"/>
  <c r="W19" i="13"/>
  <c r="AA19" i="13"/>
  <c r="Z19" i="13"/>
  <c r="X19" i="13"/>
  <c r="Y19" i="13"/>
  <c r="V28" i="12"/>
  <c r="U28" i="12"/>
  <c r="H84" i="10"/>
  <c r="J84" i="10"/>
  <c r="F53" i="10"/>
  <c r="F278" i="8"/>
  <c r="L195" i="8"/>
  <c r="K44" i="6"/>
  <c r="I44" i="6"/>
  <c r="K20" i="6"/>
  <c r="I20" i="6"/>
  <c r="W38" i="5"/>
  <c r="T38" i="5"/>
  <c r="V38" i="5"/>
  <c r="S38" i="5"/>
  <c r="U38" i="5"/>
  <c r="U19" i="5"/>
  <c r="S19" i="5"/>
  <c r="T11" i="5"/>
  <c r="W11" i="5"/>
  <c r="V11" i="5"/>
  <c r="U11" i="5"/>
  <c r="S11" i="5"/>
  <c r="F189" i="3"/>
  <c r="F79" i="10"/>
  <c r="F75" i="10"/>
  <c r="H75" i="10"/>
  <c r="L254" i="8"/>
  <c r="L251" i="8"/>
  <c r="J218" i="8"/>
  <c r="J215" i="8"/>
  <c r="L186" i="8"/>
  <c r="H192" i="8"/>
  <c r="J120" i="8"/>
  <c r="L75" i="8"/>
  <c r="F53" i="8"/>
  <c r="I50" i="6"/>
  <c r="M50" i="6"/>
  <c r="L50" i="6"/>
  <c r="K50" i="6"/>
  <c r="J50" i="6"/>
  <c r="S24" i="6"/>
  <c r="T24" i="6"/>
  <c r="W24" i="6"/>
  <c r="U24" i="6"/>
  <c r="V24" i="6"/>
  <c r="S41" i="5"/>
  <c r="T41" i="5"/>
  <c r="U41" i="5"/>
  <c r="W41" i="5"/>
  <c r="V41" i="5"/>
  <c r="S33" i="5"/>
  <c r="U33" i="5"/>
  <c r="W33" i="5"/>
  <c r="T33" i="5"/>
  <c r="V33" i="5"/>
  <c r="S25" i="5"/>
  <c r="T25" i="5"/>
  <c r="W25" i="5"/>
  <c r="U25" i="5"/>
  <c r="V25" i="5"/>
  <c r="W28" i="5"/>
  <c r="W27" i="5"/>
  <c r="M49" i="6"/>
  <c r="L49" i="6"/>
  <c r="K49" i="6"/>
  <c r="J49" i="6"/>
  <c r="I49" i="6"/>
  <c r="F171" i="8"/>
  <c r="H125" i="8"/>
  <c r="F57" i="8"/>
  <c r="J34" i="5"/>
  <c r="L34" i="5"/>
  <c r="J22" i="5"/>
  <c r="I22" i="5"/>
  <c r="L22" i="5"/>
  <c r="K22" i="5"/>
  <c r="M22" i="5"/>
  <c r="K174" i="3"/>
  <c r="J174" i="3"/>
  <c r="K136" i="3"/>
  <c r="J136" i="3"/>
  <c r="L36" i="2"/>
  <c r="M36" i="2"/>
  <c r="X8" i="12"/>
  <c r="V8" i="12"/>
  <c r="U8" i="12"/>
  <c r="V26" i="12"/>
  <c r="U26" i="12"/>
  <c r="X26" i="12"/>
  <c r="X28" i="12"/>
  <c r="V56" i="12"/>
  <c r="X56" i="12"/>
  <c r="U56" i="12"/>
  <c r="X10" i="12"/>
  <c r="V10" i="12"/>
  <c r="U10" i="12"/>
  <c r="X51" i="12"/>
  <c r="U51" i="12"/>
  <c r="V51" i="12"/>
  <c r="G121" i="17"/>
  <c r="G93" i="17"/>
  <c r="G79" i="17"/>
  <c r="K80" i="17"/>
  <c r="I80" i="17"/>
  <c r="J173" i="8"/>
  <c r="H168" i="8"/>
  <c r="J171" i="8"/>
  <c r="L171" i="8"/>
  <c r="H172" i="8"/>
  <c r="F56" i="8"/>
  <c r="L44" i="6"/>
  <c r="J44" i="6"/>
  <c r="K13" i="6"/>
  <c r="J13" i="6"/>
  <c r="I13" i="6"/>
  <c r="L13" i="6"/>
  <c r="M13" i="6"/>
  <c r="S44" i="5"/>
  <c r="U44" i="5"/>
  <c r="U28" i="5"/>
  <c r="S28" i="5"/>
  <c r="S9" i="5"/>
  <c r="U9" i="5"/>
  <c r="I71" i="13"/>
  <c r="K71" i="13"/>
  <c r="J100" i="10"/>
  <c r="F256" i="8"/>
  <c r="F107" i="8"/>
  <c r="H107" i="8"/>
  <c r="L43" i="6"/>
  <c r="K43" i="6"/>
  <c r="J43" i="6"/>
  <c r="I43" i="6"/>
  <c r="M43" i="6"/>
  <c r="M44" i="6"/>
  <c r="M47" i="6"/>
  <c r="V46" i="5"/>
  <c r="T46" i="5"/>
  <c r="U39" i="5"/>
  <c r="S39" i="5"/>
  <c r="L28" i="5"/>
  <c r="K28" i="5"/>
  <c r="J28" i="5"/>
  <c r="I28" i="5"/>
  <c r="M28" i="5"/>
  <c r="J169" i="3"/>
  <c r="K169" i="3"/>
  <c r="K139" i="3"/>
  <c r="J139" i="3"/>
  <c r="J58" i="2"/>
  <c r="K58" i="2"/>
  <c r="F102" i="10"/>
  <c r="H102" i="10"/>
  <c r="F17" i="2"/>
  <c r="K46" i="12"/>
  <c r="L46" i="12"/>
  <c r="L125" i="8"/>
  <c r="H126" i="8"/>
  <c r="K80" i="13"/>
  <c r="I80" i="13"/>
  <c r="I106" i="13"/>
  <c r="K106" i="13"/>
  <c r="G62" i="13"/>
  <c r="K54" i="13"/>
  <c r="I54" i="13"/>
  <c r="K107" i="13"/>
  <c r="I107" i="13"/>
  <c r="K42" i="13"/>
  <c r="I42" i="13"/>
  <c r="I137" i="13"/>
  <c r="K137" i="13"/>
  <c r="H100" i="10"/>
  <c r="J284" i="8"/>
  <c r="H283" i="8"/>
  <c r="L273" i="8"/>
  <c r="J257" i="8"/>
  <c r="H234" i="8"/>
  <c r="L237" i="8"/>
  <c r="L193" i="8"/>
  <c r="J146" i="8"/>
  <c r="J87" i="8"/>
  <c r="L87" i="8"/>
  <c r="F19" i="8"/>
  <c r="H19" i="8"/>
  <c r="F101" i="8"/>
  <c r="H101" i="8"/>
  <c r="F211" i="8"/>
  <c r="F142" i="8"/>
  <c r="F274" i="8"/>
  <c r="F196" i="8"/>
  <c r="H196" i="8"/>
  <c r="M23" i="5"/>
  <c r="L23" i="5"/>
  <c r="K23" i="5"/>
  <c r="J23" i="5"/>
  <c r="I23" i="5"/>
  <c r="N211" i="3"/>
  <c r="M211" i="3"/>
  <c r="L211" i="3"/>
  <c r="K211" i="3"/>
  <c r="J211" i="3"/>
  <c r="N156" i="3"/>
  <c r="M156" i="3"/>
  <c r="L156" i="3"/>
  <c r="K156" i="3"/>
  <c r="J156" i="3"/>
  <c r="I189" i="3"/>
  <c r="N65" i="2"/>
  <c r="I68" i="2"/>
  <c r="M65" i="2"/>
  <c r="K65" i="2"/>
  <c r="L65" i="2"/>
  <c r="J65" i="2"/>
  <c r="G43" i="2"/>
  <c r="L7" i="2"/>
  <c r="M7" i="2"/>
  <c r="F58" i="8"/>
  <c r="J50" i="13"/>
  <c r="I50" i="13"/>
  <c r="M50" i="13"/>
  <c r="L50" i="13"/>
  <c r="K50" i="13"/>
  <c r="S9" i="16"/>
  <c r="U9" i="16"/>
  <c r="W10" i="16"/>
  <c r="Y10" i="16"/>
  <c r="E104" i="13"/>
  <c r="L11" i="13"/>
  <c r="K11" i="13"/>
  <c r="M11" i="13"/>
  <c r="J11" i="13"/>
  <c r="I11" i="13"/>
  <c r="M66" i="13"/>
  <c r="L66" i="13"/>
  <c r="K66" i="13"/>
  <c r="I66" i="13"/>
  <c r="J66" i="13"/>
  <c r="M40" i="13"/>
  <c r="L40" i="13"/>
  <c r="K40" i="13"/>
  <c r="I40" i="13"/>
  <c r="H48" i="13"/>
  <c r="J40" i="13"/>
  <c r="W49" i="12"/>
  <c r="J34" i="12"/>
  <c r="I34" i="12"/>
  <c r="W42" i="12"/>
  <c r="W56" i="12"/>
  <c r="H54" i="10"/>
  <c r="J54" i="10"/>
  <c r="AA14" i="13"/>
  <c r="Y14" i="13"/>
  <c r="X14" i="13"/>
  <c r="W14" i="13"/>
  <c r="Z14" i="13"/>
  <c r="I27" i="12"/>
  <c r="N27" i="12"/>
  <c r="M27" i="12"/>
  <c r="L27" i="12"/>
  <c r="K27" i="12"/>
  <c r="J27" i="12"/>
  <c r="H54" i="12"/>
  <c r="I19" i="12"/>
  <c r="N19" i="12"/>
  <c r="M19" i="12"/>
  <c r="L19" i="12"/>
  <c r="K19" i="12"/>
  <c r="J19" i="12"/>
  <c r="L42" i="10"/>
  <c r="C132" i="13"/>
  <c r="M41" i="12"/>
  <c r="L41" i="12"/>
  <c r="I41" i="12"/>
  <c r="N41" i="12"/>
  <c r="K41" i="12"/>
  <c r="J41" i="12"/>
  <c r="L102" i="10"/>
  <c r="J31" i="10"/>
  <c r="L10" i="10"/>
  <c r="K32" i="12"/>
  <c r="J32" i="12"/>
  <c r="I32" i="12"/>
  <c r="N32" i="12"/>
  <c r="M32" i="12"/>
  <c r="L32" i="12"/>
  <c r="K24" i="12"/>
  <c r="J24" i="12"/>
  <c r="I24" i="12"/>
  <c r="N24" i="12"/>
  <c r="M24" i="12"/>
  <c r="L24" i="12"/>
  <c r="K16" i="12"/>
  <c r="J16" i="12"/>
  <c r="I16" i="12"/>
  <c r="N16" i="12"/>
  <c r="L16" i="12"/>
  <c r="M16" i="12"/>
  <c r="N17" i="12"/>
  <c r="H53" i="12"/>
  <c r="N18" i="12"/>
  <c r="J46" i="12"/>
  <c r="I46" i="12"/>
  <c r="J80" i="10"/>
  <c r="H36" i="10"/>
  <c r="J36" i="10"/>
  <c r="L108" i="10"/>
  <c r="J18" i="10"/>
  <c r="Z13" i="19"/>
  <c r="U21" i="19"/>
  <c r="Z21" i="19" s="1"/>
  <c r="U23" i="19"/>
  <c r="Z101" i="19"/>
  <c r="U77" i="19"/>
  <c r="Z77" i="19" s="1"/>
  <c r="Z126" i="19"/>
  <c r="H78" i="10"/>
  <c r="J78" i="10"/>
  <c r="H81" i="10"/>
  <c r="J81" i="10"/>
  <c r="F37" i="10"/>
  <c r="F193" i="8"/>
  <c r="H193" i="8"/>
  <c r="L167" i="8"/>
  <c r="H119" i="8"/>
  <c r="T37" i="6"/>
  <c r="S37" i="6"/>
  <c r="W37" i="6"/>
  <c r="V37" i="6"/>
  <c r="U37" i="6"/>
  <c r="M12" i="6"/>
  <c r="I12" i="6"/>
  <c r="L12" i="6"/>
  <c r="J12" i="6"/>
  <c r="K12" i="6"/>
  <c r="S43" i="5"/>
  <c r="U43" i="5"/>
  <c r="M32" i="5"/>
  <c r="L32" i="5"/>
  <c r="K32" i="5"/>
  <c r="J32" i="5"/>
  <c r="I32" i="5"/>
  <c r="K210" i="3"/>
  <c r="J210" i="3"/>
  <c r="J171" i="3"/>
  <c r="K171" i="3"/>
  <c r="K155" i="3"/>
  <c r="J155" i="3"/>
  <c r="H43" i="2"/>
  <c r="K43" i="2" s="1"/>
  <c r="K40" i="2"/>
  <c r="J40" i="2"/>
  <c r="F87" i="10"/>
  <c r="F83" i="10"/>
  <c r="H83" i="10"/>
  <c r="L253" i="8"/>
  <c r="L260" i="8"/>
  <c r="L257" i="8"/>
  <c r="J256" i="8"/>
  <c r="J253" i="8"/>
  <c r="H263" i="8"/>
  <c r="H260" i="8"/>
  <c r="J260" i="8"/>
  <c r="L208" i="8"/>
  <c r="H214" i="8"/>
  <c r="H211" i="8"/>
  <c r="H208" i="8"/>
  <c r="J208" i="8"/>
  <c r="J195" i="8"/>
  <c r="J188" i="8"/>
  <c r="J185" i="8"/>
  <c r="H195" i="8"/>
  <c r="L190" i="8"/>
  <c r="H166" i="8"/>
  <c r="F82" i="8"/>
  <c r="H82" i="8"/>
  <c r="I7" i="6"/>
  <c r="K7" i="6"/>
  <c r="J7" i="6"/>
  <c r="M7" i="6"/>
  <c r="L7" i="6"/>
  <c r="M9" i="6"/>
  <c r="I48" i="5"/>
  <c r="K48" i="5"/>
  <c r="I19" i="5"/>
  <c r="J19" i="5"/>
  <c r="M19" i="5"/>
  <c r="K19" i="5"/>
  <c r="L19" i="5"/>
  <c r="E195" i="3"/>
  <c r="J39" i="2"/>
  <c r="K39" i="2"/>
  <c r="I42" i="2"/>
  <c r="N39" i="2"/>
  <c r="M39" i="2"/>
  <c r="L39" i="2"/>
  <c r="V52" i="12"/>
  <c r="X52" i="12"/>
  <c r="U52" i="12"/>
  <c r="J167" i="8"/>
  <c r="J21" i="6"/>
  <c r="I21" i="6"/>
  <c r="K21" i="6"/>
  <c r="M21" i="6"/>
  <c r="L21" i="6"/>
  <c r="J46" i="5"/>
  <c r="I46" i="5"/>
  <c r="L46" i="5"/>
  <c r="K46" i="5"/>
  <c r="M46" i="5"/>
  <c r="J7" i="5"/>
  <c r="L7" i="5"/>
  <c r="J170" i="3"/>
  <c r="K170" i="3"/>
  <c r="F67" i="2"/>
  <c r="X15" i="12"/>
  <c r="V15" i="12"/>
  <c r="U15" i="12"/>
  <c r="X14" i="12"/>
  <c r="V14" i="12"/>
  <c r="U14" i="12"/>
  <c r="V30" i="12"/>
  <c r="U30" i="12"/>
  <c r="X30" i="12"/>
  <c r="U11" i="12"/>
  <c r="X11" i="12"/>
  <c r="V11" i="12"/>
  <c r="X36" i="12"/>
  <c r="U36" i="12"/>
  <c r="V36" i="12"/>
  <c r="X55" i="12"/>
  <c r="U55" i="12"/>
  <c r="V55" i="12"/>
  <c r="G65" i="17"/>
  <c r="I66" i="17"/>
  <c r="K66" i="17"/>
  <c r="I117" i="17"/>
  <c r="K117" i="17"/>
  <c r="G147" i="17"/>
  <c r="G63" i="17"/>
  <c r="G51" i="17"/>
  <c r="G149" i="17"/>
  <c r="K88" i="17"/>
  <c r="I88" i="17"/>
  <c r="L119" i="8"/>
  <c r="J102" i="10"/>
  <c r="F65" i="10"/>
  <c r="H65" i="10"/>
  <c r="H215" i="8"/>
  <c r="L82" i="8"/>
  <c r="L57" i="8"/>
  <c r="V49" i="6"/>
  <c r="U49" i="6"/>
  <c r="T49" i="6"/>
  <c r="S49" i="6"/>
  <c r="W49" i="6"/>
  <c r="V33" i="6"/>
  <c r="U33" i="6"/>
  <c r="T33" i="6"/>
  <c r="S33" i="6"/>
  <c r="W33" i="6"/>
  <c r="V25" i="6"/>
  <c r="U25" i="6"/>
  <c r="T25" i="6"/>
  <c r="S25" i="6"/>
  <c r="W25" i="6"/>
  <c r="W26" i="6"/>
  <c r="W27" i="6"/>
  <c r="L16" i="6"/>
  <c r="K16" i="6"/>
  <c r="J16" i="6"/>
  <c r="I16" i="6"/>
  <c r="M16" i="6"/>
  <c r="L36" i="5"/>
  <c r="K36" i="5"/>
  <c r="J36" i="5"/>
  <c r="M36" i="5"/>
  <c r="I36" i="5"/>
  <c r="M37" i="5"/>
  <c r="V18" i="5"/>
  <c r="U18" i="5"/>
  <c r="T18" i="5"/>
  <c r="S18" i="5"/>
  <c r="W18" i="5"/>
  <c r="V7" i="5"/>
  <c r="U7" i="5"/>
  <c r="T7" i="5"/>
  <c r="S7" i="5"/>
  <c r="W7" i="5"/>
  <c r="W8" i="5"/>
  <c r="W9" i="5"/>
  <c r="K165" i="3"/>
  <c r="J165" i="3"/>
  <c r="L15" i="12"/>
  <c r="K15" i="12"/>
  <c r="L129" i="8"/>
  <c r="C54" i="12"/>
  <c r="K7" i="12"/>
  <c r="L7" i="12"/>
  <c r="H124" i="8"/>
  <c r="J127" i="8"/>
  <c r="H128" i="8"/>
  <c r="J128" i="8"/>
  <c r="G195" i="3"/>
  <c r="G20" i="13"/>
  <c r="I12" i="13"/>
  <c r="K12" i="13"/>
  <c r="K29" i="13"/>
  <c r="I29" i="13"/>
  <c r="K115" i="13"/>
  <c r="I115" i="13"/>
  <c r="K51" i="13"/>
  <c r="I51" i="13"/>
  <c r="H108" i="10"/>
  <c r="J108" i="10"/>
  <c r="L275" i="8"/>
  <c r="J275" i="8"/>
  <c r="H274" i="8"/>
  <c r="J274" i="8"/>
  <c r="F251" i="8"/>
  <c r="H251" i="8"/>
  <c r="L235" i="8"/>
  <c r="J239" i="8"/>
  <c r="L239" i="8"/>
  <c r="H238" i="8"/>
  <c r="J238" i="8"/>
  <c r="J151" i="8"/>
  <c r="L151" i="8"/>
  <c r="H146" i="8"/>
  <c r="H150" i="8"/>
  <c r="J150" i="8"/>
  <c r="J58" i="8"/>
  <c r="L58" i="8"/>
  <c r="F11" i="8"/>
  <c r="H11" i="8"/>
  <c r="F109" i="8"/>
  <c r="H109" i="8"/>
  <c r="F241" i="8"/>
  <c r="F164" i="8"/>
  <c r="F235" i="8"/>
  <c r="H235" i="8"/>
  <c r="F210" i="8"/>
  <c r="M30" i="6"/>
  <c r="L30" i="6"/>
  <c r="K30" i="6"/>
  <c r="J30" i="6"/>
  <c r="I30" i="6"/>
  <c r="W20" i="6"/>
  <c r="V20" i="6"/>
  <c r="U20" i="6"/>
  <c r="T20" i="6"/>
  <c r="S20" i="6"/>
  <c r="M12" i="5"/>
  <c r="L12" i="5"/>
  <c r="K12" i="5"/>
  <c r="J12" i="5"/>
  <c r="I12" i="5"/>
  <c r="M15" i="5"/>
  <c r="L209" i="3"/>
  <c r="M209" i="3"/>
  <c r="N172" i="3"/>
  <c r="M172" i="3"/>
  <c r="L172" i="3"/>
  <c r="K172" i="3"/>
  <c r="J172" i="3"/>
  <c r="N61" i="2"/>
  <c r="K61" i="2"/>
  <c r="M61" i="2"/>
  <c r="L61" i="2"/>
  <c r="J61" i="2"/>
  <c r="N33" i="2"/>
  <c r="M33" i="2"/>
  <c r="L33" i="2"/>
  <c r="K33" i="2"/>
  <c r="J33" i="2"/>
  <c r="K127" i="17"/>
  <c r="J127" i="17"/>
  <c r="M127" i="17"/>
  <c r="I127" i="17"/>
  <c r="L127" i="17"/>
  <c r="E133" i="17"/>
  <c r="T18" i="14"/>
  <c r="D118" i="13"/>
  <c r="L65" i="13"/>
  <c r="K65" i="13"/>
  <c r="M65" i="13"/>
  <c r="J65" i="13"/>
  <c r="I65" i="13"/>
  <c r="L39" i="13"/>
  <c r="K39" i="13"/>
  <c r="J39" i="13"/>
  <c r="I39" i="13"/>
  <c r="M39" i="13"/>
  <c r="J71" i="17"/>
  <c r="L71" i="17"/>
  <c r="D147" i="17"/>
  <c r="D135" i="17"/>
  <c r="D91" i="17"/>
  <c r="J83" i="17"/>
  <c r="L83" i="17"/>
  <c r="R23" i="14"/>
  <c r="I148" i="13"/>
  <c r="M148" i="13"/>
  <c r="L148" i="13"/>
  <c r="J148" i="13"/>
  <c r="K148" i="13"/>
  <c r="L123" i="13"/>
  <c r="J123" i="13"/>
  <c r="J97" i="13"/>
  <c r="L97" i="13"/>
  <c r="L45" i="13"/>
  <c r="J45" i="13"/>
  <c r="S21" i="21"/>
  <c r="R21" i="21"/>
  <c r="T21" i="21"/>
  <c r="N9" i="19"/>
  <c r="P30" i="19"/>
  <c r="P142" i="19"/>
  <c r="N161" i="19"/>
  <c r="N51" i="19"/>
  <c r="P52" i="19"/>
  <c r="P155" i="19"/>
  <c r="C107" i="17"/>
  <c r="C135" i="17"/>
  <c r="Z18" i="15"/>
  <c r="X18" i="15"/>
  <c r="AA18" i="15"/>
  <c r="Y18" i="15"/>
  <c r="W18" i="15"/>
  <c r="X17" i="15"/>
  <c r="AA17" i="15"/>
  <c r="Y17" i="15"/>
  <c r="W17" i="15"/>
  <c r="Z17" i="15"/>
  <c r="Z16" i="15"/>
  <c r="Y16" i="15"/>
  <c r="AA16" i="15"/>
  <c r="X16" i="15"/>
  <c r="W16" i="15"/>
  <c r="J145" i="13"/>
  <c r="L145" i="13"/>
  <c r="AA13" i="16"/>
  <c r="Y13" i="16"/>
  <c r="W13" i="16"/>
  <c r="V21" i="16"/>
  <c r="Z13" i="16"/>
  <c r="X13" i="16"/>
  <c r="V9" i="16"/>
  <c r="Y12" i="16"/>
  <c r="W12" i="16"/>
  <c r="Y11" i="16"/>
  <c r="W11" i="16"/>
  <c r="Q23" i="14"/>
  <c r="L121" i="13"/>
  <c r="K121" i="13"/>
  <c r="J121" i="13"/>
  <c r="M121" i="13"/>
  <c r="I121" i="13"/>
  <c r="L95" i="13"/>
  <c r="K95" i="13"/>
  <c r="J95" i="13"/>
  <c r="M95" i="13"/>
  <c r="I95" i="13"/>
  <c r="L69" i="13"/>
  <c r="K69" i="13"/>
  <c r="J69" i="13"/>
  <c r="M69" i="13"/>
  <c r="I69" i="13"/>
  <c r="H76" i="13"/>
  <c r="Y14" i="16"/>
  <c r="X14" i="16"/>
  <c r="Z14" i="16"/>
  <c r="W14" i="16"/>
  <c r="V12" i="14"/>
  <c r="T12" i="14"/>
  <c r="U12" i="14"/>
  <c r="E118" i="13"/>
  <c r="J14" i="13"/>
  <c r="L14" i="13"/>
  <c r="K48" i="12"/>
  <c r="J48" i="12"/>
  <c r="N48" i="12"/>
  <c r="M48" i="12"/>
  <c r="I48" i="12"/>
  <c r="L48" i="12"/>
  <c r="J22" i="12"/>
  <c r="I22" i="12"/>
  <c r="G54" i="12"/>
  <c r="A13" i="12"/>
  <c r="G55" i="12"/>
  <c r="J13" i="12"/>
  <c r="I13" i="12"/>
  <c r="W46" i="12"/>
  <c r="Y8" i="13"/>
  <c r="X8" i="13"/>
  <c r="W8" i="13"/>
  <c r="AA8" i="13"/>
  <c r="Z8" i="13"/>
  <c r="I35" i="12"/>
  <c r="N35" i="12"/>
  <c r="M35" i="12"/>
  <c r="L35" i="12"/>
  <c r="J35" i="12"/>
  <c r="K35" i="12"/>
  <c r="N38" i="12"/>
  <c r="N36" i="12"/>
  <c r="F53" i="12"/>
  <c r="F57" i="12" s="1"/>
  <c r="L99" i="10"/>
  <c r="L34" i="10"/>
  <c r="Q20" i="13"/>
  <c r="W43" i="12"/>
  <c r="H56" i="12"/>
  <c r="J9" i="12"/>
  <c r="I9" i="12"/>
  <c r="N9" i="12"/>
  <c r="M9" i="12"/>
  <c r="L9" i="12"/>
  <c r="K9" i="12"/>
  <c r="M45" i="12"/>
  <c r="L45" i="12"/>
  <c r="I45" i="12"/>
  <c r="J45" i="12"/>
  <c r="K45" i="12"/>
  <c r="N45" i="12"/>
  <c r="L64" i="10"/>
  <c r="F43" i="10"/>
  <c r="H43" i="10"/>
  <c r="F10" i="10"/>
  <c r="L78" i="10"/>
  <c r="H55" i="10"/>
  <c r="J55" i="10"/>
  <c r="J34" i="10"/>
  <c r="J15" i="10"/>
  <c r="L15" i="10"/>
  <c r="H58" i="10"/>
  <c r="F16" i="10"/>
  <c r="Z46" i="19"/>
  <c r="Z42" i="19"/>
  <c r="Z57" i="19"/>
  <c r="Z151" i="19"/>
  <c r="U119" i="19"/>
  <c r="U149" i="19"/>
  <c r="AA9" i="13"/>
  <c r="Z9" i="13"/>
  <c r="W9" i="13"/>
  <c r="Y9" i="13"/>
  <c r="X9" i="13"/>
  <c r="H77" i="10"/>
  <c r="F63" i="10"/>
  <c r="F32" i="10"/>
  <c r="F61" i="10"/>
  <c r="F31" i="10"/>
  <c r="L258" i="8"/>
  <c r="J189" i="8"/>
  <c r="L189" i="8"/>
  <c r="F165" i="8"/>
  <c r="F103" i="8"/>
  <c r="H103" i="8"/>
  <c r="H57" i="8"/>
  <c r="J57" i="8"/>
  <c r="F81" i="8"/>
  <c r="U42" i="6"/>
  <c r="S42" i="6"/>
  <c r="M31" i="6"/>
  <c r="I31" i="6"/>
  <c r="L31" i="6"/>
  <c r="K31" i="6"/>
  <c r="J31" i="6"/>
  <c r="K37" i="5"/>
  <c r="I37" i="5"/>
  <c r="I24" i="5"/>
  <c r="J24" i="5"/>
  <c r="M24" i="5"/>
  <c r="L24" i="5"/>
  <c r="K24" i="5"/>
  <c r="K10" i="5"/>
  <c r="I10" i="5"/>
  <c r="F195" i="3"/>
  <c r="J141" i="3"/>
  <c r="K141" i="3"/>
  <c r="K36" i="2"/>
  <c r="J36" i="2"/>
  <c r="J123" i="8"/>
  <c r="F76" i="10"/>
  <c r="J262" i="8"/>
  <c r="J259" i="8"/>
  <c r="J210" i="8"/>
  <c r="J207" i="8"/>
  <c r="H217" i="8"/>
  <c r="J192" i="8"/>
  <c r="L192" i="8"/>
  <c r="F79" i="8"/>
  <c r="H79" i="8"/>
  <c r="F42" i="8"/>
  <c r="H42" i="8"/>
  <c r="S48" i="6"/>
  <c r="W48" i="6"/>
  <c r="V48" i="6"/>
  <c r="U48" i="6"/>
  <c r="T48" i="6"/>
  <c r="W51" i="6"/>
  <c r="W50" i="6"/>
  <c r="I42" i="6"/>
  <c r="K42" i="6"/>
  <c r="J42" i="6"/>
  <c r="M42" i="6"/>
  <c r="L42" i="6"/>
  <c r="I15" i="6"/>
  <c r="M15" i="6"/>
  <c r="L15" i="6"/>
  <c r="K15" i="6"/>
  <c r="J15" i="6"/>
  <c r="G194" i="3"/>
  <c r="F281" i="8"/>
  <c r="H281" i="8"/>
  <c r="L121" i="8"/>
  <c r="J10" i="6"/>
  <c r="I10" i="6"/>
  <c r="K10" i="6"/>
  <c r="L10" i="6"/>
  <c r="M10" i="6"/>
  <c r="J18" i="5"/>
  <c r="L18" i="5"/>
  <c r="J166" i="3"/>
  <c r="K166" i="3"/>
  <c r="X19" i="12"/>
  <c r="V19" i="12"/>
  <c r="U19" i="12"/>
  <c r="V42" i="12"/>
  <c r="X42" i="12"/>
  <c r="U42" i="12"/>
  <c r="V34" i="12"/>
  <c r="U34" i="12"/>
  <c r="X34" i="12"/>
  <c r="U17" i="12"/>
  <c r="X17" i="12"/>
  <c r="V17" i="12"/>
  <c r="V38" i="12"/>
  <c r="X38" i="12"/>
  <c r="U38" i="12"/>
  <c r="U37" i="12"/>
  <c r="X37" i="12"/>
  <c r="V37" i="12"/>
  <c r="K130" i="17"/>
  <c r="I130" i="17"/>
  <c r="G135" i="17"/>
  <c r="G119" i="17"/>
  <c r="K123" i="17"/>
  <c r="I123" i="17"/>
  <c r="J174" i="8"/>
  <c r="H173" i="8"/>
  <c r="L174" i="8"/>
  <c r="L127" i="8"/>
  <c r="K41" i="5"/>
  <c r="J41" i="5"/>
  <c r="L41" i="5"/>
  <c r="I41" i="5"/>
  <c r="M41" i="5"/>
  <c r="L21" i="5"/>
  <c r="J21" i="5"/>
  <c r="F54" i="8"/>
  <c r="H54" i="8"/>
  <c r="J99" i="10"/>
  <c r="F54" i="10"/>
  <c r="F212" i="8"/>
  <c r="H163" i="8"/>
  <c r="L65" i="8"/>
  <c r="V26" i="5"/>
  <c r="U26" i="5"/>
  <c r="T26" i="5"/>
  <c r="S26" i="5"/>
  <c r="W26" i="5"/>
  <c r="K161" i="3"/>
  <c r="J161" i="3"/>
  <c r="K34" i="2"/>
  <c r="J34" i="2"/>
  <c r="F98" i="10"/>
  <c r="H53" i="8"/>
  <c r="J53" i="8"/>
  <c r="L11" i="12"/>
  <c r="K11" i="12"/>
  <c r="L128" i="8"/>
  <c r="F63" i="8"/>
  <c r="I10" i="13"/>
  <c r="K10" i="13"/>
  <c r="I123" i="13"/>
  <c r="K123" i="13"/>
  <c r="K38" i="13"/>
  <c r="I38" i="13"/>
  <c r="G132" i="13"/>
  <c r="I124" i="13"/>
  <c r="K124" i="13"/>
  <c r="K59" i="13"/>
  <c r="I59" i="13"/>
  <c r="H105" i="10"/>
  <c r="J105" i="10"/>
  <c r="J273" i="8"/>
  <c r="L276" i="8"/>
  <c r="J241" i="8"/>
  <c r="L241" i="8"/>
  <c r="J237" i="8"/>
  <c r="L240" i="8"/>
  <c r="H174" i="8"/>
  <c r="L147" i="8"/>
  <c r="F85" i="8"/>
  <c r="F126" i="8"/>
  <c r="F123" i="8"/>
  <c r="F255" i="8"/>
  <c r="F172" i="8"/>
  <c r="F257" i="8"/>
  <c r="H257" i="8"/>
  <c r="F218" i="8"/>
  <c r="H218" i="8"/>
  <c r="M38" i="6"/>
  <c r="L38" i="6"/>
  <c r="K38" i="6"/>
  <c r="J38" i="6"/>
  <c r="I38" i="6"/>
  <c r="M11" i="6"/>
  <c r="L11" i="6"/>
  <c r="K11" i="6"/>
  <c r="J11" i="6"/>
  <c r="I11" i="6"/>
  <c r="W29" i="5"/>
  <c r="V29" i="5"/>
  <c r="U29" i="5"/>
  <c r="T29" i="5"/>
  <c r="S29" i="5"/>
  <c r="W31" i="5"/>
  <c r="W32" i="5"/>
  <c r="G196" i="3"/>
  <c r="N168" i="3"/>
  <c r="M168" i="3"/>
  <c r="L168" i="3"/>
  <c r="K168" i="3"/>
  <c r="J168" i="3"/>
  <c r="L144" i="3"/>
  <c r="M144" i="3"/>
  <c r="M59" i="2"/>
  <c r="L59" i="2"/>
  <c r="E68" i="2"/>
  <c r="F118" i="13"/>
  <c r="F90" i="13"/>
  <c r="F20" i="13"/>
  <c r="D55" i="12"/>
  <c r="M14" i="6"/>
  <c r="L14" i="6"/>
  <c r="K14" i="6"/>
  <c r="J14" i="6"/>
  <c r="I14" i="6"/>
  <c r="M207" i="3"/>
  <c r="L207" i="3"/>
  <c r="K69" i="2"/>
  <c r="J69" i="2"/>
  <c r="K128" i="3"/>
  <c r="J128" i="3"/>
  <c r="L128" i="3"/>
  <c r="M128" i="3"/>
  <c r="M199" i="3"/>
  <c r="L199" i="3"/>
  <c r="M132" i="3"/>
  <c r="L132" i="3"/>
  <c r="K132" i="3"/>
  <c r="J132" i="3"/>
  <c r="G105" i="17"/>
  <c r="K97" i="17"/>
  <c r="I97" i="17"/>
  <c r="F217" i="8"/>
  <c r="F169" i="8"/>
  <c r="L166" i="8"/>
  <c r="H164" i="8"/>
  <c r="H131" i="8"/>
  <c r="L28" i="6"/>
  <c r="J28" i="6"/>
  <c r="L37" i="5"/>
  <c r="J37" i="5"/>
  <c r="K25" i="5"/>
  <c r="J25" i="5"/>
  <c r="I25" i="5"/>
  <c r="M25" i="5"/>
  <c r="L25" i="5"/>
  <c r="M26" i="5"/>
  <c r="G187" i="3"/>
  <c r="J107" i="10"/>
  <c r="F60" i="10"/>
  <c r="F149" i="8"/>
  <c r="H149" i="8"/>
  <c r="F86" i="8"/>
  <c r="F43" i="8"/>
  <c r="H43" i="8"/>
  <c r="V17" i="6"/>
  <c r="U17" i="6"/>
  <c r="T17" i="6"/>
  <c r="S17" i="6"/>
  <c r="W17" i="6"/>
  <c r="W18" i="6"/>
  <c r="W19" i="6"/>
  <c r="V50" i="5"/>
  <c r="U50" i="5"/>
  <c r="T50" i="5"/>
  <c r="S50" i="5"/>
  <c r="W50" i="5"/>
  <c r="U31" i="5"/>
  <c r="S31" i="5"/>
  <c r="L9" i="5"/>
  <c r="K9" i="5"/>
  <c r="J9" i="5"/>
  <c r="I9" i="5"/>
  <c r="M9" i="5"/>
  <c r="H192" i="3"/>
  <c r="K181" i="3"/>
  <c r="J181" i="3"/>
  <c r="K49" i="2"/>
  <c r="J49" i="2"/>
  <c r="F103" i="10"/>
  <c r="H63" i="8"/>
  <c r="J63" i="8"/>
  <c r="H187" i="3"/>
  <c r="L13" i="12"/>
  <c r="K13" i="12"/>
  <c r="L12" i="12"/>
  <c r="K12" i="12"/>
  <c r="C53" i="12"/>
  <c r="L6" i="12"/>
  <c r="K6" i="12"/>
  <c r="K14" i="13"/>
  <c r="I14" i="13"/>
  <c r="I18" i="13"/>
  <c r="K18" i="13"/>
  <c r="K24" i="13"/>
  <c r="I24" i="13"/>
  <c r="G118" i="13"/>
  <c r="K81" i="13"/>
  <c r="I81" i="13"/>
  <c r="K158" i="13"/>
  <c r="I158" i="13"/>
  <c r="G76" i="13"/>
  <c r="K68" i="13"/>
  <c r="I68" i="13"/>
  <c r="K145" i="13"/>
  <c r="I145" i="13"/>
  <c r="E53" i="12"/>
  <c r="E57" i="12" s="1"/>
  <c r="H109" i="10"/>
  <c r="L230" i="8"/>
  <c r="H236" i="8"/>
  <c r="H233" i="8"/>
  <c r="J233" i="8"/>
  <c r="H230" i="8"/>
  <c r="J230" i="8"/>
  <c r="F191" i="8"/>
  <c r="J152" i="8"/>
  <c r="J149" i="8"/>
  <c r="L149" i="8"/>
  <c r="F146" i="8"/>
  <c r="H122" i="8"/>
  <c r="J62" i="8"/>
  <c r="J56" i="8"/>
  <c r="L56" i="8"/>
  <c r="F192" i="8"/>
  <c r="F131" i="8"/>
  <c r="F219" i="8"/>
  <c r="F106" i="8"/>
  <c r="H106" i="8"/>
  <c r="F194" i="8"/>
  <c r="F282" i="8"/>
  <c r="F144" i="8"/>
  <c r="H144" i="8"/>
  <c r="F232" i="8"/>
  <c r="H232" i="8"/>
  <c r="M22" i="6"/>
  <c r="L22" i="6"/>
  <c r="K22" i="6"/>
  <c r="J22" i="6"/>
  <c r="I22" i="6"/>
  <c r="W45" i="5"/>
  <c r="V45" i="5"/>
  <c r="U45" i="5"/>
  <c r="T45" i="5"/>
  <c r="S45" i="5"/>
  <c r="W10" i="5"/>
  <c r="V10" i="5"/>
  <c r="U10" i="5"/>
  <c r="T10" i="5"/>
  <c r="S10" i="5"/>
  <c r="L213" i="3"/>
  <c r="M213" i="3"/>
  <c r="G192" i="3"/>
  <c r="M170" i="3"/>
  <c r="L170" i="3"/>
  <c r="N160" i="3"/>
  <c r="M160" i="3"/>
  <c r="L160" i="3"/>
  <c r="K160" i="3"/>
  <c r="J160" i="3"/>
  <c r="I193" i="3"/>
  <c r="N142" i="3"/>
  <c r="M142" i="3"/>
  <c r="L142" i="3"/>
  <c r="K142" i="3"/>
  <c r="J142" i="3"/>
  <c r="M63" i="2"/>
  <c r="L63" i="2"/>
  <c r="L41" i="2"/>
  <c r="M41" i="2"/>
  <c r="K41" i="2"/>
  <c r="J41" i="2"/>
  <c r="N24" i="2"/>
  <c r="M24" i="2"/>
  <c r="K24" i="2"/>
  <c r="L24" i="2"/>
  <c r="J24" i="2"/>
  <c r="F76" i="13"/>
  <c r="F62" i="13"/>
  <c r="D54" i="12"/>
  <c r="M25" i="6"/>
  <c r="L25" i="6"/>
  <c r="K25" i="6"/>
  <c r="J25" i="6"/>
  <c r="I25" i="6"/>
  <c r="M28" i="6"/>
  <c r="K215" i="3"/>
  <c r="J215" i="3"/>
  <c r="M197" i="3"/>
  <c r="L197" i="3"/>
  <c r="K114" i="17"/>
  <c r="I114" i="17"/>
  <c r="F190" i="8"/>
  <c r="L163" i="8"/>
  <c r="L172" i="8"/>
  <c r="L169" i="8"/>
  <c r="J168" i="8"/>
  <c r="H60" i="8"/>
  <c r="J60" i="8"/>
  <c r="K48" i="6"/>
  <c r="J48" i="6"/>
  <c r="I48" i="6"/>
  <c r="M48" i="6"/>
  <c r="L48" i="6"/>
  <c r="M52" i="6"/>
  <c r="K49" i="5"/>
  <c r="J49" i="5"/>
  <c r="I49" i="5"/>
  <c r="M49" i="5"/>
  <c r="L49" i="5"/>
  <c r="S36" i="5"/>
  <c r="U36" i="5"/>
  <c r="L10" i="5"/>
  <c r="J10" i="5"/>
  <c r="H191" i="3"/>
  <c r="J129" i="8"/>
  <c r="J104" i="10"/>
  <c r="L104" i="10"/>
  <c r="F57" i="10"/>
  <c r="H57" i="10"/>
  <c r="L187" i="8"/>
  <c r="H55" i="8"/>
  <c r="J55" i="8"/>
  <c r="F35" i="8"/>
  <c r="H35" i="8"/>
  <c r="L47" i="6"/>
  <c r="J47" i="6"/>
  <c r="V41" i="6"/>
  <c r="U41" i="6"/>
  <c r="T41" i="6"/>
  <c r="S41" i="6"/>
  <c r="W41" i="6"/>
  <c r="L44" i="5"/>
  <c r="K44" i="5"/>
  <c r="J44" i="5"/>
  <c r="I44" i="5"/>
  <c r="M44" i="5"/>
  <c r="S23" i="5"/>
  <c r="U23" i="5"/>
  <c r="H188" i="3"/>
  <c r="K188" i="3" s="1"/>
  <c r="K177" i="3"/>
  <c r="J177" i="3"/>
  <c r="K72" i="2"/>
  <c r="J72" i="2"/>
  <c r="K38" i="2"/>
  <c r="J38" i="2"/>
  <c r="F100" i="10"/>
  <c r="F59" i="8"/>
  <c r="L18" i="12"/>
  <c r="K18" i="12"/>
  <c r="L10" i="12"/>
  <c r="K10" i="12"/>
  <c r="L36" i="12"/>
  <c r="K36" i="12"/>
  <c r="L122" i="8"/>
  <c r="H120" i="8"/>
  <c r="F55" i="8"/>
  <c r="K16" i="13"/>
  <c r="I16" i="13"/>
  <c r="I28" i="13"/>
  <c r="K28" i="13"/>
  <c r="I114" i="13"/>
  <c r="K114" i="13"/>
  <c r="K89" i="13"/>
  <c r="I89" i="13"/>
  <c r="G104" i="13"/>
  <c r="I85" i="13"/>
  <c r="K85" i="13"/>
  <c r="I154" i="13"/>
  <c r="K154" i="13"/>
  <c r="E55" i="12"/>
  <c r="H98" i="10"/>
  <c r="H80" i="10"/>
  <c r="J285" i="8"/>
  <c r="L285" i="8"/>
  <c r="H278" i="8"/>
  <c r="H275" i="8"/>
  <c r="L284" i="8"/>
  <c r="L281" i="8"/>
  <c r="L278" i="8"/>
  <c r="H254" i="8"/>
  <c r="J232" i="8"/>
  <c r="J229" i="8"/>
  <c r="H239" i="8"/>
  <c r="J213" i="8"/>
  <c r="J187" i="8"/>
  <c r="L142" i="8"/>
  <c r="H148" i="8"/>
  <c r="L146" i="8"/>
  <c r="J64" i="8"/>
  <c r="F214" i="8"/>
  <c r="F145" i="8"/>
  <c r="F233" i="8"/>
  <c r="F120" i="8"/>
  <c r="F208" i="8"/>
  <c r="F213" i="8"/>
  <c r="H213" i="8"/>
  <c r="F152" i="8"/>
  <c r="H152" i="8"/>
  <c r="F240" i="8"/>
  <c r="H240" i="8"/>
  <c r="W44" i="6"/>
  <c r="V44" i="6"/>
  <c r="U44" i="6"/>
  <c r="T44" i="6"/>
  <c r="S44" i="6"/>
  <c r="W9" i="6"/>
  <c r="V9" i="6"/>
  <c r="U9" i="6"/>
  <c r="T9" i="6"/>
  <c r="S9" i="6"/>
  <c r="M39" i="5"/>
  <c r="L39" i="5"/>
  <c r="K39" i="5"/>
  <c r="J39" i="5"/>
  <c r="I39" i="5"/>
  <c r="M42" i="5"/>
  <c r="W21" i="5"/>
  <c r="V21" i="5"/>
  <c r="U21" i="5"/>
  <c r="T21" i="5"/>
  <c r="S21" i="5"/>
  <c r="N180" i="3"/>
  <c r="M180" i="3"/>
  <c r="L180" i="3"/>
  <c r="K180" i="3"/>
  <c r="I191" i="3"/>
  <c r="J180" i="3"/>
  <c r="M158" i="3"/>
  <c r="L158" i="3"/>
  <c r="L140" i="3"/>
  <c r="M140" i="3"/>
  <c r="E42" i="2"/>
  <c r="L22" i="2"/>
  <c r="M22" i="2"/>
  <c r="N9" i="2"/>
  <c r="M9" i="2"/>
  <c r="L9" i="2"/>
  <c r="K9" i="2"/>
  <c r="J9" i="2"/>
  <c r="I18" i="2"/>
  <c r="F34" i="13"/>
  <c r="F160" i="13"/>
  <c r="M44" i="2"/>
  <c r="L44" i="2"/>
  <c r="L201" i="3"/>
  <c r="M201" i="3"/>
  <c r="M205" i="3"/>
  <c r="L205" i="3"/>
  <c r="M124" i="3"/>
  <c r="L124" i="3"/>
  <c r="K124" i="3"/>
  <c r="J124" i="3"/>
  <c r="M125" i="3"/>
  <c r="L125" i="3"/>
  <c r="K125" i="3"/>
  <c r="J125" i="3"/>
  <c r="L127" i="3"/>
  <c r="K127" i="3"/>
  <c r="J127" i="3"/>
  <c r="M127" i="3"/>
  <c r="M203" i="3"/>
  <c r="L203" i="3"/>
  <c r="M126" i="3"/>
  <c r="L126" i="3"/>
  <c r="K126" i="3"/>
  <c r="J126" i="3"/>
  <c r="F150" i="8"/>
  <c r="F238" i="8"/>
  <c r="F279" i="8"/>
  <c r="H279" i="8"/>
  <c r="F188" i="8"/>
  <c r="H188" i="8"/>
  <c r="F276" i="8"/>
  <c r="H276" i="8"/>
  <c r="W36" i="6"/>
  <c r="V36" i="6"/>
  <c r="U36" i="6"/>
  <c r="T36" i="6"/>
  <c r="S36" i="6"/>
  <c r="W38" i="6"/>
  <c r="M31" i="5"/>
  <c r="L31" i="5"/>
  <c r="K31" i="5"/>
  <c r="J31" i="5"/>
  <c r="I31" i="5"/>
  <c r="I187" i="3"/>
  <c r="N176" i="3"/>
  <c r="M176" i="3"/>
  <c r="L176" i="3"/>
  <c r="K176" i="3"/>
  <c r="J176" i="3"/>
  <c r="M154" i="3"/>
  <c r="L154" i="3"/>
  <c r="M136" i="3"/>
  <c r="L136" i="3"/>
  <c r="E18" i="2"/>
  <c r="L15" i="2"/>
  <c r="M15" i="2"/>
  <c r="F132" i="13"/>
  <c r="M133" i="3"/>
  <c r="L133" i="3"/>
  <c r="K133" i="3"/>
  <c r="J133" i="3"/>
  <c r="J129" i="3"/>
  <c r="K129" i="3"/>
  <c r="M129" i="3"/>
  <c r="L129" i="3"/>
  <c r="M131" i="3"/>
  <c r="L131" i="3"/>
  <c r="J131" i="3"/>
  <c r="K131" i="3"/>
  <c r="M134" i="3"/>
  <c r="L134" i="3"/>
  <c r="K134" i="3"/>
  <c r="J134" i="3"/>
  <c r="J130" i="3"/>
  <c r="M130" i="3"/>
  <c r="K130" i="3"/>
  <c r="L130" i="3"/>
  <c r="L70" i="2"/>
  <c r="M70" i="2"/>
  <c r="K106" i="18"/>
  <c r="J106" i="18"/>
  <c r="I106" i="18"/>
  <c r="K138" i="42"/>
  <c r="S118" i="18"/>
  <c r="R118" i="18"/>
  <c r="T118" i="18"/>
  <c r="I16" i="43"/>
  <c r="H16" i="43"/>
  <c r="J16" i="43"/>
  <c r="I11" i="37"/>
  <c r="H11" i="37"/>
  <c r="G11" i="37"/>
  <c r="C7" i="19"/>
  <c r="AB92" i="18"/>
  <c r="Z92" i="18"/>
  <c r="AA92" i="18"/>
  <c r="J118" i="27"/>
  <c r="I118" i="27"/>
  <c r="M118" i="27"/>
  <c r="L118" i="27"/>
  <c r="K118" i="27"/>
  <c r="K62" i="26"/>
  <c r="M62" i="26"/>
  <c r="L62" i="26"/>
  <c r="J62" i="26"/>
  <c r="I62" i="26"/>
  <c r="K20" i="27"/>
  <c r="J20" i="27"/>
  <c r="I20" i="27"/>
  <c r="M20" i="27"/>
  <c r="L20" i="27"/>
  <c r="K163" i="14"/>
  <c r="J163" i="14"/>
  <c r="I163" i="14"/>
  <c r="M160" i="26"/>
  <c r="L160" i="26"/>
  <c r="K160" i="26"/>
  <c r="J160" i="26"/>
  <c r="I160" i="26"/>
  <c r="M11" i="37"/>
  <c r="L11" i="37"/>
  <c r="K11" i="37"/>
  <c r="N147" i="22"/>
  <c r="K147" i="22"/>
  <c r="J147" i="22"/>
  <c r="M147" i="22"/>
  <c r="L147" i="22"/>
  <c r="N35" i="22"/>
  <c r="L35" i="22"/>
  <c r="K35" i="22"/>
  <c r="J35" i="22"/>
  <c r="M35" i="22"/>
  <c r="H120" i="21"/>
  <c r="J120" i="21"/>
  <c r="I120" i="21"/>
  <c r="L77" i="15"/>
  <c r="J77" i="15"/>
  <c r="I77" i="15"/>
  <c r="M77" i="15"/>
  <c r="K77" i="15"/>
  <c r="S7" i="19"/>
  <c r="R65" i="19"/>
  <c r="P65" i="19"/>
  <c r="I92" i="18"/>
  <c r="K92" i="18"/>
  <c r="J92" i="18"/>
  <c r="K34" i="18"/>
  <c r="J34" i="18"/>
  <c r="I34" i="18"/>
  <c r="K35" i="15"/>
  <c r="I35" i="15"/>
  <c r="M35" i="15"/>
  <c r="L35" i="15"/>
  <c r="J35" i="15"/>
  <c r="K140" i="42"/>
  <c r="N91" i="22"/>
  <c r="L91" i="22"/>
  <c r="K91" i="22"/>
  <c r="J91" i="22"/>
  <c r="M91" i="22"/>
  <c r="L7" i="19"/>
  <c r="P16" i="42"/>
  <c r="R16" i="42"/>
  <c r="Q16" i="42"/>
  <c r="S16" i="42"/>
  <c r="T16" i="42"/>
  <c r="K141" i="41"/>
  <c r="Q11" i="37"/>
  <c r="P11" i="37"/>
  <c r="O11" i="37"/>
  <c r="S11" i="37"/>
  <c r="T11" i="37"/>
  <c r="R11" i="37"/>
  <c r="I104" i="27"/>
  <c r="M104" i="27"/>
  <c r="K104" i="27"/>
  <c r="J104" i="27"/>
  <c r="L104" i="27"/>
  <c r="I90" i="26"/>
  <c r="M90" i="26"/>
  <c r="L90" i="26"/>
  <c r="K90" i="26"/>
  <c r="J90" i="26"/>
  <c r="I48" i="18"/>
  <c r="J48" i="18"/>
  <c r="K48" i="18"/>
  <c r="T36" i="18"/>
  <c r="S36" i="18"/>
  <c r="R36" i="18"/>
  <c r="J16" i="42"/>
  <c r="I16" i="42"/>
  <c r="H16" i="42"/>
  <c r="T148" i="18"/>
  <c r="R148" i="18"/>
  <c r="S148" i="18"/>
  <c r="J34" i="26"/>
  <c r="I34" i="26"/>
  <c r="M34" i="26"/>
  <c r="L34" i="26"/>
  <c r="K34" i="26"/>
  <c r="I64" i="21"/>
  <c r="H64" i="21"/>
  <c r="J64" i="21"/>
  <c r="M116" i="3"/>
  <c r="L116" i="3"/>
  <c r="K116" i="3"/>
  <c r="J116" i="3"/>
  <c r="J194" i="3"/>
  <c r="L194" i="3"/>
  <c r="K194" i="3"/>
  <c r="M194" i="3"/>
  <c r="M123" i="3"/>
  <c r="J123" i="3"/>
  <c r="L123" i="3"/>
  <c r="K123" i="3"/>
  <c r="J113" i="3"/>
  <c r="K113" i="3"/>
  <c r="M113" i="3"/>
  <c r="L113" i="3"/>
  <c r="M76" i="27"/>
  <c r="L76" i="27"/>
  <c r="K76" i="27"/>
  <c r="J76" i="27"/>
  <c r="I76" i="27"/>
  <c r="I134" i="21"/>
  <c r="H134" i="21"/>
  <c r="J134" i="21"/>
  <c r="J92" i="21"/>
  <c r="I92" i="21"/>
  <c r="H92" i="21"/>
  <c r="M105" i="22"/>
  <c r="L105" i="22"/>
  <c r="K105" i="22"/>
  <c r="J105" i="22"/>
  <c r="N105" i="22"/>
  <c r="S146" i="18"/>
  <c r="R146" i="18"/>
  <c r="T146" i="18"/>
  <c r="T120" i="18"/>
  <c r="S120" i="18"/>
  <c r="R120" i="18"/>
  <c r="AA90" i="18"/>
  <c r="Z90" i="18"/>
  <c r="AB90" i="18"/>
  <c r="AB64" i="18"/>
  <c r="AA64" i="18"/>
  <c r="Z64" i="18"/>
  <c r="S34" i="18"/>
  <c r="R34" i="18"/>
  <c r="T34" i="18"/>
  <c r="T8" i="18"/>
  <c r="S8" i="18"/>
  <c r="R8" i="18"/>
  <c r="T98" i="18"/>
  <c r="T89" i="18"/>
  <c r="T72" i="18"/>
  <c r="T68" i="18"/>
  <c r="T51" i="18"/>
  <c r="K50" i="18"/>
  <c r="J50" i="18"/>
  <c r="I50" i="18"/>
  <c r="L21" i="16"/>
  <c r="K21" i="16"/>
  <c r="M21" i="16"/>
  <c r="J21" i="16"/>
  <c r="I21" i="16"/>
  <c r="T110" i="18"/>
  <c r="J91" i="16"/>
  <c r="I91" i="16"/>
  <c r="M91" i="16"/>
  <c r="L91" i="16"/>
  <c r="K91" i="16"/>
  <c r="L9" i="16"/>
  <c r="K9" i="16"/>
  <c r="J9" i="16"/>
  <c r="I9" i="16"/>
  <c r="M9" i="16"/>
  <c r="M154" i="16"/>
  <c r="L119" i="16"/>
  <c r="K119" i="16"/>
  <c r="J119" i="16"/>
  <c r="M119" i="16"/>
  <c r="I119" i="16"/>
  <c r="M76" i="16"/>
  <c r="M25" i="16"/>
  <c r="L161" i="15"/>
  <c r="J161" i="15"/>
  <c r="M161" i="15"/>
  <c r="K161" i="15"/>
  <c r="I161" i="15"/>
  <c r="M125" i="16"/>
  <c r="M90" i="16"/>
  <c r="K120" i="18"/>
  <c r="I120" i="18"/>
  <c r="J120" i="18"/>
  <c r="M79" i="16"/>
  <c r="L79" i="16"/>
  <c r="J79" i="16"/>
  <c r="I79" i="16"/>
  <c r="K79" i="16"/>
  <c r="T28" i="18"/>
  <c r="M140" i="16"/>
  <c r="M62" i="16"/>
  <c r="M26" i="16"/>
  <c r="K107" i="14"/>
  <c r="J107" i="14"/>
  <c r="I107" i="14"/>
  <c r="M49" i="16"/>
  <c r="K49" i="16"/>
  <c r="J49" i="16"/>
  <c r="L49" i="16"/>
  <c r="I49" i="16"/>
  <c r="I119" i="15"/>
  <c r="M119" i="15"/>
  <c r="L119" i="15"/>
  <c r="J119" i="15"/>
  <c r="K119" i="15"/>
  <c r="M101" i="16"/>
  <c r="K79" i="14"/>
  <c r="J79" i="14"/>
  <c r="I79" i="14"/>
  <c r="K120" i="3"/>
  <c r="J120" i="3"/>
  <c r="L120" i="3"/>
  <c r="M120" i="3"/>
  <c r="M43" i="2"/>
  <c r="J43" i="2"/>
  <c r="M28" i="16"/>
  <c r="L192" i="3"/>
  <c r="K192" i="3"/>
  <c r="J192" i="3"/>
  <c r="M192" i="3"/>
  <c r="K143" i="42"/>
  <c r="M16" i="42"/>
  <c r="N16" i="42"/>
  <c r="L16" i="42"/>
  <c r="O129" i="37"/>
  <c r="N129" i="37"/>
  <c r="L129" i="37"/>
  <c r="M129" i="37"/>
  <c r="K129" i="37"/>
  <c r="K140" i="41"/>
  <c r="L76" i="26"/>
  <c r="K76" i="26"/>
  <c r="J76" i="26"/>
  <c r="I76" i="26"/>
  <c r="M76" i="26"/>
  <c r="I20" i="26"/>
  <c r="M20" i="26"/>
  <c r="K20" i="26"/>
  <c r="J20" i="26"/>
  <c r="L20" i="26"/>
  <c r="N119" i="22"/>
  <c r="M119" i="22"/>
  <c r="L119" i="22"/>
  <c r="J119" i="22"/>
  <c r="K119" i="22"/>
  <c r="T159" i="18"/>
  <c r="T152" i="18"/>
  <c r="T139" i="18"/>
  <c r="T135" i="18"/>
  <c r="T53" i="18"/>
  <c r="T40" i="18"/>
  <c r="T27" i="18"/>
  <c r="T23" i="18"/>
  <c r="T129" i="18"/>
  <c r="T52" i="18"/>
  <c r="T17" i="18"/>
  <c r="T94" i="18"/>
  <c r="T59" i="18"/>
  <c r="K132" i="18"/>
  <c r="I132" i="18"/>
  <c r="J132" i="18"/>
  <c r="K149" i="16"/>
  <c r="J149" i="16"/>
  <c r="I149" i="16"/>
  <c r="M149" i="16"/>
  <c r="L149" i="16"/>
  <c r="M38" i="16"/>
  <c r="M29" i="16"/>
  <c r="K8" i="18"/>
  <c r="I8" i="18"/>
  <c r="J8" i="18"/>
  <c r="M103" i="16"/>
  <c r="M69" i="16"/>
  <c r="K90" i="18"/>
  <c r="J90" i="18"/>
  <c r="I90" i="18"/>
  <c r="K47" i="18"/>
  <c r="T11" i="18"/>
  <c r="M143" i="16"/>
  <c r="M57" i="16"/>
  <c r="M14" i="16"/>
  <c r="K140" i="18"/>
  <c r="T19" i="18"/>
  <c r="M85" i="16"/>
  <c r="M11" i="16"/>
  <c r="K118" i="18"/>
  <c r="J118" i="18"/>
  <c r="I118" i="18"/>
  <c r="K95" i="18"/>
  <c r="K60" i="18"/>
  <c r="K41" i="18"/>
  <c r="M23" i="17"/>
  <c r="J23" i="17"/>
  <c r="I23" i="17"/>
  <c r="L23" i="17"/>
  <c r="K23" i="17"/>
  <c r="M99" i="16"/>
  <c r="M153" i="16"/>
  <c r="I148" i="18"/>
  <c r="K148" i="18"/>
  <c r="J148" i="18"/>
  <c r="M75" i="16"/>
  <c r="T131" i="18"/>
  <c r="K103" i="18"/>
  <c r="K30" i="18"/>
  <c r="M27" i="16"/>
  <c r="M91" i="15"/>
  <c r="K91" i="15"/>
  <c r="J91" i="15"/>
  <c r="L91" i="15"/>
  <c r="I91" i="15"/>
  <c r="K136" i="18"/>
  <c r="M139" i="16"/>
  <c r="K138" i="18"/>
  <c r="M188" i="3"/>
  <c r="L188" i="3"/>
  <c r="L119" i="3"/>
  <c r="K119" i="3"/>
  <c r="J119" i="3"/>
  <c r="M119" i="3"/>
  <c r="M53" i="16"/>
  <c r="M118" i="3"/>
  <c r="L118" i="3"/>
  <c r="K118" i="3"/>
  <c r="J118" i="3"/>
  <c r="J114" i="3"/>
  <c r="M114" i="3"/>
  <c r="K114" i="3"/>
  <c r="L114" i="3"/>
  <c r="N16" i="43"/>
  <c r="M16" i="43"/>
  <c r="L16" i="43"/>
  <c r="K145" i="42"/>
  <c r="K143" i="43"/>
  <c r="K118" i="26"/>
  <c r="J118" i="26"/>
  <c r="I118" i="26"/>
  <c r="M118" i="26"/>
  <c r="L118" i="26"/>
  <c r="K161" i="22"/>
  <c r="J161" i="22"/>
  <c r="N161" i="22"/>
  <c r="M161" i="22"/>
  <c r="L161" i="22"/>
  <c r="H148" i="21"/>
  <c r="J148" i="21"/>
  <c r="I148" i="21"/>
  <c r="S160" i="18"/>
  <c r="R160" i="18"/>
  <c r="T160" i="18"/>
  <c r="S134" i="18"/>
  <c r="R134" i="18"/>
  <c r="T134" i="18"/>
  <c r="AB104" i="18"/>
  <c r="AA104" i="18"/>
  <c r="Z104" i="18"/>
  <c r="AA78" i="18"/>
  <c r="Z78" i="18"/>
  <c r="AB78" i="18"/>
  <c r="T70" i="18"/>
  <c r="T61" i="18"/>
  <c r="T44" i="18"/>
  <c r="T48" i="18"/>
  <c r="S48" i="18"/>
  <c r="R48" i="18"/>
  <c r="S22" i="18"/>
  <c r="R22" i="18"/>
  <c r="T22" i="18"/>
  <c r="K134" i="18"/>
  <c r="J134" i="18"/>
  <c r="I134" i="18"/>
  <c r="K126" i="18"/>
  <c r="AB108" i="18"/>
  <c r="T99" i="18"/>
  <c r="AB73" i="18"/>
  <c r="T60" i="18"/>
  <c r="AB150" i="18"/>
  <c r="T141" i="18"/>
  <c r="T132" i="18"/>
  <c r="S132" i="18"/>
  <c r="R132" i="18"/>
  <c r="AB115" i="18"/>
  <c r="S106" i="18"/>
  <c r="R106" i="18"/>
  <c r="T106" i="18"/>
  <c r="T102" i="18"/>
  <c r="AB76" i="18"/>
  <c r="AA76" i="18"/>
  <c r="Z76" i="18"/>
  <c r="AA50" i="18"/>
  <c r="Z50" i="18"/>
  <c r="AB50" i="18"/>
  <c r="AB38" i="18"/>
  <c r="T29" i="18"/>
  <c r="T20" i="18"/>
  <c r="S20" i="18"/>
  <c r="R20" i="18"/>
  <c r="K141" i="18"/>
  <c r="K107" i="18"/>
  <c r="K76" i="18"/>
  <c r="I76" i="18"/>
  <c r="J76" i="18"/>
  <c r="K59" i="18"/>
  <c r="K25" i="18"/>
  <c r="M158" i="16"/>
  <c r="M72" i="16"/>
  <c r="L63" i="16"/>
  <c r="K63" i="16"/>
  <c r="M63" i="16"/>
  <c r="J63" i="16"/>
  <c r="I63" i="16"/>
  <c r="K37" i="16"/>
  <c r="J37" i="16"/>
  <c r="I37" i="16"/>
  <c r="M37" i="16"/>
  <c r="L37" i="16"/>
  <c r="M112" i="16"/>
  <c r="I77" i="16"/>
  <c r="M77" i="16"/>
  <c r="L77" i="16"/>
  <c r="J77" i="16"/>
  <c r="K77" i="16"/>
  <c r="M34" i="16"/>
  <c r="AB58" i="18"/>
  <c r="T45" i="18"/>
  <c r="AB24" i="18"/>
  <c r="M100" i="16"/>
  <c r="T123" i="18"/>
  <c r="K71" i="18"/>
  <c r="K56" i="18"/>
  <c r="K37" i="18"/>
  <c r="M128" i="16"/>
  <c r="M93" i="16"/>
  <c r="K93" i="16"/>
  <c r="J93" i="16"/>
  <c r="L93" i="16"/>
  <c r="I93" i="16"/>
  <c r="M42" i="16"/>
  <c r="M33" i="16"/>
  <c r="L49" i="15"/>
  <c r="J49" i="15"/>
  <c r="M49" i="15"/>
  <c r="K49" i="15"/>
  <c r="I49" i="15"/>
  <c r="T93" i="18"/>
  <c r="K75" i="18"/>
  <c r="T58" i="18"/>
  <c r="AB37" i="18"/>
  <c r="K26" i="18"/>
  <c r="M10" i="17"/>
  <c r="M142" i="16"/>
  <c r="M47" i="16"/>
  <c r="M21" i="15"/>
  <c r="K21" i="15"/>
  <c r="I21" i="15"/>
  <c r="L21" i="15"/>
  <c r="J21" i="15"/>
  <c r="K45" i="18"/>
  <c r="M114" i="17"/>
  <c r="M44" i="16"/>
  <c r="M12" i="16"/>
  <c r="M71" i="16"/>
  <c r="K101" i="18"/>
  <c r="I79" i="17"/>
  <c r="M79" i="17"/>
  <c r="K79" i="17"/>
  <c r="K155" i="18"/>
  <c r="T84" i="18"/>
  <c r="T158" i="18"/>
  <c r="AB114" i="18"/>
  <c r="M118" i="16"/>
  <c r="M35" i="16"/>
  <c r="L35" i="16"/>
  <c r="J35" i="16"/>
  <c r="I35" i="16"/>
  <c r="K35" i="16"/>
  <c r="K84" i="18"/>
  <c r="M28" i="17"/>
  <c r="J23" i="16"/>
  <c r="M23" i="16"/>
  <c r="L23" i="16"/>
  <c r="K23" i="16"/>
  <c r="I23" i="16"/>
  <c r="M18" i="17"/>
  <c r="M32" i="16"/>
  <c r="K67" i="18"/>
  <c r="M157" i="16"/>
  <c r="K17" i="18"/>
  <c r="M88" i="16"/>
  <c r="K121" i="14"/>
  <c r="J121" i="14"/>
  <c r="I121" i="14"/>
  <c r="K20" i="18"/>
  <c r="I20" i="18"/>
  <c r="J20" i="18"/>
  <c r="X79" i="19"/>
  <c r="M65" i="16"/>
  <c r="L65" i="16"/>
  <c r="K65" i="16"/>
  <c r="I65" i="16"/>
  <c r="J65" i="16"/>
  <c r="S62" i="18"/>
  <c r="R62" i="18"/>
  <c r="T62" i="18"/>
  <c r="I36" i="18"/>
  <c r="K36" i="18"/>
  <c r="J36" i="18"/>
  <c r="K49" i="17"/>
  <c r="J49" i="17"/>
  <c r="I49" i="17"/>
  <c r="M49" i="17"/>
  <c r="L49" i="17"/>
  <c r="L107" i="16"/>
  <c r="K107" i="16"/>
  <c r="J107" i="16"/>
  <c r="I107" i="16"/>
  <c r="M107" i="16"/>
  <c r="K51" i="14"/>
  <c r="J51" i="14"/>
  <c r="I51" i="14"/>
  <c r="I93" i="14"/>
  <c r="K93" i="14"/>
  <c r="J93" i="14"/>
  <c r="J135" i="16"/>
  <c r="I135" i="16"/>
  <c r="M135" i="16"/>
  <c r="L135" i="16"/>
  <c r="K135" i="16"/>
  <c r="K147" i="15"/>
  <c r="I147" i="15"/>
  <c r="L147" i="15"/>
  <c r="J147" i="15"/>
  <c r="M147" i="15"/>
  <c r="K64" i="18"/>
  <c r="I64" i="18"/>
  <c r="J64" i="18"/>
  <c r="M117" i="3"/>
  <c r="L117" i="3"/>
  <c r="K117" i="3"/>
  <c r="J117" i="3"/>
  <c r="J121" i="3"/>
  <c r="L121" i="3"/>
  <c r="K121" i="3"/>
  <c r="M121" i="3"/>
  <c r="J122" i="3"/>
  <c r="M122" i="3"/>
  <c r="L122" i="3"/>
  <c r="K122" i="3"/>
  <c r="M62" i="27"/>
  <c r="L62" i="27"/>
  <c r="K62" i="27"/>
  <c r="J62" i="27"/>
  <c r="I62" i="27"/>
  <c r="N21" i="22"/>
  <c r="M21" i="22"/>
  <c r="L21" i="22"/>
  <c r="K21" i="22"/>
  <c r="J21" i="22"/>
  <c r="M133" i="22"/>
  <c r="L133" i="22"/>
  <c r="K133" i="22"/>
  <c r="J133" i="22"/>
  <c r="N133" i="22"/>
  <c r="I36" i="21"/>
  <c r="H36" i="21"/>
  <c r="J36" i="21"/>
  <c r="I50" i="21"/>
  <c r="H50" i="21"/>
  <c r="J50" i="21"/>
  <c r="T113" i="18"/>
  <c r="T74" i="18"/>
  <c r="K87" i="18"/>
  <c r="K79" i="18"/>
  <c r="K53" i="18"/>
  <c r="K31" i="18"/>
  <c r="K22" i="18"/>
  <c r="J22" i="18"/>
  <c r="I22" i="18"/>
  <c r="AA146" i="18"/>
  <c r="Z146" i="18"/>
  <c r="AB146" i="18"/>
  <c r="AB120" i="18"/>
  <c r="AA120" i="18"/>
  <c r="Z120" i="18"/>
  <c r="T112" i="18"/>
  <c r="T103" i="18"/>
  <c r="T86" i="18"/>
  <c r="S90" i="18"/>
  <c r="R90" i="18"/>
  <c r="T90" i="18"/>
  <c r="T64" i="18"/>
  <c r="S64" i="18"/>
  <c r="R64" i="18"/>
  <c r="AA34" i="18"/>
  <c r="Z34" i="18"/>
  <c r="AB34" i="18"/>
  <c r="AB8" i="18"/>
  <c r="AA8" i="18"/>
  <c r="Z8" i="18"/>
  <c r="AB156" i="18"/>
  <c r="T154" i="18"/>
  <c r="T145" i="18"/>
  <c r="T128" i="18"/>
  <c r="T124" i="18"/>
  <c r="T107" i="18"/>
  <c r="AB81" i="18"/>
  <c r="AB68" i="18"/>
  <c r="AB55" i="18"/>
  <c r="AB51" i="18"/>
  <c r="T42" i="18"/>
  <c r="T33" i="18"/>
  <c r="T16" i="18"/>
  <c r="T12" i="18"/>
  <c r="K156" i="18"/>
  <c r="K150" i="18"/>
  <c r="K111" i="18"/>
  <c r="K68" i="18"/>
  <c r="K29" i="18"/>
  <c r="K62" i="18"/>
  <c r="J62" i="18"/>
  <c r="I62" i="18"/>
  <c r="T37" i="18"/>
  <c r="K19" i="18"/>
  <c r="M81" i="16"/>
  <c r="M46" i="16"/>
  <c r="K58" i="18"/>
  <c r="K43" i="18"/>
  <c r="K24" i="18"/>
  <c r="K9" i="18"/>
  <c r="M86" i="16"/>
  <c r="T149" i="18"/>
  <c r="K131" i="18"/>
  <c r="T114" i="18"/>
  <c r="AB93" i="18"/>
  <c r="K82" i="18"/>
  <c r="M109" i="16"/>
  <c r="M66" i="16"/>
  <c r="M31" i="16"/>
  <c r="M18" i="16"/>
  <c r="AB67" i="18"/>
  <c r="T54" i="18"/>
  <c r="AB32" i="18"/>
  <c r="M137" i="16"/>
  <c r="M94" i="16"/>
  <c r="M59" i="16"/>
  <c r="AB140" i="18"/>
  <c r="T127" i="18"/>
  <c r="K110" i="18"/>
  <c r="M151" i="16"/>
  <c r="M133" i="16"/>
  <c r="L133" i="16"/>
  <c r="K133" i="16"/>
  <c r="I133" i="16"/>
  <c r="J133" i="16"/>
  <c r="M108" i="16"/>
  <c r="M73" i="16"/>
  <c r="M20" i="16"/>
  <c r="AB80" i="18"/>
  <c r="AB110" i="18"/>
  <c r="M136" i="16"/>
  <c r="J23" i="14"/>
  <c r="I23" i="14"/>
  <c r="K23" i="14"/>
  <c r="T32" i="18"/>
  <c r="M83" i="17"/>
  <c r="M54" i="17"/>
  <c r="M114" i="16"/>
  <c r="M45" i="16"/>
  <c r="M41" i="16"/>
  <c r="K114" i="18"/>
  <c r="M130" i="16"/>
  <c r="K67" i="2"/>
  <c r="J67" i="2"/>
  <c r="L67" i="2"/>
  <c r="M67" i="2"/>
  <c r="K15" i="18"/>
  <c r="K138" i="43"/>
  <c r="Q16" i="43"/>
  <c r="S16" i="43"/>
  <c r="R16" i="43"/>
  <c r="P16" i="43"/>
  <c r="T16" i="43"/>
  <c r="K142" i="43"/>
  <c r="K141" i="43"/>
  <c r="K141" i="42"/>
  <c r="M90" i="27"/>
  <c r="L90" i="27"/>
  <c r="K90" i="27"/>
  <c r="J90" i="27"/>
  <c r="I90" i="27"/>
  <c r="J104" i="26"/>
  <c r="I104" i="26"/>
  <c r="M104" i="26"/>
  <c r="L104" i="26"/>
  <c r="K104" i="26"/>
  <c r="K132" i="27"/>
  <c r="J132" i="27"/>
  <c r="I132" i="27"/>
  <c r="M132" i="27"/>
  <c r="L132" i="27"/>
  <c r="L34" i="27"/>
  <c r="K34" i="27"/>
  <c r="J34" i="27"/>
  <c r="I34" i="27"/>
  <c r="M34" i="27"/>
  <c r="L132" i="26"/>
  <c r="K132" i="26"/>
  <c r="J132" i="26"/>
  <c r="I132" i="26"/>
  <c r="M132" i="26"/>
  <c r="L160" i="27"/>
  <c r="K160" i="27"/>
  <c r="J160" i="27"/>
  <c r="I160" i="27"/>
  <c r="M160" i="27"/>
  <c r="M48" i="27"/>
  <c r="L48" i="27"/>
  <c r="K48" i="27"/>
  <c r="J48" i="27"/>
  <c r="I48" i="27"/>
  <c r="N63" i="22"/>
  <c r="M63" i="22"/>
  <c r="L63" i="22"/>
  <c r="K63" i="22"/>
  <c r="J63" i="22"/>
  <c r="I106" i="21"/>
  <c r="H106" i="21"/>
  <c r="J106" i="21"/>
  <c r="I78" i="21"/>
  <c r="H78" i="21"/>
  <c r="J78" i="21"/>
  <c r="J51" i="19"/>
  <c r="H51" i="19"/>
  <c r="T109" i="18"/>
  <c r="T96" i="18"/>
  <c r="T83" i="18"/>
  <c r="T79" i="18"/>
  <c r="K160" i="18"/>
  <c r="J160" i="18"/>
  <c r="I160" i="18"/>
  <c r="K113" i="18"/>
  <c r="K96" i="18"/>
  <c r="K78" i="18"/>
  <c r="J78" i="18"/>
  <c r="I78" i="18"/>
  <c r="AB142" i="18"/>
  <c r="T108" i="18"/>
  <c r="T73" i="18"/>
  <c r="AB56" i="18"/>
  <c r="AB47" i="18"/>
  <c r="AB30" i="18"/>
  <c r="M77" i="22"/>
  <c r="L77" i="22"/>
  <c r="K77" i="22"/>
  <c r="J77" i="22"/>
  <c r="N77" i="22"/>
  <c r="T150" i="18"/>
  <c r="T115" i="18"/>
  <c r="AB98" i="18"/>
  <c r="AB89" i="18"/>
  <c r="AB72" i="18"/>
  <c r="S50" i="18"/>
  <c r="R50" i="18"/>
  <c r="T50" i="18"/>
  <c r="T38" i="18"/>
  <c r="K128" i="18"/>
  <c r="K102" i="18"/>
  <c r="K94" i="18"/>
  <c r="K55" i="18"/>
  <c r="K12" i="18"/>
  <c r="K142" i="18"/>
  <c r="K123" i="18"/>
  <c r="K88" i="18"/>
  <c r="K73" i="18"/>
  <c r="AB15" i="18"/>
  <c r="M132" i="16"/>
  <c r="M13" i="16"/>
  <c r="K158" i="18"/>
  <c r="T75" i="18"/>
  <c r="AA62" i="18"/>
  <c r="Z62" i="18"/>
  <c r="AB62" i="18"/>
  <c r="T41" i="18"/>
  <c r="AB19" i="18"/>
  <c r="M138" i="16"/>
  <c r="L51" i="16"/>
  <c r="K51" i="16"/>
  <c r="J51" i="16"/>
  <c r="M51" i="16"/>
  <c r="I51" i="16"/>
  <c r="AB127" i="18"/>
  <c r="T80" i="18"/>
  <c r="M160" i="16"/>
  <c r="M74" i="16"/>
  <c r="J133" i="15"/>
  <c r="M133" i="15"/>
  <c r="K133" i="15"/>
  <c r="I133" i="15"/>
  <c r="L133" i="15"/>
  <c r="J35" i="17"/>
  <c r="I35" i="17"/>
  <c r="M35" i="17"/>
  <c r="L35" i="17"/>
  <c r="K35" i="17"/>
  <c r="M102" i="16"/>
  <c r="T92" i="18"/>
  <c r="S92" i="18"/>
  <c r="R92" i="18"/>
  <c r="AB36" i="18"/>
  <c r="AA36" i="18"/>
  <c r="Z36" i="18"/>
  <c r="K9" i="17"/>
  <c r="J9" i="17"/>
  <c r="I9" i="17"/>
  <c r="M9" i="17"/>
  <c r="L9" i="17"/>
  <c r="M116" i="16"/>
  <c r="M30" i="16"/>
  <c r="M84" i="16"/>
  <c r="AA118" i="18"/>
  <c r="Z118" i="18"/>
  <c r="AB118" i="18"/>
  <c r="K153" i="18"/>
  <c r="M156" i="16"/>
  <c r="M58" i="16"/>
  <c r="K65" i="14"/>
  <c r="J65" i="14"/>
  <c r="I65" i="14"/>
  <c r="K32" i="18"/>
  <c r="M66" i="17"/>
  <c r="L21" i="17"/>
  <c r="K21" i="17"/>
  <c r="J21" i="17"/>
  <c r="I21" i="17"/>
  <c r="M21" i="17"/>
  <c r="M147" i="16"/>
  <c r="L147" i="16"/>
  <c r="J147" i="16"/>
  <c r="I147" i="16"/>
  <c r="K147" i="16"/>
  <c r="M70" i="16"/>
  <c r="AB97" i="18"/>
  <c r="T97" i="18"/>
  <c r="T67" i="18"/>
  <c r="AB75" i="18"/>
  <c r="M140" i="17"/>
  <c r="AB148" i="18"/>
  <c r="AA148" i="18"/>
  <c r="Z148" i="18"/>
  <c r="M17" i="2"/>
  <c r="L17" i="2"/>
  <c r="K17" i="2"/>
  <c r="J17" i="2"/>
  <c r="M190" i="3"/>
  <c r="L190" i="3"/>
  <c r="K190" i="3"/>
  <c r="J190" i="3"/>
  <c r="M196" i="3"/>
  <c r="L196" i="3"/>
  <c r="J196" i="3"/>
  <c r="M115" i="3"/>
  <c r="J115" i="3"/>
  <c r="L115" i="3"/>
  <c r="K115" i="3"/>
  <c r="M146" i="27"/>
  <c r="K146" i="27"/>
  <c r="J146" i="27"/>
  <c r="I146" i="27"/>
  <c r="L146" i="27"/>
  <c r="K48" i="26"/>
  <c r="J48" i="26"/>
  <c r="I48" i="26"/>
  <c r="M48" i="26"/>
  <c r="L48" i="26"/>
  <c r="M146" i="26"/>
  <c r="L146" i="26"/>
  <c r="K146" i="26"/>
  <c r="J146" i="26"/>
  <c r="I146" i="26"/>
  <c r="M49" i="22"/>
  <c r="L49" i="22"/>
  <c r="K49" i="22"/>
  <c r="J49" i="22"/>
  <c r="N49" i="22"/>
  <c r="J162" i="21"/>
  <c r="I162" i="21"/>
  <c r="H162" i="21"/>
  <c r="I22" i="21"/>
  <c r="H22" i="21"/>
  <c r="J22" i="21"/>
  <c r="AA160" i="18"/>
  <c r="Z160" i="18"/>
  <c r="AB160" i="18"/>
  <c r="AA134" i="18"/>
  <c r="Z134" i="18"/>
  <c r="AB134" i="18"/>
  <c r="T126" i="18"/>
  <c r="T117" i="18"/>
  <c r="T100" i="18"/>
  <c r="T104" i="18"/>
  <c r="S104" i="18"/>
  <c r="R104" i="18"/>
  <c r="S78" i="18"/>
  <c r="R78" i="18"/>
  <c r="T78" i="18"/>
  <c r="AB48" i="18"/>
  <c r="AA48" i="18"/>
  <c r="Z48" i="18"/>
  <c r="AA22" i="18"/>
  <c r="Z22" i="18"/>
  <c r="AB22" i="18"/>
  <c r="T14" i="18"/>
  <c r="K139" i="18"/>
  <c r="I104" i="18"/>
  <c r="K104" i="18"/>
  <c r="J104" i="18"/>
  <c r="K83" i="18"/>
  <c r="K57" i="18"/>
  <c r="K40" i="18"/>
  <c r="K23" i="18"/>
  <c r="T155" i="18"/>
  <c r="AB129" i="18"/>
  <c r="T116" i="18"/>
  <c r="AB52" i="18"/>
  <c r="T43" i="18"/>
  <c r="AB17" i="18"/>
  <c r="AB132" i="18"/>
  <c r="AA132" i="18"/>
  <c r="Z132" i="18"/>
  <c r="AA106" i="18"/>
  <c r="Z106" i="18"/>
  <c r="AB106" i="18"/>
  <c r="AB94" i="18"/>
  <c r="T85" i="18"/>
  <c r="T76" i="18"/>
  <c r="S76" i="18"/>
  <c r="R76" i="18"/>
  <c r="AB59" i="18"/>
  <c r="T46" i="18"/>
  <c r="AB20" i="18"/>
  <c r="AA20" i="18"/>
  <c r="Z20" i="18"/>
  <c r="K37" i="17"/>
  <c r="J37" i="17"/>
  <c r="M37" i="17"/>
  <c r="L37" i="17"/>
  <c r="I37" i="17"/>
  <c r="K72" i="18"/>
  <c r="K46" i="18"/>
  <c r="K38" i="18"/>
  <c r="T140" i="18"/>
  <c r="AB84" i="18"/>
  <c r="T71" i="18"/>
  <c r="K54" i="18"/>
  <c r="M141" i="16"/>
  <c r="M17" i="16"/>
  <c r="L105" i="15"/>
  <c r="K105" i="15"/>
  <c r="I105" i="15"/>
  <c r="M105" i="15"/>
  <c r="J105" i="15"/>
  <c r="K127" i="18"/>
  <c r="K112" i="18"/>
  <c r="K93" i="18"/>
  <c r="AB54" i="18"/>
  <c r="M95" i="16"/>
  <c r="M52" i="16"/>
  <c r="M40" i="16"/>
  <c r="M111" i="16"/>
  <c r="M68" i="16"/>
  <c r="M19" i="16"/>
  <c r="M82" i="16"/>
  <c r="M63" i="15"/>
  <c r="K63" i="15"/>
  <c r="I63" i="15"/>
  <c r="L63" i="15"/>
  <c r="J63" i="15"/>
  <c r="M161" i="16"/>
  <c r="K161" i="16"/>
  <c r="J161" i="16"/>
  <c r="L161" i="16"/>
  <c r="I161" i="16"/>
  <c r="T101" i="18"/>
  <c r="M131" i="16"/>
  <c r="M67" i="16"/>
  <c r="J135" i="14"/>
  <c r="I135" i="14"/>
  <c r="K135" i="14"/>
  <c r="M123" i="16"/>
  <c r="T136" i="18"/>
  <c r="T15" i="18"/>
  <c r="M48" i="17"/>
  <c r="M110" i="16"/>
  <c r="K149" i="14"/>
  <c r="J149" i="14"/>
  <c r="I149" i="14"/>
  <c r="K37" i="14"/>
  <c r="I37" i="14"/>
  <c r="J37" i="14"/>
  <c r="K65" i="18"/>
  <c r="K105" i="16"/>
  <c r="J105" i="16"/>
  <c r="I105" i="16"/>
  <c r="M105" i="16"/>
  <c r="L105" i="16"/>
  <c r="I121" i="16"/>
  <c r="M121" i="16"/>
  <c r="L121" i="16"/>
  <c r="K121" i="16"/>
  <c r="J121" i="16"/>
  <c r="K146" i="18"/>
  <c r="J146" i="18"/>
  <c r="I146" i="18"/>
  <c r="M61" i="16"/>
  <c r="J186" i="3"/>
  <c r="L186" i="3"/>
  <c r="M186" i="3"/>
  <c r="K186" i="3"/>
  <c r="T161" i="19" l="1"/>
  <c r="D9" i="19"/>
  <c r="D119" i="19"/>
  <c r="M46" i="2"/>
  <c r="L46" i="2"/>
  <c r="K207" i="3"/>
  <c r="J207" i="3"/>
  <c r="T91" i="19"/>
  <c r="K201" i="3"/>
  <c r="J201" i="3"/>
  <c r="M107" i="19"/>
  <c r="T49" i="19"/>
  <c r="T93" i="19"/>
  <c r="D161" i="19"/>
  <c r="N71" i="2"/>
  <c r="K71" i="2"/>
  <c r="M71" i="2"/>
  <c r="L71" i="2"/>
  <c r="J71" i="2"/>
  <c r="J70" i="2"/>
  <c r="K70" i="2"/>
  <c r="M121" i="19"/>
  <c r="M21" i="19"/>
  <c r="M105" i="19"/>
  <c r="M77" i="19"/>
  <c r="M93" i="19"/>
  <c r="M133" i="19"/>
  <c r="T21" i="19"/>
  <c r="T23" i="19"/>
  <c r="T133" i="19"/>
  <c r="T135" i="19"/>
  <c r="D91" i="19"/>
  <c r="D93" i="19"/>
  <c r="J44" i="2"/>
  <c r="K44" i="2"/>
  <c r="J45" i="2"/>
  <c r="L45" i="2"/>
  <c r="K45" i="2"/>
  <c r="M45" i="2"/>
  <c r="K46" i="2"/>
  <c r="J46" i="2"/>
  <c r="M204" i="3"/>
  <c r="L204" i="3"/>
  <c r="M206" i="3"/>
  <c r="L206" i="3"/>
  <c r="K206" i="3"/>
  <c r="J206" i="3"/>
  <c r="K204" i="3"/>
  <c r="J204" i="3"/>
  <c r="L69" i="2"/>
  <c r="M69" i="2"/>
  <c r="M23" i="19"/>
  <c r="M9" i="19"/>
  <c r="M135" i="19"/>
  <c r="T63" i="19"/>
  <c r="T65" i="19"/>
  <c r="D21" i="19"/>
  <c r="D23" i="19"/>
  <c r="D133" i="19"/>
  <c r="D135" i="19"/>
  <c r="M198" i="3"/>
  <c r="L198" i="3"/>
  <c r="K198" i="3"/>
  <c r="J198" i="3"/>
  <c r="K205" i="3"/>
  <c r="J205" i="3"/>
  <c r="M51" i="19"/>
  <c r="D121" i="19"/>
  <c r="M147" i="19"/>
  <c r="M119" i="19"/>
  <c r="D65" i="19"/>
  <c r="K203" i="3"/>
  <c r="J203" i="3"/>
  <c r="M149" i="19"/>
  <c r="T35" i="19"/>
  <c r="T37" i="19"/>
  <c r="T147" i="19"/>
  <c r="T149" i="19"/>
  <c r="D105" i="19"/>
  <c r="D107" i="19"/>
  <c r="M35" i="19"/>
  <c r="T51" i="19"/>
  <c r="M91" i="19"/>
  <c r="D51" i="19"/>
  <c r="M79" i="19"/>
  <c r="T107" i="19"/>
  <c r="M63" i="19"/>
  <c r="M161" i="19"/>
  <c r="T77" i="19"/>
  <c r="T79" i="19"/>
  <c r="D35" i="19"/>
  <c r="D37" i="19"/>
  <c r="D147" i="19"/>
  <c r="D149" i="19"/>
  <c r="J202" i="3"/>
  <c r="L202" i="3"/>
  <c r="K202" i="3"/>
  <c r="M202" i="3"/>
  <c r="K197" i="3"/>
  <c r="J197" i="3"/>
  <c r="M200" i="3"/>
  <c r="L200" i="3"/>
  <c r="M49" i="19"/>
  <c r="D49" i="19"/>
  <c r="M37" i="19"/>
  <c r="T105" i="19"/>
  <c r="D63" i="19"/>
  <c r="M65" i="19"/>
  <c r="T9" i="19"/>
  <c r="T119" i="19"/>
  <c r="T121" i="19"/>
  <c r="D77" i="19"/>
  <c r="D79" i="19"/>
  <c r="K199" i="3"/>
  <c r="J199" i="3"/>
  <c r="K200" i="3"/>
  <c r="J200" i="3"/>
  <c r="K195" i="3"/>
  <c r="M195" i="3"/>
  <c r="J195" i="3"/>
  <c r="L195" i="3"/>
  <c r="P49" i="19"/>
  <c r="R49" i="19"/>
  <c r="R51" i="19"/>
  <c r="P51" i="19"/>
  <c r="L63" i="17"/>
  <c r="K63" i="17"/>
  <c r="J63" i="17"/>
  <c r="I63" i="17"/>
  <c r="M63" i="17"/>
  <c r="X133" i="19"/>
  <c r="P79" i="19"/>
  <c r="R79" i="19"/>
  <c r="Z39" i="19"/>
  <c r="S22" i="21"/>
  <c r="R22" i="21"/>
  <c r="T22" i="21"/>
  <c r="Z153" i="19"/>
  <c r="I104" i="13"/>
  <c r="M104" i="13"/>
  <c r="L104" i="13"/>
  <c r="K104" i="13"/>
  <c r="J104" i="13"/>
  <c r="P133" i="19"/>
  <c r="R133" i="19"/>
  <c r="P161" i="19"/>
  <c r="R161" i="19"/>
  <c r="R105" i="19"/>
  <c r="P105" i="19"/>
  <c r="Z113" i="19"/>
  <c r="M160" i="13"/>
  <c r="L160" i="13"/>
  <c r="K160" i="13"/>
  <c r="I160" i="13"/>
  <c r="J160" i="13"/>
  <c r="P91" i="19"/>
  <c r="R91" i="19"/>
  <c r="I146" i="28"/>
  <c r="K146" i="28"/>
  <c r="M146" i="28"/>
  <c r="L146" i="28"/>
  <c r="J146" i="28"/>
  <c r="L16" i="41"/>
  <c r="M16" i="41"/>
  <c r="N16" i="41"/>
  <c r="Z107" i="19"/>
  <c r="P35" i="19"/>
  <c r="R35" i="19"/>
  <c r="X149" i="19"/>
  <c r="J63" i="19"/>
  <c r="H63" i="19"/>
  <c r="M189" i="3"/>
  <c r="L189" i="3"/>
  <c r="K189" i="3"/>
  <c r="J189" i="3"/>
  <c r="K7" i="19"/>
  <c r="R77" i="19"/>
  <c r="P77" i="19"/>
  <c r="Z11" i="19"/>
  <c r="H147" i="19"/>
  <c r="J147" i="19"/>
  <c r="Z136" i="19"/>
  <c r="Z139" i="19"/>
  <c r="Z131" i="19"/>
  <c r="L119" i="17"/>
  <c r="K119" i="17"/>
  <c r="M119" i="17"/>
  <c r="J119" i="17"/>
  <c r="I119" i="17"/>
  <c r="Z71" i="19"/>
  <c r="X107" i="19"/>
  <c r="I146" i="42"/>
  <c r="H146" i="42"/>
  <c r="K146" i="42" s="1"/>
  <c r="G146" i="42"/>
  <c r="Z108" i="19"/>
  <c r="Z156" i="19"/>
  <c r="M121" i="17"/>
  <c r="L121" i="17"/>
  <c r="I121" i="17"/>
  <c r="K121" i="17"/>
  <c r="J121" i="17"/>
  <c r="X93" i="19"/>
  <c r="H146" i="41"/>
  <c r="K146" i="41" s="1"/>
  <c r="I146" i="41"/>
  <c r="G146" i="41"/>
  <c r="M146" i="41"/>
  <c r="L146" i="41"/>
  <c r="O146" i="41"/>
  <c r="N146" i="41"/>
  <c r="M42" i="2"/>
  <c r="L42" i="2"/>
  <c r="J42" i="2"/>
  <c r="K42" i="2"/>
  <c r="N54" i="12"/>
  <c r="K54" i="12"/>
  <c r="J54" i="12"/>
  <c r="M54" i="12"/>
  <c r="L54" i="12"/>
  <c r="I54" i="12"/>
  <c r="J149" i="19"/>
  <c r="H149" i="19"/>
  <c r="L79" i="17"/>
  <c r="J188" i="3"/>
  <c r="K137" i="42"/>
  <c r="M191" i="3"/>
  <c r="L191" i="3"/>
  <c r="K191" i="3"/>
  <c r="J191" i="3"/>
  <c r="Z130" i="19"/>
  <c r="Z86" i="19"/>
  <c r="Z145" i="19"/>
  <c r="Z24" i="19"/>
  <c r="Z73" i="19"/>
  <c r="Z40" i="19"/>
  <c r="Z56" i="19"/>
  <c r="Z51" i="19"/>
  <c r="Z55" i="19"/>
  <c r="Z143" i="19"/>
  <c r="Z58" i="19"/>
  <c r="M20" i="13"/>
  <c r="L20" i="13"/>
  <c r="J20" i="13"/>
  <c r="I20" i="13"/>
  <c r="K20" i="13"/>
  <c r="L90" i="13"/>
  <c r="K90" i="13"/>
  <c r="M90" i="13"/>
  <c r="J90" i="13"/>
  <c r="I90" i="13"/>
  <c r="Z10" i="19"/>
  <c r="X37" i="19"/>
  <c r="Z94" i="19"/>
  <c r="K149" i="17"/>
  <c r="J149" i="17"/>
  <c r="M149" i="17"/>
  <c r="L149" i="17"/>
  <c r="I149" i="17"/>
  <c r="J71" i="19"/>
  <c r="R21" i="19"/>
  <c r="P21" i="19"/>
  <c r="H77" i="19"/>
  <c r="J77" i="19"/>
  <c r="R135" i="19"/>
  <c r="P135" i="19"/>
  <c r="Z132" i="19"/>
  <c r="J133" i="19"/>
  <c r="H133" i="19"/>
  <c r="X135" i="19"/>
  <c r="R28" i="19"/>
  <c r="R123" i="19"/>
  <c r="R16" i="19"/>
  <c r="R95" i="19"/>
  <c r="J139" i="19"/>
  <c r="J58" i="19"/>
  <c r="L20" i="28"/>
  <c r="K20" i="28"/>
  <c r="I20" i="28"/>
  <c r="M20" i="28"/>
  <c r="J20" i="28"/>
  <c r="Z135" i="19"/>
  <c r="I65" i="17"/>
  <c r="M65" i="17"/>
  <c r="L65" i="17"/>
  <c r="K65" i="17"/>
  <c r="J65" i="17"/>
  <c r="J159" i="19"/>
  <c r="R76" i="19"/>
  <c r="Z147" i="19"/>
  <c r="H21" i="19"/>
  <c r="J21" i="19"/>
  <c r="J109" i="19"/>
  <c r="J87" i="19"/>
  <c r="Z14" i="19"/>
  <c r="R111" i="19"/>
  <c r="R140" i="19"/>
  <c r="J62" i="19"/>
  <c r="J107" i="19"/>
  <c r="H107" i="19"/>
  <c r="Z115" i="19"/>
  <c r="H119" i="19"/>
  <c r="J119" i="19"/>
  <c r="R62" i="19"/>
  <c r="R84" i="19"/>
  <c r="O146" i="43"/>
  <c r="M146" i="43"/>
  <c r="L146" i="43"/>
  <c r="N146" i="43"/>
  <c r="Z59" i="19"/>
  <c r="AA18" i="17"/>
  <c r="J49" i="19"/>
  <c r="H49" i="19"/>
  <c r="R157" i="19"/>
  <c r="Z76" i="19"/>
  <c r="M62" i="13"/>
  <c r="L62" i="13"/>
  <c r="J62" i="13"/>
  <c r="I62" i="13"/>
  <c r="K62" i="13"/>
  <c r="L76" i="28"/>
  <c r="K76" i="28"/>
  <c r="I76" i="28"/>
  <c r="M76" i="28"/>
  <c r="J76" i="28"/>
  <c r="H79" i="19"/>
  <c r="J79" i="19"/>
  <c r="H135" i="19"/>
  <c r="J135" i="19"/>
  <c r="R131" i="19"/>
  <c r="J187" i="3"/>
  <c r="K187" i="3"/>
  <c r="M187" i="3"/>
  <c r="L187" i="3"/>
  <c r="M18" i="2"/>
  <c r="K18" i="2"/>
  <c r="L18" i="2"/>
  <c r="J18" i="2"/>
  <c r="Z149" i="19"/>
  <c r="Z32" i="19"/>
  <c r="AA9" i="16"/>
  <c r="Y9" i="16"/>
  <c r="W9" i="16"/>
  <c r="Z9" i="16"/>
  <c r="X9" i="16"/>
  <c r="AA11" i="16"/>
  <c r="AA20" i="16"/>
  <c r="AA15" i="16"/>
  <c r="AA18" i="16"/>
  <c r="AA12" i="16"/>
  <c r="AA10" i="16"/>
  <c r="AA16" i="16"/>
  <c r="AA19" i="16"/>
  <c r="Z103" i="19"/>
  <c r="Z23" i="19"/>
  <c r="Z121" i="19"/>
  <c r="Z60" i="19"/>
  <c r="Z123" i="19"/>
  <c r="Z160" i="19"/>
  <c r="Z52" i="19"/>
  <c r="Z110" i="19"/>
  <c r="Z158" i="19"/>
  <c r="Z129" i="19"/>
  <c r="Z68" i="19"/>
  <c r="K93" i="17"/>
  <c r="J93" i="17"/>
  <c r="M93" i="17"/>
  <c r="I93" i="17"/>
  <c r="L93" i="17"/>
  <c r="I133" i="17"/>
  <c r="M133" i="17"/>
  <c r="L133" i="17"/>
  <c r="K133" i="17"/>
  <c r="J133" i="17"/>
  <c r="J147" i="17"/>
  <c r="I147" i="17"/>
  <c r="M147" i="17"/>
  <c r="L147" i="17"/>
  <c r="K147" i="17"/>
  <c r="X51" i="19"/>
  <c r="Z93" i="19"/>
  <c r="J9" i="19"/>
  <c r="H9" i="19"/>
  <c r="J60" i="19"/>
  <c r="J34" i="19"/>
  <c r="J128" i="19"/>
  <c r="J25" i="19"/>
  <c r="J38" i="19"/>
  <c r="J42" i="19"/>
  <c r="J43" i="19"/>
  <c r="J124" i="19"/>
  <c r="J150" i="19"/>
  <c r="J69" i="19"/>
  <c r="J101" i="19"/>
  <c r="J52" i="19"/>
  <c r="J154" i="19"/>
  <c r="J76" i="19"/>
  <c r="J72" i="19"/>
  <c r="J12" i="19"/>
  <c r="J17" i="19"/>
  <c r="J81" i="19"/>
  <c r="J86" i="19"/>
  <c r="J59" i="19"/>
  <c r="J145" i="19"/>
  <c r="J46" i="19"/>
  <c r="J115" i="19"/>
  <c r="J29" i="19"/>
  <c r="J33" i="19"/>
  <c r="J68" i="19"/>
  <c r="J132" i="19"/>
  <c r="J13" i="19"/>
  <c r="J20" i="19"/>
  <c r="J26" i="19"/>
  <c r="J111" i="19"/>
  <c r="J16" i="19"/>
  <c r="J85" i="19"/>
  <c r="J137" i="19"/>
  <c r="J158" i="19"/>
  <c r="J141" i="19"/>
  <c r="J55" i="19"/>
  <c r="J97" i="19"/>
  <c r="J89" i="19"/>
  <c r="X21" i="19"/>
  <c r="H93" i="19"/>
  <c r="J93" i="19"/>
  <c r="Z43" i="19"/>
  <c r="J125" i="19"/>
  <c r="J44" i="19"/>
  <c r="M118" i="28"/>
  <c r="L118" i="28"/>
  <c r="J118" i="28"/>
  <c r="I118" i="28"/>
  <c r="K118" i="28"/>
  <c r="M91" i="17"/>
  <c r="J91" i="17"/>
  <c r="I91" i="17"/>
  <c r="L91" i="17"/>
  <c r="K91" i="17"/>
  <c r="R143" i="19"/>
  <c r="X9" i="19"/>
  <c r="J82" i="19"/>
  <c r="Z88" i="19"/>
  <c r="Z9" i="17"/>
  <c r="Y9" i="17"/>
  <c r="AA9" i="17"/>
  <c r="X9" i="17"/>
  <c r="W9" i="17"/>
  <c r="AA16" i="17"/>
  <c r="AA12" i="17"/>
  <c r="AA20" i="17"/>
  <c r="R126" i="19"/>
  <c r="R59" i="19"/>
  <c r="R61" i="19"/>
  <c r="R72" i="19"/>
  <c r="Z67" i="19"/>
  <c r="AA15" i="17"/>
  <c r="J142" i="19"/>
  <c r="R119" i="19"/>
  <c r="P119" i="19"/>
  <c r="R45" i="19"/>
  <c r="Z35" i="19"/>
  <c r="R37" i="19"/>
  <c r="P37" i="19"/>
  <c r="H146" i="43"/>
  <c r="K146" i="43" s="1"/>
  <c r="I146" i="43"/>
  <c r="G146" i="43"/>
  <c r="J15" i="19"/>
  <c r="R88" i="19"/>
  <c r="P23" i="19"/>
  <c r="R23" i="19"/>
  <c r="M104" i="28"/>
  <c r="L104" i="28"/>
  <c r="K104" i="28"/>
  <c r="I104" i="28"/>
  <c r="J104" i="28"/>
  <c r="J80" i="19"/>
  <c r="J11" i="19"/>
  <c r="X65" i="19"/>
  <c r="I55" i="12"/>
  <c r="M55" i="12"/>
  <c r="L55" i="12"/>
  <c r="N55" i="12"/>
  <c r="K55" i="12"/>
  <c r="J55" i="12"/>
  <c r="M135" i="17"/>
  <c r="J135" i="17"/>
  <c r="I135" i="17"/>
  <c r="L135" i="17"/>
  <c r="K135" i="17"/>
  <c r="J131" i="19"/>
  <c r="Z117" i="19"/>
  <c r="Z84" i="19"/>
  <c r="Z72" i="19"/>
  <c r="X21" i="15"/>
  <c r="AA21" i="15"/>
  <c r="Z21" i="15"/>
  <c r="Y21" i="15"/>
  <c r="W21" i="15"/>
  <c r="Z124" i="19"/>
  <c r="Z18" i="19"/>
  <c r="Z109" i="19"/>
  <c r="Z146" i="19"/>
  <c r="R63" i="19"/>
  <c r="P63" i="19"/>
  <c r="Z138" i="19"/>
  <c r="J144" i="19"/>
  <c r="P107" i="19"/>
  <c r="R107" i="19"/>
  <c r="J99" i="19"/>
  <c r="Z128" i="19"/>
  <c r="J83" i="19"/>
  <c r="M90" i="28"/>
  <c r="L90" i="28"/>
  <c r="J90" i="28"/>
  <c r="K90" i="28"/>
  <c r="I90" i="28"/>
  <c r="Z65" i="19"/>
  <c r="K105" i="17"/>
  <c r="J105" i="17"/>
  <c r="M105" i="17"/>
  <c r="L105" i="17"/>
  <c r="I105" i="17"/>
  <c r="R154" i="19"/>
  <c r="X35" i="19"/>
  <c r="R93" i="19"/>
  <c r="P93" i="19"/>
  <c r="Z16" i="19"/>
  <c r="K132" i="13"/>
  <c r="J132" i="13"/>
  <c r="I132" i="13"/>
  <c r="M132" i="13"/>
  <c r="L132" i="13"/>
  <c r="K161" i="17"/>
  <c r="J161" i="17"/>
  <c r="M161" i="17"/>
  <c r="I161" i="17"/>
  <c r="L161" i="17"/>
  <c r="P121" i="19"/>
  <c r="R121" i="19"/>
  <c r="X161" i="19"/>
  <c r="J75" i="19"/>
  <c r="Z27" i="19"/>
  <c r="J67" i="19"/>
  <c r="Z152" i="19"/>
  <c r="J136" i="19"/>
  <c r="J40" i="19"/>
  <c r="Z17" i="19"/>
  <c r="J53" i="19"/>
  <c r="Z54" i="19"/>
  <c r="Z70" i="19"/>
  <c r="Z97" i="19"/>
  <c r="C57" i="12"/>
  <c r="Z111" i="19"/>
  <c r="Z140" i="19"/>
  <c r="AA14" i="16"/>
  <c r="Z142" i="19"/>
  <c r="Z89" i="19"/>
  <c r="Y20" i="13"/>
  <c r="X20" i="13"/>
  <c r="W20" i="13"/>
  <c r="AA20" i="13"/>
  <c r="Z20" i="13"/>
  <c r="Z141" i="19"/>
  <c r="Z105" i="19"/>
  <c r="D57" i="12"/>
  <c r="Z137" i="19"/>
  <c r="Z155" i="19"/>
  <c r="Z80" i="19"/>
  <c r="Z127" i="19"/>
  <c r="L146" i="13"/>
  <c r="K146" i="13"/>
  <c r="J146" i="13"/>
  <c r="M146" i="13"/>
  <c r="I146" i="13"/>
  <c r="Z19" i="19"/>
  <c r="Z114" i="19"/>
  <c r="J161" i="19"/>
  <c r="H161" i="19"/>
  <c r="J10" i="19"/>
  <c r="J117" i="19"/>
  <c r="Z157" i="19"/>
  <c r="J118" i="13"/>
  <c r="I118" i="13"/>
  <c r="M118" i="13"/>
  <c r="K118" i="13"/>
  <c r="L118" i="13"/>
  <c r="L107" i="17"/>
  <c r="K107" i="17"/>
  <c r="J107" i="17"/>
  <c r="I107" i="17"/>
  <c r="M107" i="17"/>
  <c r="X121" i="19"/>
  <c r="R9" i="19"/>
  <c r="P9" i="19"/>
  <c r="R60" i="19"/>
  <c r="R142" i="19"/>
  <c r="R56" i="19"/>
  <c r="R82" i="19"/>
  <c r="R102" i="19"/>
  <c r="R30" i="19"/>
  <c r="R47" i="19"/>
  <c r="R18" i="19"/>
  <c r="R52" i="19"/>
  <c r="R151" i="19"/>
  <c r="R155" i="19"/>
  <c r="R69" i="19"/>
  <c r="R138" i="19"/>
  <c r="R26" i="19"/>
  <c r="R34" i="19"/>
  <c r="R40" i="19"/>
  <c r="R17" i="19"/>
  <c r="R86" i="19"/>
  <c r="R14" i="19"/>
  <c r="R74" i="19"/>
  <c r="R146" i="19"/>
  <c r="R159" i="19"/>
  <c r="R112" i="19"/>
  <c r="R129" i="19"/>
  <c r="R98" i="19"/>
  <c r="R94" i="19"/>
  <c r="R116" i="19"/>
  <c r="R66" i="19"/>
  <c r="R13" i="19"/>
  <c r="R48" i="19"/>
  <c r="R57" i="19"/>
  <c r="R83" i="19"/>
  <c r="R73" i="19"/>
  <c r="R39" i="19"/>
  <c r="R31" i="19"/>
  <c r="R43" i="19"/>
  <c r="R125" i="19"/>
  <c r="J57" i="19"/>
  <c r="J152" i="19"/>
  <c r="J45" i="19"/>
  <c r="R108" i="19"/>
  <c r="M132" i="28"/>
  <c r="K132" i="28"/>
  <c r="J132" i="28"/>
  <c r="I132" i="28"/>
  <c r="L132" i="28"/>
  <c r="Z159" i="19"/>
  <c r="M77" i="17"/>
  <c r="L77" i="17"/>
  <c r="I77" i="17"/>
  <c r="K77" i="17"/>
  <c r="J77" i="17"/>
  <c r="J116" i="19"/>
  <c r="J91" i="19"/>
  <c r="H91" i="19"/>
  <c r="J19" i="19"/>
  <c r="X23" i="19"/>
  <c r="R75" i="19"/>
  <c r="AA21" i="22"/>
  <c r="Z21" i="22"/>
  <c r="Y21" i="22"/>
  <c r="X21" i="22"/>
  <c r="AB21" i="22"/>
  <c r="Z66" i="19"/>
  <c r="J14" i="19"/>
  <c r="R127" i="19"/>
  <c r="Z144" i="19"/>
  <c r="P149" i="19"/>
  <c r="R149" i="19"/>
  <c r="J88" i="19"/>
  <c r="J130" i="19"/>
  <c r="J23" i="19"/>
  <c r="H23" i="19"/>
  <c r="J112" i="19"/>
  <c r="R87" i="19"/>
  <c r="Z90" i="19"/>
  <c r="H65" i="19"/>
  <c r="J65" i="19"/>
  <c r="J122" i="19"/>
  <c r="T16" i="41"/>
  <c r="S16" i="41"/>
  <c r="R16" i="41"/>
  <c r="Q16" i="41"/>
  <c r="P16" i="41"/>
  <c r="J16" i="41"/>
  <c r="I16" i="41"/>
  <c r="H16" i="41"/>
  <c r="X63" i="19"/>
  <c r="R24" i="19"/>
  <c r="I129" i="37"/>
  <c r="H129" i="37"/>
  <c r="G129" i="37"/>
  <c r="Z91" i="19"/>
  <c r="J27" i="19"/>
  <c r="J96" i="19"/>
  <c r="L146" i="42"/>
  <c r="O146" i="42"/>
  <c r="M146" i="42"/>
  <c r="N146" i="42"/>
  <c r="K139" i="42"/>
  <c r="K56" i="12"/>
  <c r="J56" i="12"/>
  <c r="N56" i="12"/>
  <c r="M56" i="12"/>
  <c r="L56" i="12"/>
  <c r="I56" i="12"/>
  <c r="Z122" i="19"/>
  <c r="Y7" i="19"/>
  <c r="K193" i="3"/>
  <c r="J193" i="3"/>
  <c r="L193" i="3"/>
  <c r="M193" i="3"/>
  <c r="Z119" i="19"/>
  <c r="Z104" i="19"/>
  <c r="M76" i="13"/>
  <c r="K76" i="13"/>
  <c r="J76" i="13"/>
  <c r="I76" i="13"/>
  <c r="L76" i="13"/>
  <c r="AA21" i="16"/>
  <c r="Y21" i="16"/>
  <c r="W21" i="16"/>
  <c r="Z21" i="16"/>
  <c r="X21" i="16"/>
  <c r="Z48" i="19"/>
  <c r="Z30" i="19"/>
  <c r="J68" i="2"/>
  <c r="N68" i="2"/>
  <c r="K68" i="2"/>
  <c r="M68" i="2"/>
  <c r="L68" i="2"/>
  <c r="Z99" i="19"/>
  <c r="Z15" i="19"/>
  <c r="Z95" i="19"/>
  <c r="Z53" i="19"/>
  <c r="Z79" i="19"/>
  <c r="Z38" i="19"/>
  <c r="Z102" i="19"/>
  <c r="X49" i="19"/>
  <c r="Z47" i="19"/>
  <c r="J94" i="19"/>
  <c r="J113" i="19"/>
  <c r="J48" i="28"/>
  <c r="I48" i="28"/>
  <c r="M48" i="28"/>
  <c r="L48" i="28"/>
  <c r="K48" i="28"/>
  <c r="Z12" i="19"/>
  <c r="R137" i="19"/>
  <c r="Z34" i="19"/>
  <c r="J126" i="19"/>
  <c r="R100" i="19"/>
  <c r="R89" i="19"/>
  <c r="I34" i="28"/>
  <c r="L34" i="28"/>
  <c r="K34" i="28"/>
  <c r="M34" i="28"/>
  <c r="J34" i="28"/>
  <c r="Z75" i="19"/>
  <c r="J127" i="19"/>
  <c r="R85" i="19"/>
  <c r="J90" i="19"/>
  <c r="R20" i="19"/>
  <c r="R71" i="19"/>
  <c r="J95" i="19"/>
  <c r="R32" i="19"/>
  <c r="J24" i="19"/>
  <c r="W21" i="17"/>
  <c r="AA21" i="17"/>
  <c r="Z21" i="17"/>
  <c r="Y21" i="17"/>
  <c r="X21" i="17"/>
  <c r="J151" i="19"/>
  <c r="Z33" i="19"/>
  <c r="J66" i="19"/>
  <c r="J121" i="19"/>
  <c r="H121" i="19"/>
  <c r="J37" i="19"/>
  <c r="H37" i="19"/>
  <c r="R124" i="19"/>
  <c r="R25" i="19"/>
  <c r="Z83" i="19"/>
  <c r="H35" i="19"/>
  <c r="J35" i="19"/>
  <c r="X77" i="19"/>
  <c r="K62" i="28"/>
  <c r="J62" i="28"/>
  <c r="L62" i="28"/>
  <c r="I62" i="28"/>
  <c r="M62" i="28"/>
  <c r="R130" i="19"/>
  <c r="Z44" i="19"/>
  <c r="Z150" i="19"/>
  <c r="Z87" i="19"/>
  <c r="M48" i="13"/>
  <c r="L48" i="13"/>
  <c r="K48" i="13"/>
  <c r="I48" i="13"/>
  <c r="J48" i="13"/>
  <c r="Z81" i="19"/>
  <c r="I7" i="19"/>
  <c r="Z62" i="19"/>
  <c r="Z118" i="19"/>
  <c r="Z69" i="19"/>
  <c r="Z100" i="19"/>
  <c r="M53" i="12"/>
  <c r="L53" i="12"/>
  <c r="I53" i="12"/>
  <c r="H57" i="12"/>
  <c r="J53" i="12"/>
  <c r="N53" i="12"/>
  <c r="K53" i="12"/>
  <c r="Z45" i="19"/>
  <c r="Z61" i="19"/>
  <c r="L34" i="13"/>
  <c r="K34" i="13"/>
  <c r="J34" i="13"/>
  <c r="M34" i="13"/>
  <c r="I34" i="13"/>
  <c r="Z28" i="19"/>
  <c r="Z20" i="19"/>
  <c r="Z74" i="19"/>
  <c r="Z37" i="19"/>
  <c r="Z41" i="19"/>
  <c r="AA17" i="16"/>
  <c r="X147" i="19"/>
  <c r="X105" i="19"/>
  <c r="J84" i="19"/>
  <c r="U23" i="14"/>
  <c r="T23" i="14"/>
  <c r="V23" i="14"/>
  <c r="J110" i="19"/>
  <c r="J47" i="19"/>
  <c r="J18" i="19"/>
  <c r="J32" i="19"/>
  <c r="Z112" i="19"/>
  <c r="J140" i="19"/>
  <c r="J31" i="19"/>
  <c r="R12" i="19"/>
  <c r="Z161" i="19"/>
  <c r="R115" i="19"/>
  <c r="R97" i="19"/>
  <c r="G57" i="12"/>
  <c r="R150" i="19"/>
  <c r="R122" i="19"/>
  <c r="X119" i="19"/>
  <c r="R33" i="19"/>
  <c r="L51" i="17"/>
  <c r="K51" i="17"/>
  <c r="M51" i="17"/>
  <c r="J51" i="17"/>
  <c r="I51" i="17"/>
  <c r="X91" i="19"/>
  <c r="R158" i="19"/>
  <c r="H105" i="19"/>
  <c r="J105" i="19"/>
  <c r="R27" i="19"/>
  <c r="R144" i="19"/>
  <c r="R147" i="19"/>
  <c r="P147" i="19"/>
  <c r="K142" i="42"/>
  <c r="J54" i="19"/>
  <c r="J160" i="28"/>
  <c r="I160" i="28"/>
  <c r="L160" i="28"/>
  <c r="M160" i="28"/>
  <c r="K160" i="28"/>
  <c r="I16" i="19" l="1"/>
  <c r="C37" i="19"/>
  <c r="I37" i="19" s="1"/>
  <c r="I38" i="19"/>
  <c r="I113" i="19"/>
  <c r="Y12" i="19"/>
  <c r="Y128" i="19"/>
  <c r="I33" i="19"/>
  <c r="I30" i="19"/>
  <c r="I11" i="19"/>
  <c r="I101" i="19"/>
  <c r="I131" i="19"/>
  <c r="Y56" i="19"/>
  <c r="Y84" i="19"/>
  <c r="Y62" i="19"/>
  <c r="S107" i="19"/>
  <c r="Y107" i="19" s="1"/>
  <c r="Y108" i="19"/>
  <c r="Y146" i="19"/>
  <c r="L135" i="19"/>
  <c r="I54" i="19"/>
  <c r="I17" i="19"/>
  <c r="I102" i="19"/>
  <c r="I143" i="19"/>
  <c r="S35" i="19"/>
  <c r="Y35" i="19" s="1"/>
  <c r="Y27" i="19"/>
  <c r="S91" i="19"/>
  <c r="Y91" i="19" s="1"/>
  <c r="Y83" i="19"/>
  <c r="Y109" i="19"/>
  <c r="S147" i="19"/>
  <c r="Y147" i="19" s="1"/>
  <c r="Y139" i="19"/>
  <c r="C79" i="19"/>
  <c r="I79" i="19" s="1"/>
  <c r="I80" i="19"/>
  <c r="I53" i="19"/>
  <c r="I31" i="19"/>
  <c r="I114" i="19"/>
  <c r="I144" i="19"/>
  <c r="Y43" i="19"/>
  <c r="S23" i="19"/>
  <c r="Y23" i="19" s="1"/>
  <c r="Y24" i="19"/>
  <c r="S9" i="19"/>
  <c r="Y9" i="19" s="1"/>
  <c r="Y10" i="19"/>
  <c r="Y129" i="19"/>
  <c r="Y160" i="19"/>
  <c r="I88" i="19"/>
  <c r="I73" i="19"/>
  <c r="I43" i="19"/>
  <c r="C107" i="19"/>
  <c r="I107" i="19" s="1"/>
  <c r="I108" i="19"/>
  <c r="I146" i="19"/>
  <c r="S77" i="19"/>
  <c r="Y77" i="19" s="1"/>
  <c r="Y69" i="19"/>
  <c r="S49" i="19"/>
  <c r="Y49" i="19" s="1"/>
  <c r="Y41" i="19"/>
  <c r="Y19" i="19"/>
  <c r="Y101" i="19"/>
  <c r="Y142" i="19"/>
  <c r="L79" i="19"/>
  <c r="I71" i="19"/>
  <c r="I81" i="19"/>
  <c r="I109" i="19"/>
  <c r="C147" i="19"/>
  <c r="I147" i="19" s="1"/>
  <c r="I139" i="19"/>
  <c r="Y18" i="19"/>
  <c r="Y25" i="19"/>
  <c r="Y132" i="19"/>
  <c r="L9" i="19"/>
  <c r="L119" i="19"/>
  <c r="L121" i="19"/>
  <c r="I29" i="19"/>
  <c r="I86" i="19"/>
  <c r="I112" i="19"/>
  <c r="I142" i="19"/>
  <c r="Y26" i="19"/>
  <c r="Y81" i="19"/>
  <c r="Y59" i="19"/>
  <c r="Y116" i="19"/>
  <c r="Y157" i="19"/>
  <c r="L23" i="19"/>
  <c r="L133" i="19"/>
  <c r="I44" i="19"/>
  <c r="I14" i="19"/>
  <c r="I124" i="19"/>
  <c r="I154" i="19"/>
  <c r="Y60" i="19"/>
  <c r="Y89" i="19"/>
  <c r="Y68" i="19"/>
  <c r="Y117" i="19"/>
  <c r="Y158" i="19"/>
  <c r="L65" i="19"/>
  <c r="C23" i="19"/>
  <c r="I23" i="19" s="1"/>
  <c r="I24" i="19"/>
  <c r="I47" i="19"/>
  <c r="I26" i="19"/>
  <c r="I103" i="19"/>
  <c r="C133" i="19"/>
  <c r="I133" i="19" s="1"/>
  <c r="I125" i="19"/>
  <c r="I155" i="19"/>
  <c r="Y61" i="19"/>
  <c r="Y20" i="19"/>
  <c r="S79" i="19"/>
  <c r="Y79" i="19" s="1"/>
  <c r="Y80" i="19"/>
  <c r="Y99" i="19"/>
  <c r="Y118" i="19"/>
  <c r="Y159" i="19"/>
  <c r="L107" i="19"/>
  <c r="I68" i="19"/>
  <c r="I59" i="19"/>
  <c r="I61" i="19"/>
  <c r="I34" i="19"/>
  <c r="I96" i="19"/>
  <c r="I115" i="19"/>
  <c r="I137" i="19"/>
  <c r="I156" i="19"/>
  <c r="Y44" i="19"/>
  <c r="S21" i="19"/>
  <c r="Y21" i="19" s="1"/>
  <c r="Y13" i="19"/>
  <c r="Y29" i="19"/>
  <c r="Y11" i="19"/>
  <c r="Y85" i="19"/>
  <c r="S119" i="19"/>
  <c r="Y119" i="19" s="1"/>
  <c r="Y111" i="19"/>
  <c r="Y130" i="19"/>
  <c r="Y152" i="19"/>
  <c r="L37" i="19"/>
  <c r="L149" i="19"/>
  <c r="I85" i="19"/>
  <c r="I70" i="19"/>
  <c r="I48" i="19"/>
  <c r="I116" i="19"/>
  <c r="I138" i="19"/>
  <c r="S51" i="19"/>
  <c r="Y51" i="19" s="1"/>
  <c r="Y52" i="19"/>
  <c r="Y40" i="19"/>
  <c r="Y16" i="19"/>
  <c r="Y112" i="19"/>
  <c r="Y131" i="19"/>
  <c r="C49" i="19"/>
  <c r="I49" i="19" s="1"/>
  <c r="I41" i="19"/>
  <c r="I87" i="19"/>
  <c r="I57" i="19"/>
  <c r="I117" i="19"/>
  <c r="C149" i="19"/>
  <c r="I149" i="19" s="1"/>
  <c r="I150" i="19"/>
  <c r="Y53" i="19"/>
  <c r="Y58" i="19"/>
  <c r="Y48" i="19"/>
  <c r="S93" i="19"/>
  <c r="Y93" i="19" s="1"/>
  <c r="Y94" i="19"/>
  <c r="Y113" i="19"/>
  <c r="Y154" i="19"/>
  <c r="I28" i="19"/>
  <c r="I42" i="19"/>
  <c r="I89" i="19"/>
  <c r="C65" i="19"/>
  <c r="I65" i="19" s="1"/>
  <c r="I66" i="19"/>
  <c r="I110" i="19"/>
  <c r="I129" i="19"/>
  <c r="I151" i="19"/>
  <c r="Y73" i="19"/>
  <c r="Y82" i="19"/>
  <c r="S63" i="19"/>
  <c r="Y63" i="19" s="1"/>
  <c r="Y55" i="19"/>
  <c r="Y45" i="19"/>
  <c r="Y95" i="19"/>
  <c r="Y103" i="19"/>
  <c r="Y114" i="19"/>
  <c r="S135" i="19"/>
  <c r="Y135" i="19" s="1"/>
  <c r="Y136" i="19"/>
  <c r="Y144" i="19"/>
  <c r="Y155" i="19"/>
  <c r="L49" i="19"/>
  <c r="L51" i="19"/>
  <c r="L161" i="19"/>
  <c r="I15" i="19"/>
  <c r="C35" i="19"/>
  <c r="I35" i="19" s="1"/>
  <c r="I27" i="19"/>
  <c r="C91" i="19"/>
  <c r="I91" i="19" s="1"/>
  <c r="I83" i="19"/>
  <c r="I123" i="19"/>
  <c r="C161" i="19"/>
  <c r="I161" i="19" s="1"/>
  <c r="I153" i="19"/>
  <c r="Y87" i="19"/>
  <c r="Y74" i="19"/>
  <c r="S105" i="19"/>
  <c r="Y105" i="19" s="1"/>
  <c r="Y97" i="19"/>
  <c r="Y127" i="19"/>
  <c r="Y138" i="19"/>
  <c r="L21" i="19"/>
  <c r="I67" i="19"/>
  <c r="I39" i="19"/>
  <c r="C93" i="19"/>
  <c r="I93" i="19" s="1"/>
  <c r="I94" i="19"/>
  <c r="I132" i="19"/>
  <c r="Y15" i="19"/>
  <c r="Y71" i="19"/>
  <c r="Y98" i="19"/>
  <c r="S149" i="19"/>
  <c r="Y149" i="19" s="1"/>
  <c r="Y150" i="19"/>
  <c r="L63" i="19"/>
  <c r="I58" i="19"/>
  <c r="I46" i="19"/>
  <c r="I95" i="19"/>
  <c r="C135" i="19"/>
  <c r="I135" i="19" s="1"/>
  <c r="I136" i="19"/>
  <c r="Y14" i="19"/>
  <c r="Y76" i="19"/>
  <c r="Y110" i="19"/>
  <c r="Y140" i="19"/>
  <c r="Y151" i="19"/>
  <c r="L105" i="19"/>
  <c r="I84" i="19"/>
  <c r="I56" i="19"/>
  <c r="C63" i="19"/>
  <c r="I63" i="19" s="1"/>
  <c r="I55" i="19"/>
  <c r="I40" i="19"/>
  <c r="I104" i="19"/>
  <c r="I126" i="19"/>
  <c r="I145" i="19"/>
  <c r="Y47" i="19"/>
  <c r="Y32" i="19"/>
  <c r="Y31" i="19"/>
  <c r="Y88" i="19"/>
  <c r="Y100" i="19"/>
  <c r="S121" i="19"/>
  <c r="Y121" i="19" s="1"/>
  <c r="Y122" i="19"/>
  <c r="Y141" i="19"/>
  <c r="L35" i="19"/>
  <c r="L147" i="19"/>
  <c r="I45" i="19"/>
  <c r="I72" i="19"/>
  <c r="C105" i="19"/>
  <c r="I105" i="19" s="1"/>
  <c r="I97" i="19"/>
  <c r="I127" i="19"/>
  <c r="I157" i="19"/>
  <c r="Y17" i="19"/>
  <c r="S37" i="19"/>
  <c r="Y37" i="19" s="1"/>
  <c r="Y38" i="19"/>
  <c r="Y90" i="19"/>
  <c r="Y123" i="19"/>
  <c r="S161" i="19"/>
  <c r="Y161" i="19" s="1"/>
  <c r="Y153" i="19"/>
  <c r="L77" i="19"/>
  <c r="I25" i="19"/>
  <c r="I82" i="19"/>
  <c r="C51" i="19"/>
  <c r="I51" i="19" s="1"/>
  <c r="I52" i="19"/>
  <c r="I98" i="19"/>
  <c r="I128" i="19"/>
  <c r="I158" i="19"/>
  <c r="Y70" i="19"/>
  <c r="Y46" i="19"/>
  <c r="Y28" i="19"/>
  <c r="Y102" i="19"/>
  <c r="Y124" i="19"/>
  <c r="Y143" i="19"/>
  <c r="I62" i="19"/>
  <c r="I75" i="19"/>
  <c r="I90" i="19"/>
  <c r="I12" i="19"/>
  <c r="I60" i="19"/>
  <c r="I99" i="19"/>
  <c r="I118" i="19"/>
  <c r="I140" i="19"/>
  <c r="I159" i="19"/>
  <c r="Y30" i="19"/>
  <c r="Y67" i="19"/>
  <c r="Y57" i="19"/>
  <c r="Y33" i="19"/>
  <c r="S133" i="19"/>
  <c r="Y133" i="19" s="1"/>
  <c r="Y125" i="19"/>
  <c r="I32" i="19"/>
  <c r="I19" i="19"/>
  <c r="I76" i="19"/>
  <c r="C21" i="19"/>
  <c r="I21" i="19" s="1"/>
  <c r="I13" i="19"/>
  <c r="I18" i="19"/>
  <c r="I20" i="19"/>
  <c r="C9" i="19"/>
  <c r="I9" i="19" s="1"/>
  <c r="I10" i="19"/>
  <c r="C77" i="19"/>
  <c r="I77" i="19" s="1"/>
  <c r="I69" i="19"/>
  <c r="I74" i="19"/>
  <c r="I100" i="19"/>
  <c r="C119" i="19"/>
  <c r="I119" i="19" s="1"/>
  <c r="I111" i="19"/>
  <c r="C121" i="19"/>
  <c r="I121" i="19" s="1"/>
  <c r="I122" i="19"/>
  <c r="I130" i="19"/>
  <c r="I141" i="19"/>
  <c r="I152" i="19"/>
  <c r="I160" i="19"/>
  <c r="Y39" i="19"/>
  <c r="Y34" i="19"/>
  <c r="Y86" i="19"/>
  <c r="Y75" i="19"/>
  <c r="Y72" i="19"/>
  <c r="S65" i="19"/>
  <c r="Y65" i="19" s="1"/>
  <c r="Y66" i="19"/>
  <c r="Y54" i="19"/>
  <c r="Y42" i="19"/>
  <c r="Y96" i="19"/>
  <c r="Y104" i="19"/>
  <c r="Y115" i="19"/>
  <c r="Y126" i="19"/>
  <c r="Y137" i="19"/>
  <c r="Y145" i="19"/>
  <c r="Y156" i="19"/>
  <c r="L91" i="19"/>
  <c r="L93" i="19"/>
  <c r="M57" i="12"/>
  <c r="L57" i="12"/>
  <c r="I57" i="12"/>
  <c r="N57" i="12"/>
  <c r="K57" i="12"/>
  <c r="J57" i="12"/>
  <c r="Q7" i="19"/>
  <c r="Q53" i="19" l="1"/>
  <c r="Q95" i="19"/>
  <c r="Q155" i="19"/>
  <c r="Q54" i="19"/>
  <c r="Q156" i="19"/>
  <c r="Q42" i="19"/>
  <c r="Q29" i="19"/>
  <c r="Q72" i="19"/>
  <c r="Q70" i="19"/>
  <c r="Q75" i="19"/>
  <c r="K77" i="19"/>
  <c r="Q77" i="19" s="1"/>
  <c r="Q69" i="19"/>
  <c r="Q57" i="19"/>
  <c r="Q62" i="19"/>
  <c r="K105" i="19"/>
  <c r="Q105" i="19" s="1"/>
  <c r="Q97" i="19"/>
  <c r="K107" i="19"/>
  <c r="Q107" i="19" s="1"/>
  <c r="Q108" i="19"/>
  <c r="Q116" i="19"/>
  <c r="Q127" i="19"/>
  <c r="Q138" i="19"/>
  <c r="Q146" i="19"/>
  <c r="Q157" i="19"/>
  <c r="Q56" i="19"/>
  <c r="Q45" i="19"/>
  <c r="Q144" i="19"/>
  <c r="Q60" i="19"/>
  <c r="Q115" i="19"/>
  <c r="Q16" i="19"/>
  <c r="Q30" i="19"/>
  <c r="Q73" i="19"/>
  <c r="Q87" i="19"/>
  <c r="Q84" i="19"/>
  <c r="Q86" i="19"/>
  <c r="K65" i="19"/>
  <c r="Q65" i="19" s="1"/>
  <c r="Q66" i="19"/>
  <c r="Q71" i="19"/>
  <c r="Q98" i="19"/>
  <c r="Q109" i="19"/>
  <c r="Q117" i="19"/>
  <c r="Q128" i="19"/>
  <c r="K147" i="19"/>
  <c r="Q147" i="19" s="1"/>
  <c r="Q139" i="19"/>
  <c r="K149" i="19"/>
  <c r="Q149" i="19" s="1"/>
  <c r="Q150" i="19"/>
  <c r="Q158" i="19"/>
  <c r="K51" i="19"/>
  <c r="Q51" i="19" s="1"/>
  <c r="Q52" i="19"/>
  <c r="Q114" i="19"/>
  <c r="Q68" i="19"/>
  <c r="Q96" i="19"/>
  <c r="Q137" i="19"/>
  <c r="Q46" i="19"/>
  <c r="Q89" i="19"/>
  <c r="Q12" i="19"/>
  <c r="Q59" i="19"/>
  <c r="Q15" i="19"/>
  <c r="Q17" i="19"/>
  <c r="K9" i="19"/>
  <c r="Q9" i="19" s="1"/>
  <c r="Q10" i="19"/>
  <c r="Q74" i="19"/>
  <c r="K79" i="19"/>
  <c r="Q79" i="19" s="1"/>
  <c r="Q80" i="19"/>
  <c r="Q99" i="19"/>
  <c r="Q110" i="19"/>
  <c r="Q118" i="19"/>
  <c r="Q129" i="19"/>
  <c r="Q140" i="19"/>
  <c r="Q151" i="19"/>
  <c r="Q159" i="19"/>
  <c r="Q39" i="19"/>
  <c r="Q40" i="19"/>
  <c r="K135" i="19"/>
  <c r="Q135" i="19" s="1"/>
  <c r="Q136" i="19"/>
  <c r="Q85" i="19"/>
  <c r="Q67" i="19"/>
  <c r="Q126" i="19"/>
  <c r="K21" i="19"/>
  <c r="Q21" i="19" s="1"/>
  <c r="Q13" i="19"/>
  <c r="Q18" i="19"/>
  <c r="K23" i="19"/>
  <c r="Q23" i="19" s="1"/>
  <c r="Q24" i="19"/>
  <c r="Q26" i="19"/>
  <c r="Q11" i="19"/>
  <c r="K91" i="19"/>
  <c r="Q91" i="19" s="1"/>
  <c r="Q83" i="19"/>
  <c r="Q88" i="19"/>
  <c r="Q100" i="19"/>
  <c r="K119" i="19"/>
  <c r="Q119" i="19" s="1"/>
  <c r="Q111" i="19"/>
  <c r="K121" i="19"/>
  <c r="Q121" i="19" s="1"/>
  <c r="Q122" i="19"/>
  <c r="Q130" i="19"/>
  <c r="Q141" i="19"/>
  <c r="Q152" i="19"/>
  <c r="Q160" i="19"/>
  <c r="Q82" i="19"/>
  <c r="Q103" i="19"/>
  <c r="Q25" i="19"/>
  <c r="Q48" i="19"/>
  <c r="Q145" i="19"/>
  <c r="Q47" i="19"/>
  <c r="Q33" i="19"/>
  <c r="Q76" i="19"/>
  <c r="K35" i="19"/>
  <c r="Q35" i="19" s="1"/>
  <c r="Q27" i="19"/>
  <c r="Q32" i="19"/>
  <c r="Q34" i="19"/>
  <c r="Q14" i="19"/>
  <c r="Q19" i="19"/>
  <c r="Q90" i="19"/>
  <c r="Q101" i="19"/>
  <c r="Q112" i="19"/>
  <c r="Q123" i="19"/>
  <c r="Q131" i="19"/>
  <c r="Q142" i="19"/>
  <c r="K161" i="19"/>
  <c r="Q161" i="19" s="1"/>
  <c r="Q153" i="19"/>
  <c r="Q58" i="19"/>
  <c r="K133" i="19"/>
  <c r="Q133" i="19" s="1"/>
  <c r="Q125" i="19"/>
  <c r="Q61" i="19"/>
  <c r="Q104" i="19"/>
  <c r="K63" i="19"/>
  <c r="Q63" i="19" s="1"/>
  <c r="Q55" i="19"/>
  <c r="Q20" i="19"/>
  <c r="K37" i="19"/>
  <c r="Q37" i="19" s="1"/>
  <c r="Q38" i="19"/>
  <c r="Q81" i="19"/>
  <c r="Q44" i="19"/>
  <c r="K49" i="19"/>
  <c r="Q49" i="19" s="1"/>
  <c r="Q41" i="19"/>
  <c r="Q43" i="19"/>
  <c r="Q31" i="19"/>
  <c r="Q28" i="19"/>
  <c r="K93" i="19"/>
  <c r="Q93" i="19" s="1"/>
  <c r="Q94" i="19"/>
  <c r="Q102" i="19"/>
  <c r="Q113" i="19"/>
  <c r="Q124" i="19"/>
  <c r="Q132" i="19"/>
  <c r="Q143" i="19"/>
  <c r="Q154" i="19"/>
</calcChain>
</file>

<file path=xl/sharedStrings.xml><?xml version="1.0" encoding="utf-8"?>
<sst xmlns="http://schemas.openxmlformats.org/spreadsheetml/2006/main" count="6537" uniqueCount="328">
  <si>
    <t>Total</t>
  </si>
  <si>
    <t>Estadísticas indicadores alojativos</t>
  </si>
  <si>
    <t>Comparativa Canarias e islas</t>
  </si>
  <si>
    <t>Resumen indicadores municipios Tenerife</t>
  </si>
  <si>
    <t>Oferta alojativa en funcionamiento</t>
  </si>
  <si>
    <t>Plazas alojativas Tenerife y municipios</t>
  </si>
  <si>
    <t>Establecimientos alojativos Tenerife y municipios</t>
  </si>
  <si>
    <t>Indicadores alojativos hotel + apartamento</t>
  </si>
  <si>
    <t>Viajeros entrados</t>
  </si>
  <si>
    <t>Viajeros peninsulares entrados en los hoteles y apartamentos de Tenerife por municipio de alojamiento - acumulado</t>
  </si>
  <si>
    <t xml:space="preserve">Viajeros entrados en los establecimientos alojativos de Tenerife por municipio y categoría </t>
  </si>
  <si>
    <t>Viajeros entrados en los establecimientos alojativos de Tenerife según lugar de residencia y municipio de alojamiento - año</t>
  </si>
  <si>
    <t>Viajeros entrados en los establecimientos alojativos de Tenerife según lugar de residencia y municipio de alojamiento - mes</t>
  </si>
  <si>
    <t>Viajeros entrados en los establecimientos alojativos de Tenerife según lugar de residencia y municipio de alojamiento - acumulado</t>
  </si>
  <si>
    <t>Viajeros entrados en los hoteles de Tenerife según lugar de residencia y municipio de alojamiento - acumulado</t>
  </si>
  <si>
    <t>Viajeros entrados en los apartamentos de Tenerife según lugar de residencia y municipio de alojamiento - acumulado</t>
  </si>
  <si>
    <t>Viajeros entrados en los establecimientos hoteleros de Tenerife según lugar de residencia, categoría y municipio del alojamiento - acumulado</t>
  </si>
  <si>
    <t>Viajeros entrados en los establecimientos hoteleros de Tenerife según lugar de residencia, categoría y municipio del alojamiento - año</t>
  </si>
  <si>
    <t>Viajeros alojados</t>
  </si>
  <si>
    <t>Viajeros alojados en los establecimientos alojativos de Tenerife según lugar de residencia y municipio de alojamiento - mes</t>
  </si>
  <si>
    <t>Viajeros alojados en los establecimientos alojativos de Tenerife según lugar de residencia y municipio de alojamiento - acumulado</t>
  </si>
  <si>
    <t>Pernoctaciones</t>
  </si>
  <si>
    <t>Estancia media</t>
  </si>
  <si>
    <t>Tasa de ocupación</t>
  </si>
  <si>
    <t>indicadores rentabilidad</t>
  </si>
  <si>
    <t xml:space="preserve">Indicadores de rentabilidad:Tarifa media diaria (ADR); ingresos por habitación disponible (RevPAR); ingresos totales en los establecimientos alojativos Tenerife por municipio  (hotel + apartamento) </t>
  </si>
  <si>
    <t>Viajeros españoles entrados en hoteles y apartamentos</t>
  </si>
  <si>
    <t>Viajeros españoles entrados en los hoteles y apartamentos de Tenerife por municipio de alojamiento</t>
  </si>
  <si>
    <t>Viajeros peninsulares entrados en los hoteles y apartamentos de Tenerife por municipio de alojamiento</t>
  </si>
  <si>
    <t>Viajeros canarios entrados en los hoteles y apartamentos de Tenerife por municipio de alojamiento</t>
  </si>
  <si>
    <t>total</t>
  </si>
  <si>
    <t>hoteleros</t>
  </si>
  <si>
    <t>apartamentos</t>
  </si>
  <si>
    <t>Viajeros alojados*</t>
  </si>
  <si>
    <t>Ocupación por plaza</t>
  </si>
  <si>
    <t>Plazas estimadas en el mes</t>
  </si>
  <si>
    <t>*dato publicado ISTAC
FUENTE: Encuestas Alojamientos Turísticos (ISTAC). ELABORACIÓN: Turismo de Tenerife.</t>
  </si>
  <si>
    <t>Plazas estimadas
promedio</t>
  </si>
  <si>
    <t>*dato calculado viajeros alodos periodo=viajeros alojados en enero + SUM(viajeros entrados febrero hasta mes actual)
FUENTE: Encuestas Alojamientos Turísticos (ISTAC). ELABORACIÓN: Turismo de Tenerife.</t>
  </si>
  <si>
    <t>Plazas estimadas
Promedio anual</t>
  </si>
  <si>
    <t>Nota: el ISTAC solo oferce información de desagregada de los municipios que figuran en las tablas. 
Para cualquier consulta contactar con ISTAC a través del correo consultas.istac@gobiernodecanarias.org</t>
  </si>
  <si>
    <t>Resumen de indicadores turísticos municipios turísticos de Tenerife</t>
  </si>
  <si>
    <t>INDICADORES TURÍSTICOS</t>
  </si>
  <si>
    <t>Tenerife</t>
  </si>
  <si>
    <t>Adeje</t>
  </si>
  <si>
    <t>Arona</t>
  </si>
  <si>
    <t>Granadilla de Abona</t>
  </si>
  <si>
    <t>Guía de Isora</t>
  </si>
  <si>
    <t>Puerto de la Cruz</t>
  </si>
  <si>
    <t>San Cristóbal de La Laguna</t>
  </si>
  <si>
    <t>San Miguel de Abona</t>
  </si>
  <si>
    <t>Santa Cruz de Tenerife</t>
  </si>
  <si>
    <t>Santiago del Teide</t>
  </si>
  <si>
    <t>Resto de Tenerife</t>
  </si>
  <si>
    <t>Plazas estimadas del mes</t>
  </si>
  <si>
    <t>FUENTE: Encuestas Alojamientos Turísticos (ISTAC). ELABORACIÓN: Turismo de Tenerife.</t>
  </si>
  <si>
    <t>Resumen de indicadores turísticos Canarias e islas</t>
  </si>
  <si>
    <t>Plazas estimadas
promedio anual</t>
  </si>
  <si>
    <t>Promedio anual de plazas en funcionamiento</t>
  </si>
  <si>
    <t>plazas en funcionamiento en el mes</t>
  </si>
  <si>
    <t>Hotel</t>
  </si>
  <si>
    <t>4, 5 Estrellas</t>
  </si>
  <si>
    <t>1, 2, 3 Estrellas</t>
  </si>
  <si>
    <t>Apartamento</t>
  </si>
  <si>
    <t>Promedio anual de establecimientos en funcionamiento</t>
  </si>
  <si>
    <t>establecimientos en funcionamiento en el mes</t>
  </si>
  <si>
    <t>año 2020: 1.627.003 (-68,0%)</t>
  </si>
  <si>
    <t>acumulado diciembre 2021: 2.384.391 (46,6%)</t>
  </si>
  <si>
    <t>Total lugares de residencia</t>
  </si>
  <si>
    <t>dato</t>
  </si>
  <si>
    <t>ene</t>
  </si>
  <si>
    <t>Enero</t>
  </si>
  <si>
    <t>feb</t>
  </si>
  <si>
    <t>Febrero</t>
  </si>
  <si>
    <t>mar</t>
  </si>
  <si>
    <t>Marzo</t>
  </si>
  <si>
    <t>abr</t>
  </si>
  <si>
    <t>Abril</t>
  </si>
  <si>
    <t>may</t>
  </si>
  <si>
    <t>Mayo</t>
  </si>
  <si>
    <t>jun</t>
  </si>
  <si>
    <t>Junio</t>
  </si>
  <si>
    <t>jul</t>
  </si>
  <si>
    <t>Julio</t>
  </si>
  <si>
    <t>ago</t>
  </si>
  <si>
    <t>Agosto</t>
  </si>
  <si>
    <t>sep</t>
  </si>
  <si>
    <t>Septiembre</t>
  </si>
  <si>
    <t>oct</t>
  </si>
  <si>
    <t>Octubre</t>
  </si>
  <si>
    <t>nov</t>
  </si>
  <si>
    <t>Noviembre</t>
  </si>
  <si>
    <t>dic</t>
  </si>
  <si>
    <t>Diciembre</t>
  </si>
  <si>
    <t>año 2020: 491.164 (-58,4%)</t>
  </si>
  <si>
    <t>acumulado diciembre 2021: 846.190 (72,3%)</t>
  </si>
  <si>
    <t>España</t>
  </si>
  <si>
    <t>Total residentes en España</t>
  </si>
  <si>
    <t>año 2020: 256.364 (-61,2%)</t>
  </si>
  <si>
    <t>acumulado diciembre 2021: 401.165 (56,5%)</t>
  </si>
  <si>
    <t>Península</t>
  </si>
  <si>
    <t>año 2020: 234.800 (-54,8%)</t>
  </si>
  <si>
    <t>acumulado diciembre 2021: 445.025 (89,5%)</t>
  </si>
  <si>
    <t>Canarias</t>
  </si>
  <si>
    <t>año 2020: 1.135.839 (-70,9%)</t>
  </si>
  <si>
    <t>acumulado diciembre 2021: 1.538.201 (35,4%)</t>
  </si>
  <si>
    <t>Mundo (excluida España)</t>
  </si>
  <si>
    <t>Total residentes en el extranjero</t>
  </si>
  <si>
    <t>año 2020: 443.259 (-75,1%)</t>
  </si>
  <si>
    <t>acumulado diciembre 2021: 443.278 (0,0%)</t>
  </si>
  <si>
    <t>Reino Unido</t>
  </si>
  <si>
    <t>año 2020: 140.489 (-72,1%)</t>
  </si>
  <si>
    <t>acumulado diciembre 2021: 218.298 (55,4%)</t>
  </si>
  <si>
    <t>Alemania</t>
  </si>
  <si>
    <t>año 2020: 60.127 (-65,0%)</t>
  </si>
  <si>
    <t>acumulado diciembre 2021: 133.006 (121,2%)</t>
  </si>
  <si>
    <t>Francia</t>
  </si>
  <si>
    <t>año 2020: 55.839 (-58,8%)</t>
  </si>
  <si>
    <t>acumulado diciembre 2021: 93.108 (66,7%)</t>
  </si>
  <si>
    <t>Bélgica</t>
  </si>
  <si>
    <t>junio</t>
  </si>
  <si>
    <t>año 2020: 40.096 (-72,1%)</t>
  </si>
  <si>
    <t>acumulado diciembre 2021: 93.513 (133,2%)</t>
  </si>
  <si>
    <t>Países Bajos</t>
  </si>
  <si>
    <t>año 2020: 36.855 (-72,9%)</t>
  </si>
  <si>
    <t>acumulado diciembre 2021: 74.437 (102,0%)</t>
  </si>
  <si>
    <t>año 2020: 27.669 (-76,0%)</t>
  </si>
  <si>
    <t>acumulado diciembre 2021: 42.846 (54,9%)</t>
  </si>
  <si>
    <t>Dinamarca</t>
  </si>
  <si>
    <t>año 2020: 12.033 (-72,1%)</t>
  </si>
  <si>
    <t>acumulado diciembre 2021: 30.544 (153,8%)</t>
  </si>
  <si>
    <t>Suecia</t>
  </si>
  <si>
    <t>Total categorías</t>
  </si>
  <si>
    <t>var 16/15</t>
  </si>
  <si>
    <t>var 17/16</t>
  </si>
  <si>
    <t>var 18/17</t>
  </si>
  <si>
    <t>var 22/21</t>
  </si>
  <si>
    <t>hoteles</t>
  </si>
  <si>
    <t>viajeros entrados</t>
  </si>
  <si>
    <t>var interanual</t>
  </si>
  <si>
    <t>4, 5 estrellas</t>
  </si>
  <si>
    <t>Evolución de viajeros entrados en los hoteles de 4 estrellas de Tenerife</t>
  </si>
  <si>
    <t>1, 2, 3 estrellas</t>
  </si>
  <si>
    <t>Viajeros entrados en los establecimientos alojativos de Tenerife por municipio y categoría 
(hotel + apartamento)</t>
  </si>
  <si>
    <t>Holanda</t>
  </si>
  <si>
    <t>Otros países</t>
  </si>
  <si>
    <t>Mundo (Excluida España)</t>
  </si>
  <si>
    <t>año 2020: 165.282 (-66,0%)</t>
  </si>
  <si>
    <t>acumulado diciembre 2021: 310.940 (88,1%)</t>
  </si>
  <si>
    <t>4 y 5 estrellas</t>
  </si>
  <si>
    <t>año 2020: 0 (-39,9%)</t>
  </si>
  <si>
    <t>acumulado diciembre 2021: 1 (57,7%)</t>
  </si>
  <si>
    <t>Total establecimientos alojativos (hotel + apartamento)</t>
  </si>
  <si>
    <t>año 2020: 0 (-39,0%)</t>
  </si>
  <si>
    <t>acumulado diciembre 2021: 1 (13,3%)</t>
  </si>
  <si>
    <t>año 2020: 0 (-36,7%)</t>
  </si>
  <si>
    <t>acumulado diciembre 2021: 1 (20,6%)</t>
  </si>
  <si>
    <t>año 2020: 0 (-39,4%)</t>
  </si>
  <si>
    <t>acumulado diciembre 2021: 1 (13,1%)</t>
  </si>
  <si>
    <t>año 2020: 0 (-42,1%)</t>
  </si>
  <si>
    <t>acumulado diciembre 2021: 0 (-6,1%)</t>
  </si>
  <si>
    <t>i</t>
  </si>
  <si>
    <t xml:space="preserve">Tarifa media diaria ADR por habitación en los establecimientos alojativos Tenerife por municipio  (hotel + apartamento) </t>
  </si>
  <si>
    <t>Ingresos por habitación disponible (RevPAR) en los establecimientos alojativos de Tenerife por municipio  (hotel + apartamento)</t>
  </si>
  <si>
    <t>Ingresos totales en los establecimientos alojativos de Tenerife por municipio  (hotel + apartamento)</t>
  </si>
  <si>
    <t>El ADR o Tarifa Media Diaria son los ingresos medios diarios obtenidos por habitación-apartamento ocupado. Los ingresos hacen referencia a aquellos percibidos por los hoteleros por la prestación del servicio de alojamiento, sin incluir otro tipo de servicios que sí pueda ofrecer el establecimiento.</t>
  </si>
  <si>
    <t>El RevPar o Ingreso por Habitación-Apartamento Disponible son los ingresos medios diarios obtenidos por habitación-apartamento disponible. Los ingresos hacen referencia a aquellos percibidos por los hoteleros por la prestación del servicio de alojamiento, sin incluir otro tipo de servicios que sí pueda ofrecer el establecimiento.</t>
  </si>
  <si>
    <t>Los Ingresos totales son el producto del ADR por las habitaciones ocupadas</t>
  </si>
  <si>
    <t>Los datos del acumulado están calculados como la división entre el aumulado de los ingresos y el acumulados de las habitaciones ocupadas</t>
  </si>
  <si>
    <t>Los datos del acumulado están calculados como la división entre el aumulado de los ingresos y el acumulados de las habitaciones disponibles</t>
  </si>
  <si>
    <t xml:space="preserve">Tarifa media diaria ADR por habitación en los establecimientos alojativos Canarias e islas  (hotel + apartamento) </t>
  </si>
  <si>
    <t>Ingresos por habitación disponible (RevPAR) en los establecimientos alojativos Canarias e islas  (hotel + apartamento)</t>
  </si>
  <si>
    <t>Ingresos totales en los establecimientos alojativos Canarias e islas  (hotel + apartamento)</t>
  </si>
  <si>
    <t>Total Turistas</t>
  </si>
  <si>
    <t>Total España</t>
  </si>
  <si>
    <t>Total 
categorías</t>
  </si>
  <si>
    <t>Alojados 
hoteleros</t>
  </si>
  <si>
    <t>5*</t>
  </si>
  <si>
    <t>Residentes en Tenerife</t>
  </si>
  <si>
    <t>4*</t>
  </si>
  <si>
    <t>Residentes resto de Canarias</t>
  </si>
  <si>
    <t>3*</t>
  </si>
  <si>
    <t>1*</t>
  </si>
  <si>
    <t>FUENTE: Desarrollo Económico, Cabildo Insular de Tenerife. ELABORACIÓN: Turismo de Tenerife.</t>
  </si>
  <si>
    <t>Alojados 
extrahoteleros</t>
  </si>
  <si>
    <t>Turismo español alojado en Tenerife por lugar de residencia</t>
  </si>
  <si>
    <t>%/s total España</t>
  </si>
  <si>
    <t>%/ total turistas</t>
  </si>
  <si>
    <t>Var. Interanual</t>
  </si>
  <si>
    <t>diferencia</t>
  </si>
  <si>
    <t>Distribución de viajeros peninsulares entrados en hoteles y apartamentos de Tenerife por lugar categoría del alojamiento</t>
  </si>
  <si>
    <t>Total viajeros españoles</t>
  </si>
  <si>
    <t>Hoteles</t>
  </si>
  <si>
    <t>Apartamentos</t>
  </si>
  <si>
    <t>,</t>
  </si>
  <si>
    <t>Viajeros españoles entrados en los hoteles y apartamentos de Tenerife por tipología y categoría de alojamiento</t>
  </si>
  <si>
    <t xml:space="preserve">Observación: en 2022 no se publica desagregación por categorías
FUENTE: Desarrollo Económico, Cabildo Insular de Tenerife. ELABORACIÓN: Turismo de Tenerife. </t>
  </si>
  <si>
    <t>Total viajeros peninsulares</t>
  </si>
  <si>
    <t>Viajeros peninsulares entrados en los hoteles y apartamentos de Tenerife por tipología y categoría de alojamiento</t>
  </si>
  <si>
    <t>Total viajeros canarios</t>
  </si>
  <si>
    <t>Viajeros canarios entrados en los hoteles y apartamentos de Tenerife por tipología y categoría de alojamiento</t>
  </si>
  <si>
    <t>Distribución de viajeros españoles entrados en hoteles y apartamentos de Tenerife por municipio de alojamiento</t>
  </si>
  <si>
    <t>Total Tenerife</t>
  </si>
  <si>
    <t>Resto de municipios de Tenerife</t>
  </si>
  <si>
    <t>Distribución de viajeros peninsulares entrados en hoteles y apartamentos de Tenerife por municipio de alojamiento</t>
  </si>
  <si>
    <t>Distribución de viajeros canarios entrados en hoteles y apartamentos de Tenerife por municipio de alojamiento</t>
  </si>
  <si>
    <t>Españoles</t>
  </si>
  <si>
    <t>peninsulares</t>
  </si>
  <si>
    <t>Canarios</t>
  </si>
  <si>
    <t>Acumulado septiembre 2024</t>
  </si>
  <si>
    <t>Resumen indicadores San Cristóbal de La Laguna</t>
  </si>
  <si>
    <t>Evolución mensual de viajeros entrados en San Cristóbal de La Laguna según lugar de residencia</t>
  </si>
  <si>
    <t>Evolución mensual de viajeros entrados en San Cristóbal de La Laguna según categoría del establecimiento</t>
  </si>
  <si>
    <t>Evolución anual de viajeros entrados en San Cristóbal de La Laguna según categoría del establecimiento</t>
  </si>
  <si>
    <t>Evolución mensual de pernoctaciones en San Cristóbal de La Laguna según lugar de residencia</t>
  </si>
  <si>
    <t>Evolución mensual de pernoctaciones en San Cristóbal de La Laguna según categoría del establecimiento</t>
  </si>
  <si>
    <t>Evolución mensual de estancia media en San Cristóbal de La Laguna según lugar de residencia</t>
  </si>
  <si>
    <t>Evolución mensual de estancia media en San Cristóbal de La Laguna según categoría del establecimiento</t>
  </si>
  <si>
    <t>Evolución mensual de tasa de ocupación en San Cristóbal de La Laguna según categoría del establecimiento</t>
  </si>
  <si>
    <t>Viajeros españoles entrados en los hoteles y apartamentos de San Cristóbal de La Laguna según lugar de residencia - acumulado</t>
  </si>
  <si>
    <t>Viajeros españoles entrados en los hoteles y apartamentos de San Cristóbal de La Laguna por tipología y categoría de alojamiento - acumulado</t>
  </si>
  <si>
    <t>Viajeros peninsulares entrados en los hoteles y apartamentos de San Cristóbal de La Laguna por tipología y categoría de alojamiento - acumulado</t>
  </si>
  <si>
    <t>Viajeros canarios entrados en los hoteles y apartamentos de San Cristóbal de La Laguna por tipología y categoría de alojamiento - acumulado</t>
  </si>
  <si>
    <t>Resumen de indicadores turísticos de Tenerife-San Cristóbal de La Laguna</t>
  </si>
  <si>
    <t>septiembre 2019</t>
  </si>
  <si>
    <t>septiembre 2021</t>
  </si>
  <si>
    <t>septiembre 2022</t>
  </si>
  <si>
    <t>septiembre 2023</t>
  </si>
  <si>
    <t>septiembre 2024</t>
  </si>
  <si>
    <t>-</t>
  </si>
  <si>
    <t>acumulado a septiembre 2019</t>
  </si>
  <si>
    <t>acumulado a septiembre 2021</t>
  </si>
  <si>
    <t>acumulado a septiembre 2022</t>
  </si>
  <si>
    <t>acumulado a septiembre 2023</t>
  </si>
  <si>
    <t>acumulado a septiembre 2024</t>
  </si>
  <si>
    <t>septiembre 2020</t>
  </si>
  <si>
    <t>Viajeros  entrados en los establecimientos alojativos de San Cristóbal de La Laguna 
(hotel + apartamento)</t>
  </si>
  <si>
    <t>Viajeros españoles entrados en los establecimientos alojativos de San Cristóbal de La Laguna 
(hotel + apartamento)</t>
  </si>
  <si>
    <t>Viajeros peninsulares entrados en los establecimientos alojativos de San Cristóbal de La Laguna 
(hotel + apartamento)</t>
  </si>
  <si>
    <t>Viajeros canarios entrados en los establecimientos alojativos de San Cristóbal de La Laguna 
(hotel + apartamento)</t>
  </si>
  <si>
    <t>Viajeros extranjeros entrados en los establecimientos alojativos de San Cristóbal de La Laguna 
(hotel + apartamento)</t>
  </si>
  <si>
    <t>Viajeros británicos entrados en los establecimientos alojativos de San Cristóbal de La Laguna 
(hotel + apartamento)</t>
  </si>
  <si>
    <t>Viajeros alemanes entrados en los establecimientos alojativos de San Cristóbal de La Laguna 
(hotel + apartamento)</t>
  </si>
  <si>
    <t>Viajeros franceses entrados en los establecimientos alojativos de San Cristóbal de La Laguna 
(hotel + apartamento)</t>
  </si>
  <si>
    <t>Viajeros belgas entrados en los establecimientos alojativos de San Cristóbal de La Laguna 
(hotel + apartamento)</t>
  </si>
  <si>
    <t>Viajeros holandeses entrados en los establecimientos alojativos de San Cristóbal de La Laguna 
(hotel + apartamento)</t>
  </si>
  <si>
    <t>Viajeros daneses entrados en los establecimientos alojativos de San Cristóbal de La Laguna 
(hotel + apartamento)</t>
  </si>
  <si>
    <t>Viajeros suecos entrados en los establecimientos alojativos de San Cristóbal de La Laguna 
(hotel + apartamento)</t>
  </si>
  <si>
    <t>var 21/20</t>
  </si>
  <si>
    <t>var 23/22</t>
  </si>
  <si>
    <t>Viajeros entrados en los establecimientos alojativos de San Cristóbal de La Laguna 
(hotel + apartamento)</t>
  </si>
  <si>
    <t>Viajeros entrados en los hoteles de San Cristóbal de La Laguna</t>
  </si>
  <si>
    <t>Viajeros entrados en los hoteles de 4, 5 estrellas San Cristóbal de La Laguna</t>
  </si>
  <si>
    <t>Viajeros entrados en los hoteles de 1, 2, 3 estrellas San Cristóbal de La Laguna</t>
  </si>
  <si>
    <t>Viajeros entrados en los apartamentos de San Cristóbal de La Laguna</t>
  </si>
  <si>
    <t>Evolución de viajeros entrados en los establecimientos alojativos de San Cristóbal de La Laguna 
(hotel + apartamento)</t>
  </si>
  <si>
    <t>Evolución de viajeros entrados en los hoteles de San Cristóbal de La Laguna</t>
  </si>
  <si>
    <t>Evolución de viajeros entrados en los hoteles de 4, 5 estrellas de San Cristóbal de La Laguna</t>
  </si>
  <si>
    <t>Evolución de viajeros entrados en los apartamentos de San Cristóbal de La Laguna</t>
  </si>
  <si>
    <t>acumulado a septiembre 2020</t>
  </si>
  <si>
    <t>Viajeros entrados en los establecimientos alojativos de San Cristóbal de La Laguna según lugar de residencia (hotel + apartamento)</t>
  </si>
  <si>
    <t>acumulado septiembre 2018</t>
  </si>
  <si>
    <t>acumulado septiembre 2019</t>
  </si>
  <si>
    <t>acumulado septiembre 2020</t>
  </si>
  <si>
    <t>acumulado septiembre 2022</t>
  </si>
  <si>
    <t>acumulado septiembre 2023</t>
  </si>
  <si>
    <t>acumulado septiembre 2024</t>
  </si>
  <si>
    <t>Viajeros entrados en los hoteles de San Cristóbal de La Laguna según lugar de residencia (hotel + apartamento)</t>
  </si>
  <si>
    <t>Viajeros entrados en los apartamentos de San Cristóbal de La Laguna según lugar de residencia (hotel + apartamento)</t>
  </si>
  <si>
    <t>acumulado septiembre 2021</t>
  </si>
  <si>
    <t>Viajeros alojados en los establecimientos alojativos de San Cristóbal de La Laguna según lugar de residencia (hotel + apartamento)</t>
  </si>
  <si>
    <t>Pernoctaciones realizadas por los turistas en los establecimientos alojativos de San Cristóbal de La Laguna (hotel + apartamento)</t>
  </si>
  <si>
    <t>Pernoctaciones realizadas por los turistas españoles en los establecimientos alojativos de San Cristóbal de La Laguna (hotel + apartamento)</t>
  </si>
  <si>
    <t>var 24/23</t>
  </si>
  <si>
    <t>var 24/19</t>
  </si>
  <si>
    <t>Pernoctaciones realizadas por los procedentes de Península en los establecimientos alojativos de San Cristóbal de La Laguna (hotel + apartamento)</t>
  </si>
  <si>
    <t>Pernoctaciones realizadas por los procedentes de Canarias en los establecimientos alojativos de San Cristóbal de La Laguna (hotel + apartamento)</t>
  </si>
  <si>
    <t>Pernoctaciones realizadas por los procedentes de Total residentes en el extranjero en los establecimientos alojativos de San Cristóbal de La Laguna (hotel + apartamento)</t>
  </si>
  <si>
    <t>Pernoctaciones realizadas por los procedentes de Reino Unido en los establecimientos alojativos de San Cristóbal de La Laguna (hotel + apartamento)</t>
  </si>
  <si>
    <t>Pernoctaciones realizadas por los procedentes de Alemania en los establecimientos alojativos de San Cristóbal de La Laguna (hotel + apartamento)</t>
  </si>
  <si>
    <t>Pernoctaciones realizadas por los procedentes de Francia en los establecimientos alojativos de San Cristóbal de La Laguna (hotel + apartamento)</t>
  </si>
  <si>
    <t>Pernoctaciones realizadas por los procedentes de Bélgica en los establecimientos alojativos de San Cristóbal de La Laguna (hotel + apartamento)</t>
  </si>
  <si>
    <t>Pernoctaciones realizadas por los procedentes de Países Bajos en los establecimientos alojativos de San Cristóbal de La Laguna (hotel + apartamento)</t>
  </si>
  <si>
    <t>Pernoctaciones realizadas por los procedentes de Dinamarca en los establecimientos alojativos de San Cristóbal de La Laguna (hotel + apartamento)</t>
  </si>
  <si>
    <t>Pernoctaciones realizadas por los procedentes de Suecia en los establecimientos alojativos de San Cristóbal de La Laguna (hotel + apartamento)</t>
  </si>
  <si>
    <t>2020</t>
  </si>
  <si>
    <t>2021</t>
  </si>
  <si>
    <t>2022</t>
  </si>
  <si>
    <t>Pernoctaciones realizadas por los turistas en los hoteles de San Cristóbal de La Laguna</t>
  </si>
  <si>
    <t>Pernoctaciones realizadas por los turistas en los hoteles de 4 y 5 estrellas de San Cristóbal de La Laguna</t>
  </si>
  <si>
    <t>Pernoctaciones realizadas por los turistas en los hoteles de 1, 2, 3 estrellas de San Cristóbal de La Laguna</t>
  </si>
  <si>
    <t>Pernoctaciones realizadas por los turistas en los apartamentos de San Cristóbal de La Laguna</t>
  </si>
  <si>
    <t>septiembre 2018</t>
  </si>
  <si>
    <t>Estancia Media en los establecimientos alojativos de San Cristóbal de La Laguna
(hotel + apartamento)</t>
  </si>
  <si>
    <t>Estancia media de los viajeros españoles entrados en los establecimientos alojativos de San Cristóbal de La Laguna (hotel + apartamento)</t>
  </si>
  <si>
    <t>Estancia media de los viajeros peninsulares entrados en los establecimientos alojativos de San Cristóbal de La Laguna (hotel + apartamento)</t>
  </si>
  <si>
    <t>Estancia media de los viajeros canarios entrados en los establecimientos alojativos de San Cristóbal de La Laguna (hotel + apartamento)</t>
  </si>
  <si>
    <t>Estancia media de los viajeros extranjeros entrados en los establecimientos alojativos de San Cristóbal de La Laguna (hotel + apartamento)</t>
  </si>
  <si>
    <t>Estancia media de los viajeros británicos entrados en los establecimientos alojativos de San Cristóbal de La Laguna (hotel + apartamento)</t>
  </si>
  <si>
    <t>Estancia media de los viajeros alemanes entrados en los establecimientos alojativos de San Cristóbal de La Laguna (hotel + apartamento)</t>
  </si>
  <si>
    <t>Estancia media de los viajeros franceses entrados en los establecimientos alojativos de San Cristóbal de La Laguna (hotel + apartamento)</t>
  </si>
  <si>
    <t>Estancia media de los viajeros belgas entrados en los establecimientos alojativos de San Cristóbal de La Laguna (hotel + apartamento)</t>
  </si>
  <si>
    <t>Estancia media de los viajeros holandeses entrados en los establecimientos alojativos de San Cristóbal de La Laguna (hotel + apartamento)</t>
  </si>
  <si>
    <t>Estancia media de los viajeros daneses entrados en los establecimientos alojativos de San Cristóbal de La Laguna (hotel + apartamento)</t>
  </si>
  <si>
    <t>Estancia media de los viajeros suecos entrados en los establecimientos alojativos de San Cristóbal de La Laguna (hotel + apartamento)</t>
  </si>
  <si>
    <t>Estancia Media en los hoteles de San Cristóbal de La Laguna</t>
  </si>
  <si>
    <t>Estancia Media en los hoteles de 4, 5 estrellas de San Cristóbal de La Laguna</t>
  </si>
  <si>
    <t>Estancia Media en los hoteles de 1, 2, 3 Estrellas de San Cristóbal de La Laguna</t>
  </si>
  <si>
    <t>Estancia Media en los apartamentos de San Cristóbal de La Laguna</t>
  </si>
  <si>
    <t>Tasa de ocupación por plaza en los establecimientos alojativos de San Cristóbal de La Laguna
(hotel + apartamento)</t>
  </si>
  <si>
    <t>Tasa de ocupación por plaza en los hoteles de San Cristóbal de La Laguna</t>
  </si>
  <si>
    <t>Tasa de ocupación por plaza en los hoteles de 4, 5 Estrellas de San Cristóbal de La Laguna</t>
  </si>
  <si>
    <t>Tasa de ocupación por plaza en los hoteles de 1, 2, 3 Estrellas de San Cristóbal de La Laguna</t>
  </si>
  <si>
    <t>Tasa de ocupación por plaza en los apartamentos de San Cristóbal de La Laguna</t>
  </si>
  <si>
    <t>Distribución de viajeros españoles entrados en hoteles y apartamentos de San Cristóbal de La Laguna  por lugar de residencia</t>
  </si>
  <si>
    <t>Viajeros españoles entrados en los hoteles y apartamentos de San Cristóbal de La Laguna según lugar de residencia</t>
  </si>
  <si>
    <t>Viajeros españoles entrados en los hoteles y apartamentos de San Cristóbal de La Laguna por tipología y categoría de alojamiento</t>
  </si>
  <si>
    <t>Viajeros peninsulares entrados en los hoteles y apartamentos de San Cristóbal de La Laguna por tipología y categoría de alojamiento</t>
  </si>
  <si>
    <t>Viajeros canarios entrados en los hoteles y apartamentos de San Cristóbal de La Laguna por tipología y categoría de alojamiento</t>
  </si>
  <si>
    <t>Evolución de viajeros españoles entrados en los establecimientos alojativos de San Cristóbal de La Laguna
(hotel + apartamento)</t>
  </si>
  <si>
    <t>Evolución de viajeros peninsulares entrados en los establecimientos alojativos de San Cristóbal de La Laguna
(hotel + apartamento)</t>
  </si>
  <si>
    <t>Evolución de viajeros canarios entrados en los establecimientos alojativos de San Cristóbal de La Laguna
(hotel + apartamento)</t>
  </si>
  <si>
    <t>nd</t>
  </si>
  <si>
    <t>dif 24/23</t>
  </si>
  <si>
    <t>dif 24/19</t>
  </si>
  <si>
    <t>def 24/23</t>
  </si>
  <si>
    <t>def 24/19</t>
  </si>
  <si>
    <t>var 24/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</si>
</sst>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164" formatCode="0.0%"/>
    <numFmt numFmtId="165" formatCode="#,##0.0\ &quot;€&quot;"/>
    <numFmt numFmtId="166" formatCode="#,##0\ &quot;€&quot;"/>
  </numFmts>
  <fonts count="29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1"/>
      <color theme="0"/>
      <name val="Aptos Narrow"/>
      <family val="2"/>
      <scheme val="minor"/>
    </font>
    <font>
      <b/>
      <sz val="28"/>
      <color theme="1" tint="0.34998626667073579"/>
      <name val="Aptos Narrow"/>
      <family val="2"/>
      <scheme val="minor"/>
    </font>
    <font>
      <b/>
      <sz val="18"/>
      <color theme="1" tint="0.34998626667073579"/>
      <name val="Aptos Narrow"/>
      <family val="2"/>
      <scheme val="minor"/>
    </font>
    <font>
      <sz val="11"/>
      <color theme="1" tint="0.34998626667073579"/>
      <name val="Aptos Narrow"/>
      <family val="2"/>
      <scheme val="minor"/>
    </font>
    <font>
      <b/>
      <sz val="16"/>
      <color theme="1" tint="0.34998626667073579"/>
      <name val="Aptos Narrow"/>
      <family val="2"/>
      <scheme val="minor"/>
    </font>
    <font>
      <u/>
      <sz val="11"/>
      <color theme="10"/>
      <name val="Aptos Narrow"/>
      <family val="2"/>
      <scheme val="minor"/>
    </font>
    <font>
      <sz val="12"/>
      <color theme="1" tint="0.34998626667073579"/>
      <name val="Aptos Narrow"/>
      <family val="2"/>
      <scheme val="minor"/>
    </font>
    <font>
      <b/>
      <sz val="14"/>
      <color theme="9"/>
      <name val="Aptos Narrow"/>
      <family val="2"/>
      <scheme val="minor"/>
    </font>
    <font>
      <sz val="16"/>
      <color theme="1" tint="0.34998626667073579"/>
      <name val="Aptos Narrow"/>
      <family val="2"/>
      <scheme val="minor"/>
    </font>
    <font>
      <sz val="9"/>
      <color theme="1" tint="0.34998626667073579"/>
      <name val="Aptos Narrow"/>
      <family val="2"/>
      <scheme val="minor"/>
    </font>
    <font>
      <sz val="11"/>
      <color rgb="FFFF0000"/>
      <name val="Aptos Narrow"/>
      <family val="2"/>
      <scheme val="minor"/>
    </font>
    <font>
      <sz val="11"/>
      <color theme="1" tint="0.249977111117893"/>
      <name val="Aptos Narrow"/>
      <family val="2"/>
      <scheme val="minor"/>
    </font>
    <font>
      <sz val="10"/>
      <color theme="1"/>
      <name val="Aptos Narrow"/>
      <family val="2"/>
      <scheme val="minor"/>
    </font>
    <font>
      <b/>
      <sz val="11"/>
      <color theme="1" tint="0.34998626667073579"/>
      <name val="Aptos Narrow"/>
      <family val="2"/>
      <scheme val="minor"/>
    </font>
    <font>
      <sz val="10"/>
      <color theme="1" tint="0.34998626667073579"/>
      <name val="Aptos Narrow"/>
      <family val="2"/>
      <scheme val="minor"/>
    </font>
    <font>
      <b/>
      <sz val="11"/>
      <color theme="9"/>
      <name val="Aptos Narrow"/>
      <family val="2"/>
      <scheme val="minor"/>
    </font>
    <font>
      <sz val="11"/>
      <color theme="9"/>
      <name val="Aptos Narrow"/>
      <family val="2"/>
      <scheme val="minor"/>
    </font>
    <font>
      <b/>
      <sz val="16"/>
      <color theme="0"/>
      <name val="Aptos Narrow"/>
      <family val="2"/>
      <scheme val="minor"/>
    </font>
    <font>
      <b/>
      <sz val="14"/>
      <color theme="1" tint="0.34998626667073579"/>
      <name val="Aptos Narrow"/>
      <family val="2"/>
      <scheme val="minor"/>
    </font>
    <font>
      <sz val="10"/>
      <name val="Arial"/>
      <family val="2"/>
    </font>
    <font>
      <b/>
      <sz val="12"/>
      <color theme="9"/>
      <name val="Aptos Narrow"/>
      <family val="2"/>
      <scheme val="minor"/>
    </font>
    <font>
      <sz val="18"/>
      <color rgb="FFFF0000"/>
      <name val="Aptos Narrow"/>
      <family val="2"/>
      <scheme val="minor"/>
    </font>
    <font>
      <sz val="12"/>
      <color theme="9"/>
      <name val="Aptos Narrow"/>
      <family val="2"/>
      <scheme val="minor"/>
    </font>
    <font>
      <sz val="18"/>
      <color theme="1" tint="0.34998626667073579"/>
      <name val="Aptos Narrow"/>
      <family val="2"/>
      <scheme val="minor"/>
    </font>
    <font>
      <sz val="14"/>
      <color rgb="FFFF0000"/>
      <name val="Aptos Narrow"/>
      <family val="2"/>
      <scheme val="minor"/>
    </font>
    <font>
      <b/>
      <sz val="12"/>
      <color rgb="FFFF0000"/>
      <name val="Aptos Narrow"/>
      <family val="2"/>
      <scheme val="minor"/>
    </font>
    <font>
      <b/>
      <sz val="11"/>
      <color theme="7" tint="-0.249977111117893"/>
      <name val="Aptos Narrow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</fills>
  <borders count="65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 style="medium">
        <color theme="0"/>
      </left>
      <right style="medium">
        <color theme="0"/>
      </right>
      <top/>
      <bottom style="thin">
        <color theme="9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/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/>
      <diagonal/>
    </border>
    <border>
      <left style="thin">
        <color theme="0" tint="-0.24994659260841701"/>
      </left>
      <right/>
      <top/>
      <bottom/>
      <diagonal/>
    </border>
    <border>
      <left style="thin">
        <color theme="0" tint="-0.24994659260841701"/>
      </left>
      <right/>
      <top/>
      <bottom style="thin">
        <color theme="0" tint="-0.24994659260841701"/>
      </bottom>
      <diagonal/>
    </border>
    <border>
      <left/>
      <right/>
      <top style="medium">
        <color theme="9"/>
      </top>
      <bottom/>
      <diagonal/>
    </border>
    <border>
      <left/>
      <right/>
      <top/>
      <bottom style="medium">
        <color theme="0"/>
      </bottom>
      <diagonal/>
    </border>
    <border>
      <left/>
      <right/>
      <top/>
      <bottom style="thin">
        <color theme="9" tint="-0.24994659260841701"/>
      </bottom>
      <diagonal/>
    </border>
    <border>
      <left style="thin">
        <color theme="0" tint="-0.14996795556505021"/>
      </left>
      <right style="medium">
        <color theme="0"/>
      </right>
      <top/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/>
      <right/>
      <top style="thin">
        <color theme="1" tint="0.499984740745262"/>
      </top>
      <bottom style="thin">
        <color theme="1" tint="0.499984740745262"/>
      </bottom>
      <diagonal/>
    </border>
    <border>
      <left/>
      <right/>
      <top style="thin">
        <color theme="3"/>
      </top>
      <bottom style="thin">
        <color theme="1" tint="0.499984740745262"/>
      </bottom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ck">
        <color theme="0" tint="-0.14981536301767021"/>
      </left>
      <right/>
      <top style="thick">
        <color theme="0" tint="-0.14981536301767021"/>
      </top>
      <bottom style="thick">
        <color theme="0" tint="-0.14981536301767021"/>
      </bottom>
      <diagonal/>
    </border>
    <border>
      <left/>
      <right/>
      <top style="thick">
        <color theme="0" tint="-0.14981536301767021"/>
      </top>
      <bottom style="thick">
        <color theme="0" tint="-0.14981536301767021"/>
      </bottom>
      <diagonal/>
    </border>
    <border>
      <left/>
      <right style="thick">
        <color theme="0" tint="-0.14981536301767021"/>
      </right>
      <top style="thick">
        <color theme="0" tint="-0.14981536301767021"/>
      </top>
      <bottom style="thick">
        <color theme="0" tint="-0.14981536301767021"/>
      </bottom>
      <diagonal/>
    </border>
    <border>
      <left/>
      <right style="thin">
        <color theme="0" tint="-0.14993743705557422"/>
      </right>
      <top style="thick">
        <color theme="0" tint="-0.14981536301767021"/>
      </top>
      <bottom style="thick">
        <color theme="0" tint="-0.14981536301767021"/>
      </bottom>
      <diagonal/>
    </border>
    <border>
      <left style="thin">
        <color theme="0" tint="-0.14993743705557422"/>
      </left>
      <right/>
      <top style="thick">
        <color theme="0" tint="-0.14981536301767021"/>
      </top>
      <bottom style="thick">
        <color theme="0" tint="-0.14981536301767021"/>
      </bottom>
      <diagonal/>
    </border>
    <border>
      <left style="thick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/>
      <bottom style="medium">
        <color theme="0"/>
      </bottom>
      <diagonal/>
    </border>
    <border>
      <left style="thick">
        <color theme="0" tint="-0.14993743705557422"/>
      </left>
      <right style="medium">
        <color theme="0"/>
      </right>
      <top/>
      <bottom style="medium">
        <color theme="0"/>
      </bottom>
      <diagonal/>
    </border>
    <border>
      <left style="thick">
        <color theme="0" tint="-0.1498458815271462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ck">
        <color theme="0" tint="-0.1498458815271462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/>
      <right/>
      <top style="dashed">
        <color theme="0" tint="-0.24994659260841701"/>
      </top>
      <bottom/>
      <diagonal/>
    </border>
    <border>
      <left style="thin">
        <color theme="0" tint="-0.34998626667073579"/>
      </left>
      <right/>
      <top style="thin">
        <color theme="0" tint="-0.34998626667073579"/>
      </top>
      <bottom/>
      <diagonal/>
    </border>
    <border>
      <left/>
      <right/>
      <top style="thin">
        <color theme="0" tint="-0.34998626667073579"/>
      </top>
      <bottom/>
      <diagonal/>
    </border>
    <border>
      <left style="thin">
        <color theme="0" tint="-0.34998626667073579"/>
      </left>
      <right style="medium">
        <color theme="0"/>
      </right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theme="0"/>
      </left>
      <right style="medium">
        <color theme="0"/>
      </right>
      <top style="thin">
        <color theme="0" tint="-0.34998626667073579"/>
      </top>
      <bottom style="thin">
        <color theme="0" tint="-0.34998626667073579"/>
      </bottom>
      <diagonal/>
    </border>
    <border>
      <left style="dashed">
        <color theme="0" tint="-0.24994659260841701"/>
      </left>
      <right style="dashed">
        <color theme="0" tint="-0.24994659260841701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24994659260841701"/>
      </left>
      <right style="dashed">
        <color theme="0" tint="-0.24994659260841701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 style="dashed">
        <color theme="0" tint="-0.34998626667073579"/>
      </right>
      <top/>
      <bottom/>
      <diagonal/>
    </border>
    <border>
      <left style="dashed">
        <color theme="0" tint="-0.34998626667073579"/>
      </left>
      <right style="dashed">
        <color theme="0" tint="-0.34998626667073579"/>
      </right>
      <top/>
      <bottom/>
      <diagonal/>
    </border>
    <border>
      <left/>
      <right style="dashed">
        <color theme="0" tint="-0.34998626667073579"/>
      </right>
      <top/>
      <bottom style="thin">
        <color theme="0" tint="-0.34998626667073579"/>
      </bottom>
      <diagonal/>
    </border>
    <border>
      <left style="dashed">
        <color theme="0" tint="-0.34998626667073579"/>
      </left>
      <right style="dashed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24994659260841701"/>
      </bottom>
      <diagonal/>
    </border>
    <border>
      <left/>
      <right/>
      <top style="thin">
        <color theme="0" tint="-0.34998626667073579"/>
      </top>
      <bottom style="thin">
        <color theme="0" tint="-0.24994659260841701"/>
      </bottom>
      <diagonal/>
    </border>
    <border>
      <left style="thin">
        <color theme="0" tint="-0.24994659260841701"/>
      </left>
      <right style="dashed">
        <color theme="0" tint="-0.24994659260841701"/>
      </right>
      <top style="thin">
        <color theme="0" tint="-0.24994659260841701"/>
      </top>
      <bottom/>
      <diagonal/>
    </border>
    <border>
      <left style="dashed">
        <color theme="0" tint="-0.24994659260841701"/>
      </left>
      <right style="dashed">
        <color theme="0" tint="-0.24994659260841701"/>
      </right>
      <top style="thin">
        <color theme="0" tint="-0.24994659260841701"/>
      </top>
      <bottom/>
      <diagonal/>
    </border>
    <border>
      <left/>
      <right style="dashed">
        <color theme="0" tint="-0.34998626667073579"/>
      </right>
      <top style="thin">
        <color theme="0" tint="-0.34998626667073579"/>
      </top>
      <bottom/>
      <diagonal/>
    </border>
    <border>
      <left style="dashed">
        <color theme="0" tint="-0.34998626667073579"/>
      </left>
      <right style="dashed">
        <color theme="0" tint="-0.34998626667073579"/>
      </right>
      <top style="thin">
        <color theme="0" tint="-0.34998626667073579"/>
      </top>
      <bottom/>
      <diagonal/>
    </border>
    <border>
      <left style="thin">
        <color theme="0" tint="-0.24994659260841701"/>
      </left>
      <right style="medium">
        <color theme="0"/>
      </right>
      <top/>
      <bottom style="medium">
        <color theme="0"/>
      </bottom>
      <diagonal/>
    </border>
    <border>
      <left style="medium">
        <color theme="0"/>
      </left>
      <right/>
      <top style="medium">
        <color theme="0"/>
      </top>
      <bottom/>
      <diagonal/>
    </border>
    <border>
      <left/>
      <right style="medium">
        <color theme="0"/>
      </right>
      <top/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/>
      <right/>
      <top/>
      <bottom style="thin">
        <color theme="0" tint="-0.14993743705557422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14993743705557422"/>
      </top>
      <bottom/>
      <diagonal/>
    </border>
  </borders>
  <cellStyleXfs count="5">
    <xf numFmtId="0" fontId="0" fillId="0" borderId="0"/>
    <xf numFmtId="9" fontId="1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1" fillId="0" borderId="0"/>
    <xf numFmtId="1" fontId="21" fillId="0" borderId="0">
      <alignment vertical="center"/>
    </xf>
  </cellStyleXfs>
  <cellXfs count="312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0" xfId="0" applyFont="1"/>
    <xf numFmtId="0" fontId="6" fillId="0" borderId="1" xfId="0" applyFont="1" applyBorder="1"/>
    <xf numFmtId="0" fontId="8" fillId="0" borderId="0" xfId="2" applyFont="1" applyAlignment="1">
      <alignment horizontal="left" indent="3"/>
    </xf>
    <xf numFmtId="0" fontId="9" fillId="0" borderId="2" xfId="2" applyFont="1" applyFill="1" applyBorder="1" applyAlignment="1">
      <alignment horizontal="left" indent="1"/>
    </xf>
    <xf numFmtId="0" fontId="9" fillId="0" borderId="0" xfId="2" applyFont="1" applyFill="1" applyAlignment="1">
      <alignment horizontal="left" indent="1"/>
    </xf>
    <xf numFmtId="0" fontId="7" fillId="0" borderId="0" xfId="2" applyAlignment="1">
      <alignment horizontal="left" indent="3"/>
    </xf>
    <xf numFmtId="0" fontId="8" fillId="2" borderId="0" xfId="2" applyFont="1" applyFill="1" applyAlignment="1">
      <alignment horizontal="left" indent="3"/>
    </xf>
    <xf numFmtId="0" fontId="8" fillId="0" borderId="0" xfId="2" applyFont="1" applyAlignment="1">
      <alignment horizontal="left" wrapText="1" indent="3"/>
    </xf>
    <xf numFmtId="0" fontId="0" fillId="0" borderId="3" xfId="0" applyBorder="1"/>
    <xf numFmtId="17" fontId="5" fillId="3" borderId="4" xfId="0" applyNumberFormat="1" applyFont="1" applyFill="1" applyBorder="1" applyAlignment="1">
      <alignment horizontal="right" vertical="center" wrapText="1"/>
    </xf>
    <xf numFmtId="0" fontId="5" fillId="3" borderId="5" xfId="0" applyFont="1" applyFill="1" applyBorder="1" applyAlignment="1">
      <alignment horizontal="right" vertical="center" wrapText="1"/>
    </xf>
    <xf numFmtId="0" fontId="5" fillId="4" borderId="7" xfId="0" applyFont="1" applyFill="1" applyBorder="1"/>
    <xf numFmtId="3" fontId="5" fillId="4" borderId="7" xfId="0" applyNumberFormat="1" applyFont="1" applyFill="1" applyBorder="1"/>
    <xf numFmtId="164" fontId="5" fillId="4" borderId="7" xfId="1" applyNumberFormat="1" applyFont="1" applyFill="1" applyBorder="1" applyAlignment="1">
      <alignment horizontal="right"/>
    </xf>
    <xf numFmtId="164" fontId="5" fillId="4" borderId="7" xfId="1" applyNumberFormat="1" applyFont="1" applyFill="1" applyBorder="1"/>
    <xf numFmtId="0" fontId="5" fillId="4" borderId="0" xfId="0" applyFont="1" applyFill="1"/>
    <xf numFmtId="3" fontId="5" fillId="4" borderId="0" xfId="0" applyNumberFormat="1" applyFont="1" applyFill="1"/>
    <xf numFmtId="164" fontId="5" fillId="4" borderId="0" xfId="1" applyNumberFormat="1" applyFont="1" applyFill="1" applyAlignment="1">
      <alignment horizontal="right"/>
    </xf>
    <xf numFmtId="164" fontId="5" fillId="4" borderId="0" xfId="1" applyNumberFormat="1" applyFont="1" applyFill="1"/>
    <xf numFmtId="0" fontId="5" fillId="4" borderId="9" xfId="0" applyFont="1" applyFill="1" applyBorder="1"/>
    <xf numFmtId="3" fontId="5" fillId="4" borderId="9" xfId="0" applyNumberFormat="1" applyFont="1" applyFill="1" applyBorder="1" applyAlignment="1">
      <alignment horizontal="right"/>
    </xf>
    <xf numFmtId="164" fontId="5" fillId="4" borderId="9" xfId="1" applyNumberFormat="1" applyFont="1" applyFill="1" applyBorder="1" applyAlignment="1">
      <alignment horizontal="right"/>
    </xf>
    <xf numFmtId="0" fontId="5" fillId="0" borderId="7" xfId="0" applyFont="1" applyBorder="1"/>
    <xf numFmtId="3" fontId="5" fillId="0" borderId="7" xfId="0" applyNumberFormat="1" applyFont="1" applyBorder="1"/>
    <xf numFmtId="164" fontId="5" fillId="0" borderId="7" xfId="1" applyNumberFormat="1" applyFont="1" applyBorder="1" applyAlignment="1">
      <alignment horizontal="right"/>
    </xf>
    <xf numFmtId="3" fontId="5" fillId="0" borderId="0" xfId="0" applyNumberFormat="1" applyFont="1"/>
    <xf numFmtId="164" fontId="5" fillId="0" borderId="0" xfId="1" applyNumberFormat="1" applyFont="1" applyAlignment="1">
      <alignment horizontal="right"/>
    </xf>
    <xf numFmtId="164" fontId="5" fillId="0" borderId="0" xfId="1" applyNumberFormat="1" applyFont="1"/>
    <xf numFmtId="0" fontId="5" fillId="0" borderId="9" xfId="0" applyFont="1" applyBorder="1"/>
    <xf numFmtId="3" fontId="5" fillId="0" borderId="9" xfId="0" applyNumberFormat="1" applyFont="1" applyBorder="1" applyAlignment="1">
      <alignment horizontal="right"/>
    </xf>
    <xf numFmtId="164" fontId="5" fillId="0" borderId="9" xfId="1" applyNumberFormat="1" applyFont="1" applyBorder="1" applyAlignment="1">
      <alignment horizontal="right"/>
    </xf>
    <xf numFmtId="2" fontId="5" fillId="0" borderId="7" xfId="0" applyNumberFormat="1" applyFont="1" applyBorder="1"/>
    <xf numFmtId="164" fontId="5" fillId="0" borderId="7" xfId="1" applyNumberFormat="1" applyFont="1" applyFill="1" applyBorder="1" applyAlignment="1">
      <alignment horizontal="right"/>
    </xf>
    <xf numFmtId="4" fontId="5" fillId="0" borderId="7" xfId="0" applyNumberFormat="1" applyFont="1" applyBorder="1"/>
    <xf numFmtId="164" fontId="5" fillId="0" borderId="7" xfId="1" applyNumberFormat="1" applyFont="1" applyFill="1" applyBorder="1"/>
    <xf numFmtId="2" fontId="5" fillId="0" borderId="0" xfId="0" applyNumberFormat="1" applyFont="1"/>
    <xf numFmtId="164" fontId="5" fillId="0" borderId="0" xfId="1" applyNumberFormat="1" applyFont="1" applyFill="1" applyAlignment="1">
      <alignment horizontal="right"/>
    </xf>
    <xf numFmtId="4" fontId="5" fillId="0" borderId="0" xfId="0" applyNumberFormat="1" applyFont="1"/>
    <xf numFmtId="164" fontId="5" fillId="0" borderId="0" xfId="1" applyNumberFormat="1" applyFont="1" applyFill="1"/>
    <xf numFmtId="2" fontId="5" fillId="0" borderId="9" xfId="0" applyNumberFormat="1" applyFont="1" applyBorder="1" applyAlignment="1">
      <alignment horizontal="right"/>
    </xf>
    <xf numFmtId="4" fontId="5" fillId="4" borderId="7" xfId="0" applyNumberFormat="1" applyFont="1" applyFill="1" applyBorder="1"/>
    <xf numFmtId="4" fontId="5" fillId="4" borderId="0" xfId="0" applyNumberFormat="1" applyFont="1" applyFill="1"/>
    <xf numFmtId="164" fontId="5" fillId="4" borderId="9" xfId="1" applyNumberFormat="1" applyFont="1" applyFill="1" applyBorder="1"/>
    <xf numFmtId="0" fontId="0" fillId="0" borderId="11" xfId="0" applyBorder="1"/>
    <xf numFmtId="0" fontId="11" fillId="0" borderId="0" xfId="0" applyFont="1" applyAlignment="1">
      <alignment horizontal="left"/>
    </xf>
    <xf numFmtId="3" fontId="5" fillId="4" borderId="7" xfId="0" applyNumberFormat="1" applyFont="1" applyFill="1" applyBorder="1" applyAlignment="1">
      <alignment horizontal="right"/>
    </xf>
    <xf numFmtId="3" fontId="5" fillId="4" borderId="0" xfId="0" applyNumberFormat="1" applyFont="1" applyFill="1" applyAlignment="1">
      <alignment horizontal="right"/>
    </xf>
    <xf numFmtId="3" fontId="5" fillId="0" borderId="7" xfId="0" applyNumberFormat="1" applyFont="1" applyBorder="1" applyAlignment="1">
      <alignment horizontal="right"/>
    </xf>
    <xf numFmtId="3" fontId="5" fillId="0" borderId="0" xfId="0" applyNumberFormat="1" applyFont="1" applyAlignment="1">
      <alignment horizontal="right"/>
    </xf>
    <xf numFmtId="2" fontId="5" fillId="0" borderId="7" xfId="0" applyNumberFormat="1" applyFont="1" applyBorder="1" applyAlignment="1">
      <alignment horizontal="right"/>
    </xf>
    <xf numFmtId="2" fontId="5" fillId="0" borderId="0" xfId="0" applyNumberFormat="1" applyFont="1" applyAlignment="1">
      <alignment horizontal="right"/>
    </xf>
    <xf numFmtId="164" fontId="5" fillId="0" borderId="9" xfId="1" applyNumberFormat="1" applyFont="1" applyFill="1" applyBorder="1"/>
    <xf numFmtId="0" fontId="12" fillId="0" borderId="0" xfId="0" applyFont="1"/>
    <xf numFmtId="164" fontId="13" fillId="4" borderId="7" xfId="1" applyNumberFormat="1" applyFont="1" applyFill="1" applyBorder="1" applyAlignment="1">
      <alignment horizontal="right"/>
    </xf>
    <xf numFmtId="164" fontId="13" fillId="4" borderId="0" xfId="1" applyNumberFormat="1" applyFont="1" applyFill="1" applyAlignment="1">
      <alignment horizontal="right"/>
    </xf>
    <xf numFmtId="164" fontId="13" fillId="4" borderId="9" xfId="1" applyNumberFormat="1" applyFont="1" applyFill="1" applyBorder="1" applyAlignment="1">
      <alignment horizontal="right"/>
    </xf>
    <xf numFmtId="0" fontId="14" fillId="0" borderId="0" xfId="0" applyFont="1"/>
    <xf numFmtId="164" fontId="5" fillId="0" borderId="9" xfId="1" applyNumberFormat="1" applyFont="1" applyFill="1" applyBorder="1" applyAlignment="1">
      <alignment horizontal="right"/>
    </xf>
    <xf numFmtId="0" fontId="6" fillId="0" borderId="3" xfId="0" applyFont="1" applyBorder="1" applyAlignment="1">
      <alignment vertical="center" readingOrder="1"/>
    </xf>
    <xf numFmtId="0" fontId="15" fillId="2" borderId="7" xfId="0" applyFont="1" applyFill="1" applyBorder="1"/>
    <xf numFmtId="3" fontId="5" fillId="2" borderId="7" xfId="0" applyNumberFormat="1" applyFont="1" applyFill="1" applyBorder="1"/>
    <xf numFmtId="164" fontId="5" fillId="2" borderId="7" xfId="1" applyNumberFormat="1" applyFont="1" applyFill="1" applyBorder="1"/>
    <xf numFmtId="0" fontId="0" fillId="0" borderId="0" xfId="0" applyAlignment="1">
      <alignment horizontal="left"/>
    </xf>
    <xf numFmtId="164" fontId="5" fillId="4" borderId="0" xfId="1" applyNumberFormat="1" applyFont="1" applyFill="1" applyBorder="1" applyAlignment="1">
      <alignment horizontal="right"/>
    </xf>
    <xf numFmtId="164" fontId="5" fillId="4" borderId="0" xfId="1" applyNumberFormat="1" applyFont="1" applyFill="1" applyBorder="1"/>
    <xf numFmtId="3" fontId="5" fillId="4" borderId="9" xfId="0" applyNumberFormat="1" applyFont="1" applyFill="1" applyBorder="1"/>
    <xf numFmtId="164" fontId="5" fillId="0" borderId="0" xfId="1" applyNumberFormat="1" applyFont="1" applyBorder="1" applyAlignment="1">
      <alignment horizontal="right"/>
    </xf>
    <xf numFmtId="3" fontId="5" fillId="0" borderId="9" xfId="0" applyNumberFormat="1" applyFont="1" applyBorder="1"/>
    <xf numFmtId="164" fontId="5" fillId="0" borderId="9" xfId="1" applyNumberFormat="1" applyFont="1" applyBorder="1"/>
    <xf numFmtId="4" fontId="5" fillId="2" borderId="7" xfId="0" applyNumberFormat="1" applyFont="1" applyFill="1" applyBorder="1"/>
    <xf numFmtId="164" fontId="5" fillId="0" borderId="0" xfId="1" applyNumberFormat="1" applyFont="1" applyFill="1" applyBorder="1" applyAlignment="1">
      <alignment horizontal="right"/>
    </xf>
    <xf numFmtId="164" fontId="5" fillId="0" borderId="0" xfId="1" applyNumberFormat="1" applyFont="1" applyFill="1" applyBorder="1"/>
    <xf numFmtId="2" fontId="5" fillId="0" borderId="9" xfId="0" applyNumberFormat="1" applyFont="1" applyBorder="1"/>
    <xf numFmtId="4" fontId="5" fillId="0" borderId="9" xfId="0" applyNumberFormat="1" applyFont="1" applyBorder="1"/>
    <xf numFmtId="4" fontId="5" fillId="4" borderId="9" xfId="0" applyNumberFormat="1" applyFont="1" applyFill="1" applyBorder="1"/>
    <xf numFmtId="164" fontId="0" fillId="0" borderId="0" xfId="1" applyNumberFormat="1" applyFont="1"/>
    <xf numFmtId="164" fontId="5" fillId="0" borderId="7" xfId="1" applyNumberFormat="1" applyFont="1" applyBorder="1"/>
    <xf numFmtId="164" fontId="5" fillId="0" borderId="0" xfId="1" applyNumberFormat="1" applyFont="1" applyBorder="1"/>
    <xf numFmtId="0" fontId="6" fillId="0" borderId="3" xfId="3" applyFont="1" applyBorder="1" applyAlignment="1">
      <alignment vertical="center" readingOrder="1"/>
    </xf>
    <xf numFmtId="0" fontId="6" fillId="0" borderId="0" xfId="0" applyFont="1" applyAlignment="1">
      <alignment horizontal="left" vertical="center" wrapText="1" readingOrder="1"/>
    </xf>
    <xf numFmtId="0" fontId="6" fillId="0" borderId="15" xfId="0" applyFont="1" applyBorder="1" applyAlignment="1">
      <alignment horizontal="left" vertical="center" wrapText="1" readingOrder="1"/>
    </xf>
    <xf numFmtId="0" fontId="16" fillId="3" borderId="0" xfId="0" applyFont="1" applyFill="1" applyAlignment="1">
      <alignment horizontal="center" vertical="center" wrapText="1"/>
    </xf>
    <xf numFmtId="0" fontId="5" fillId="3" borderId="0" xfId="0" applyFont="1" applyFill="1" applyAlignment="1">
      <alignment horizontal="right" vertical="center"/>
    </xf>
    <xf numFmtId="0" fontId="5" fillId="3" borderId="0" xfId="0" applyFont="1" applyFill="1" applyAlignment="1">
      <alignment horizontal="right" vertical="center" wrapText="1"/>
    </xf>
    <xf numFmtId="0" fontId="16" fillId="3" borderId="17" xfId="0" applyFont="1" applyFill="1" applyBorder="1" applyAlignment="1">
      <alignment horizontal="center" vertical="center" wrapText="1"/>
    </xf>
    <xf numFmtId="0" fontId="5" fillId="3" borderId="18" xfId="0" applyFont="1" applyFill="1" applyBorder="1" applyAlignment="1">
      <alignment horizontal="right" vertical="center"/>
    </xf>
    <xf numFmtId="17" fontId="5" fillId="3" borderId="19" xfId="0" applyNumberFormat="1" applyFont="1" applyFill="1" applyBorder="1" applyAlignment="1">
      <alignment horizontal="right" vertical="center" wrapText="1"/>
    </xf>
    <xf numFmtId="0" fontId="17" fillId="2" borderId="20" xfId="0" applyFont="1" applyFill="1" applyBorder="1"/>
    <xf numFmtId="3" fontId="17" fillId="2" borderId="21" xfId="0" applyNumberFormat="1" applyFont="1" applyFill="1" applyBorder="1" applyAlignment="1">
      <alignment horizontal="right"/>
    </xf>
    <xf numFmtId="164" fontId="17" fillId="2" borderId="21" xfId="0" applyNumberFormat="1" applyFont="1" applyFill="1" applyBorder="1" applyAlignment="1">
      <alignment horizontal="right"/>
    </xf>
    <xf numFmtId="0" fontId="18" fillId="0" borderId="20" xfId="0" applyFont="1" applyBorder="1" applyAlignment="1">
      <alignment horizontal="left" indent="1"/>
    </xf>
    <xf numFmtId="3" fontId="18" fillId="0" borderId="20" xfId="0" applyNumberFormat="1" applyFont="1" applyBorder="1" applyAlignment="1">
      <alignment horizontal="right"/>
    </xf>
    <xf numFmtId="164" fontId="18" fillId="0" borderId="20" xfId="0" applyNumberFormat="1" applyFont="1" applyBorder="1" applyAlignment="1">
      <alignment horizontal="right"/>
    </xf>
    <xf numFmtId="0" fontId="5" fillId="0" borderId="0" xfId="0" applyFont="1" applyAlignment="1">
      <alignment horizontal="left" indent="2"/>
    </xf>
    <xf numFmtId="164" fontId="5" fillId="0" borderId="0" xfId="0" applyNumberFormat="1" applyFont="1" applyAlignment="1">
      <alignment horizontal="right"/>
    </xf>
    <xf numFmtId="3" fontId="17" fillId="2" borderId="20" xfId="0" applyNumberFormat="1" applyFont="1" applyFill="1" applyBorder="1" applyAlignment="1">
      <alignment horizontal="right"/>
    </xf>
    <xf numFmtId="164" fontId="17" fillId="2" borderId="20" xfId="0" applyNumberFormat="1" applyFont="1" applyFill="1" applyBorder="1" applyAlignment="1">
      <alignment horizontal="right"/>
    </xf>
    <xf numFmtId="0" fontId="5" fillId="0" borderId="22" xfId="0" applyFont="1" applyBorder="1"/>
    <xf numFmtId="3" fontId="5" fillId="0" borderId="22" xfId="0" applyNumberFormat="1" applyFont="1" applyBorder="1"/>
    <xf numFmtId="3" fontId="5" fillId="0" borderId="23" xfId="0" applyNumberFormat="1" applyFont="1" applyBorder="1"/>
    <xf numFmtId="164" fontId="5" fillId="0" borderId="22" xfId="0" applyNumberFormat="1" applyFont="1" applyBorder="1"/>
    <xf numFmtId="0" fontId="11" fillId="0" borderId="24" xfId="0" applyFont="1" applyBorder="1"/>
    <xf numFmtId="0" fontId="6" fillId="0" borderId="15" xfId="0" applyFont="1" applyBorder="1" applyAlignment="1">
      <alignment vertical="center" readingOrder="1"/>
    </xf>
    <xf numFmtId="3" fontId="6" fillId="0" borderId="15" xfId="0" applyNumberFormat="1" applyFont="1" applyBorder="1" applyAlignment="1">
      <alignment vertical="center" readingOrder="1"/>
    </xf>
    <xf numFmtId="0" fontId="19" fillId="0" borderId="0" xfId="0" applyFont="1" applyAlignment="1">
      <alignment vertical="center" readingOrder="1"/>
    </xf>
    <xf numFmtId="0" fontId="6" fillId="0" borderId="0" xfId="0" applyFont="1" applyAlignment="1">
      <alignment vertical="center" readingOrder="1"/>
    </xf>
    <xf numFmtId="0" fontId="15" fillId="3" borderId="25" xfId="0" applyFont="1" applyFill="1" applyBorder="1" applyAlignment="1">
      <alignment horizontal="center" vertical="center" wrapText="1"/>
    </xf>
    <xf numFmtId="3" fontId="15" fillId="3" borderId="30" xfId="0" applyNumberFormat="1" applyFont="1" applyFill="1" applyBorder="1" applyAlignment="1">
      <alignment horizontal="center" vertical="center" wrapText="1"/>
    </xf>
    <xf numFmtId="0" fontId="5" fillId="3" borderId="31" xfId="0" applyFont="1" applyFill="1" applyBorder="1" applyAlignment="1">
      <alignment horizontal="center" vertical="center" wrapText="1"/>
    </xf>
    <xf numFmtId="3" fontId="15" fillId="3" borderId="32" xfId="0" applyNumberFormat="1" applyFont="1" applyFill="1" applyBorder="1" applyAlignment="1">
      <alignment horizontal="center" vertical="center" wrapText="1"/>
    </xf>
    <xf numFmtId="0" fontId="5" fillId="0" borderId="0" xfId="0" applyFont="1" applyAlignment="1">
      <alignment horizontal="right"/>
    </xf>
    <xf numFmtId="3" fontId="5" fillId="0" borderId="33" xfId="0" applyNumberFormat="1" applyFont="1" applyBorder="1" applyAlignment="1">
      <alignment horizontal="right"/>
    </xf>
    <xf numFmtId="164" fontId="5" fillId="0" borderId="34" xfId="0" applyNumberFormat="1" applyFont="1" applyBorder="1" applyAlignment="1">
      <alignment horizontal="right"/>
    </xf>
    <xf numFmtId="0" fontId="22" fillId="0" borderId="35" xfId="4" applyNumberFormat="1" applyFont="1" applyBorder="1" applyAlignment="1" applyProtection="1">
      <alignment horizontal="center" vertical="center" wrapText="1"/>
      <protection hidden="1"/>
    </xf>
    <xf numFmtId="3" fontId="22" fillId="0" borderId="36" xfId="1" applyNumberFormat="1" applyFont="1" applyBorder="1" applyAlignment="1" applyProtection="1">
      <alignment vertical="center"/>
      <protection hidden="1"/>
    </xf>
    <xf numFmtId="164" fontId="22" fillId="0" borderId="37" xfId="4" applyNumberFormat="1" applyFont="1" applyBorder="1" applyAlignment="1" applyProtection="1">
      <alignment horizontal="right" vertical="center" wrapText="1"/>
      <protection hidden="1"/>
    </xf>
    <xf numFmtId="3" fontId="0" fillId="0" borderId="0" xfId="0" applyNumberFormat="1"/>
    <xf numFmtId="3" fontId="19" fillId="0" borderId="0" xfId="0" applyNumberFormat="1" applyFont="1" applyAlignment="1">
      <alignment vertical="center" readingOrder="1"/>
    </xf>
    <xf numFmtId="9" fontId="0" fillId="0" borderId="0" xfId="1" applyFont="1"/>
    <xf numFmtId="4" fontId="5" fillId="0" borderId="33" xfId="0" applyNumberFormat="1" applyFont="1" applyBorder="1" applyAlignment="1">
      <alignment horizontal="right"/>
    </xf>
    <xf numFmtId="164" fontId="11" fillId="0" borderId="24" xfId="1" applyNumberFormat="1" applyFont="1" applyBorder="1"/>
    <xf numFmtId="0" fontId="11" fillId="0" borderId="0" xfId="0" applyFont="1"/>
    <xf numFmtId="0" fontId="23" fillId="0" borderId="0" xfId="0" applyFont="1"/>
    <xf numFmtId="0" fontId="5" fillId="3" borderId="38" xfId="0" applyFont="1" applyFill="1" applyBorder="1" applyAlignment="1">
      <alignment horizontal="right" vertical="center" wrapText="1"/>
    </xf>
    <xf numFmtId="0" fontId="5" fillId="3" borderId="39" xfId="0" applyFont="1" applyFill="1" applyBorder="1" applyAlignment="1">
      <alignment horizontal="right" vertical="center"/>
    </xf>
    <xf numFmtId="0" fontId="5" fillId="3" borderId="16" xfId="0" applyFont="1" applyFill="1" applyBorder="1" applyAlignment="1">
      <alignment horizontal="right" vertical="center" wrapText="1"/>
    </xf>
    <xf numFmtId="0" fontId="22" fillId="2" borderId="0" xfId="0" applyFont="1" applyFill="1"/>
    <xf numFmtId="3" fontId="24" fillId="2" borderId="0" xfId="0" applyNumberFormat="1" applyFont="1" applyFill="1" applyAlignment="1">
      <alignment horizontal="right"/>
    </xf>
    <xf numFmtId="164" fontId="24" fillId="2" borderId="0" xfId="0" applyNumberFormat="1" applyFont="1" applyFill="1" applyAlignment="1">
      <alignment horizontal="right"/>
    </xf>
    <xf numFmtId="164" fontId="24" fillId="2" borderId="40" xfId="0" applyNumberFormat="1" applyFont="1" applyFill="1" applyBorder="1" applyAlignment="1">
      <alignment horizontal="right"/>
    </xf>
    <xf numFmtId="0" fontId="24" fillId="0" borderId="41" xfId="0" applyFont="1" applyBorder="1" applyAlignment="1">
      <alignment horizontal="left" indent="1"/>
    </xf>
    <xf numFmtId="3" fontId="24" fillId="0" borderId="41" xfId="0" applyNumberFormat="1" applyFont="1" applyBorder="1" applyAlignment="1">
      <alignment horizontal="right"/>
    </xf>
    <xf numFmtId="164" fontId="24" fillId="0" borderId="41" xfId="0" applyNumberFormat="1" applyFont="1" applyBorder="1" applyAlignment="1">
      <alignment horizontal="right"/>
    </xf>
    <xf numFmtId="0" fontId="24" fillId="0" borderId="0" xfId="0" applyFont="1" applyAlignment="1">
      <alignment horizontal="left" indent="1"/>
    </xf>
    <xf numFmtId="3" fontId="24" fillId="0" borderId="0" xfId="0" applyNumberFormat="1" applyFont="1" applyAlignment="1">
      <alignment horizontal="right"/>
    </xf>
    <xf numFmtId="164" fontId="24" fillId="0" borderId="0" xfId="0" applyNumberFormat="1" applyFont="1" applyAlignment="1">
      <alignment horizontal="right"/>
    </xf>
    <xf numFmtId="164" fontId="2" fillId="0" borderId="0" xfId="1" applyNumberFormat="1" applyFont="1"/>
    <xf numFmtId="0" fontId="6" fillId="0" borderId="3" xfId="0" applyFont="1" applyBorder="1" applyAlignment="1">
      <alignment horizontal="left" vertical="center" readingOrder="1"/>
    </xf>
    <xf numFmtId="0" fontId="6" fillId="0" borderId="3" xfId="0" applyFont="1" applyBorder="1" applyAlignment="1">
      <alignment vertical="center" wrapText="1" readingOrder="1"/>
    </xf>
    <xf numFmtId="0" fontId="0" fillId="3" borderId="6" xfId="0" applyFill="1" applyBorder="1"/>
    <xf numFmtId="0" fontId="0" fillId="0" borderId="0" xfId="0" applyAlignment="1">
      <alignment wrapText="1"/>
    </xf>
    <xf numFmtId="0" fontId="25" fillId="3" borderId="10" xfId="0" applyFont="1" applyFill="1" applyBorder="1" applyAlignment="1">
      <alignment horizontal="center" vertical="center" wrapText="1"/>
    </xf>
    <xf numFmtId="1" fontId="5" fillId="3" borderId="44" xfId="0" applyNumberFormat="1" applyFont="1" applyFill="1" applyBorder="1" applyAlignment="1">
      <alignment horizontal="right" vertical="center" wrapText="1"/>
    </xf>
    <xf numFmtId="1" fontId="5" fillId="3" borderId="45" xfId="0" applyNumberFormat="1" applyFont="1" applyFill="1" applyBorder="1" applyAlignment="1">
      <alignment horizontal="right" vertical="center" wrapText="1"/>
    </xf>
    <xf numFmtId="164" fontId="5" fillId="3" borderId="46" xfId="0" applyNumberFormat="1" applyFont="1" applyFill="1" applyBorder="1" applyAlignment="1">
      <alignment horizontal="right" vertical="center" wrapText="1"/>
    </xf>
    <xf numFmtId="3" fontId="5" fillId="3" borderId="47" xfId="0" applyNumberFormat="1" applyFont="1" applyFill="1" applyBorder="1" applyAlignment="1">
      <alignment horizontal="right" vertical="center" wrapText="1"/>
    </xf>
    <xf numFmtId="0" fontId="17" fillId="2" borderId="6" xfId="0" applyFont="1" applyFill="1" applyBorder="1"/>
    <xf numFmtId="3" fontId="17" fillId="2" borderId="7" xfId="0" applyNumberFormat="1" applyFont="1" applyFill="1" applyBorder="1" applyAlignment="1">
      <alignment horizontal="right"/>
    </xf>
    <xf numFmtId="164" fontId="17" fillId="2" borderId="7" xfId="0" applyNumberFormat="1" applyFont="1" applyFill="1" applyBorder="1" applyAlignment="1">
      <alignment horizontal="right"/>
    </xf>
    <xf numFmtId="0" fontId="17" fillId="2" borderId="8" xfId="0" applyFont="1" applyFill="1" applyBorder="1"/>
    <xf numFmtId="0" fontId="17" fillId="0" borderId="8" xfId="0" applyFont="1" applyBorder="1"/>
    <xf numFmtId="3" fontId="17" fillId="0" borderId="48" xfId="0" applyNumberFormat="1" applyFont="1" applyBorder="1" applyAlignment="1">
      <alignment horizontal="right"/>
    </xf>
    <xf numFmtId="164" fontId="17" fillId="0" borderId="49" xfId="0" applyNumberFormat="1" applyFont="1" applyBorder="1" applyAlignment="1">
      <alignment horizontal="right"/>
    </xf>
    <xf numFmtId="0" fontId="18" fillId="0" borderId="8" xfId="0" applyFont="1" applyBorder="1"/>
    <xf numFmtId="3" fontId="18" fillId="0" borderId="48" xfId="0" applyNumberFormat="1" applyFont="1" applyBorder="1" applyAlignment="1">
      <alignment horizontal="right"/>
    </xf>
    <xf numFmtId="164" fontId="18" fillId="0" borderId="49" xfId="0" applyNumberFormat="1" applyFont="1" applyBorder="1" applyAlignment="1">
      <alignment horizontal="right"/>
    </xf>
    <xf numFmtId="164" fontId="18" fillId="0" borderId="49" xfId="1" applyNumberFormat="1" applyFont="1" applyBorder="1" applyAlignment="1">
      <alignment horizontal="right"/>
    </xf>
    <xf numFmtId="0" fontId="2" fillId="0" borderId="8" xfId="0" applyFont="1" applyBorder="1"/>
    <xf numFmtId="0" fontId="5" fillId="0" borderId="8" xfId="0" applyFont="1" applyBorder="1"/>
    <xf numFmtId="3" fontId="5" fillId="0" borderId="48" xfId="0" applyNumberFormat="1" applyFont="1" applyBorder="1" applyAlignment="1">
      <alignment horizontal="right"/>
    </xf>
    <xf numFmtId="164" fontId="5" fillId="0" borderId="49" xfId="0" applyNumberFormat="1" applyFont="1" applyBorder="1" applyAlignment="1">
      <alignment horizontal="right"/>
    </xf>
    <xf numFmtId="164" fontId="5" fillId="0" borderId="49" xfId="1" applyNumberFormat="1" applyFont="1" applyBorder="1" applyAlignment="1">
      <alignment horizontal="right"/>
    </xf>
    <xf numFmtId="164" fontId="12" fillId="0" borderId="0" xfId="1" applyNumberFormat="1" applyFont="1"/>
    <xf numFmtId="0" fontId="2" fillId="0" borderId="10" xfId="0" applyFont="1" applyBorder="1"/>
    <xf numFmtId="0" fontId="5" fillId="0" borderId="10" xfId="0" applyFont="1" applyBorder="1"/>
    <xf numFmtId="3" fontId="5" fillId="0" borderId="50" xfId="0" applyNumberFormat="1" applyFont="1" applyBorder="1" applyAlignment="1">
      <alignment horizontal="right"/>
    </xf>
    <xf numFmtId="164" fontId="5" fillId="0" borderId="51" xfId="0" applyNumberFormat="1" applyFont="1" applyBorder="1" applyAlignment="1">
      <alignment horizontal="right"/>
    </xf>
    <xf numFmtId="164" fontId="5" fillId="0" borderId="51" xfId="1" applyNumberFormat="1" applyFont="1" applyBorder="1" applyAlignment="1">
      <alignment horizontal="right"/>
    </xf>
    <xf numFmtId="3" fontId="5" fillId="3" borderId="54" xfId="0" applyNumberFormat="1" applyFont="1" applyFill="1" applyBorder="1" applyAlignment="1">
      <alignment horizontal="right" vertical="center" wrapText="1"/>
    </xf>
    <xf numFmtId="164" fontId="5" fillId="3" borderId="55" xfId="0" applyNumberFormat="1" applyFont="1" applyFill="1" applyBorder="1" applyAlignment="1">
      <alignment horizontal="right" vertical="center" wrapText="1"/>
    </xf>
    <xf numFmtId="3" fontId="17" fillId="2" borderId="0" xfId="0" applyNumberFormat="1" applyFont="1" applyFill="1" applyAlignment="1">
      <alignment horizontal="right"/>
    </xf>
    <xf numFmtId="164" fontId="17" fillId="2" borderId="0" xfId="0" applyNumberFormat="1" applyFont="1" applyFill="1" applyAlignment="1">
      <alignment horizontal="right"/>
    </xf>
    <xf numFmtId="3" fontId="17" fillId="0" borderId="56" xfId="0" applyNumberFormat="1" applyFont="1" applyBorder="1" applyAlignment="1">
      <alignment horizontal="right"/>
    </xf>
    <xf numFmtId="164" fontId="17" fillId="0" borderId="57" xfId="0" applyNumberFormat="1" applyFont="1" applyBorder="1" applyAlignment="1">
      <alignment horizontal="right"/>
    </xf>
    <xf numFmtId="0" fontId="18" fillId="0" borderId="8" xfId="0" applyFont="1" applyBorder="1" applyAlignment="1">
      <alignment horizontal="right"/>
    </xf>
    <xf numFmtId="0" fontId="5" fillId="0" borderId="8" xfId="0" applyFont="1" applyBorder="1" applyAlignment="1">
      <alignment horizontal="right"/>
    </xf>
    <xf numFmtId="0" fontId="5" fillId="0" borderId="10" xfId="0" applyFont="1" applyBorder="1" applyAlignment="1">
      <alignment horizontal="right"/>
    </xf>
    <xf numFmtId="0" fontId="0" fillId="3" borderId="8" xfId="0" applyFill="1" applyBorder="1"/>
    <xf numFmtId="1" fontId="5" fillId="3" borderId="54" xfId="0" applyNumberFormat="1" applyFont="1" applyFill="1" applyBorder="1" applyAlignment="1">
      <alignment horizontal="right" vertical="center" wrapText="1"/>
    </xf>
    <xf numFmtId="0" fontId="25" fillId="3" borderId="8" xfId="0" applyFont="1" applyFill="1" applyBorder="1" applyAlignment="1">
      <alignment horizontal="center" vertical="center" wrapText="1"/>
    </xf>
    <xf numFmtId="2" fontId="5" fillId="0" borderId="33" xfId="0" applyNumberFormat="1" applyFont="1" applyBorder="1" applyAlignment="1">
      <alignment horizontal="right"/>
    </xf>
    <xf numFmtId="2" fontId="5" fillId="0" borderId="34" xfId="0" applyNumberFormat="1" applyFont="1" applyBorder="1" applyAlignment="1">
      <alignment horizontal="right"/>
    </xf>
    <xf numFmtId="2" fontId="22" fillId="0" borderId="36" xfId="1" applyNumberFormat="1" applyFont="1" applyBorder="1" applyAlignment="1" applyProtection="1">
      <alignment vertical="center"/>
      <protection hidden="1"/>
    </xf>
    <xf numFmtId="2" fontId="22" fillId="0" borderId="37" xfId="4" applyNumberFormat="1" applyFont="1" applyBorder="1" applyAlignment="1" applyProtection="1">
      <alignment horizontal="right" vertical="center" wrapText="1"/>
      <protection hidden="1"/>
    </xf>
    <xf numFmtId="2" fontId="6" fillId="0" borderId="15" xfId="0" applyNumberFormat="1" applyFont="1" applyBorder="1" applyAlignment="1">
      <alignment vertical="center" readingOrder="1"/>
    </xf>
    <xf numFmtId="2" fontId="0" fillId="0" borderId="0" xfId="0" applyNumberFormat="1"/>
    <xf numFmtId="2" fontId="11" fillId="0" borderId="24" xfId="0" applyNumberFormat="1" applyFont="1" applyBorder="1"/>
    <xf numFmtId="2" fontId="0" fillId="0" borderId="0" xfId="1" applyNumberFormat="1" applyFont="1"/>
    <xf numFmtId="0" fontId="26" fillId="0" borderId="0" xfId="0" applyFont="1"/>
    <xf numFmtId="164" fontId="5" fillId="0" borderId="33" xfId="1" applyNumberFormat="1" applyFont="1" applyBorder="1" applyAlignment="1">
      <alignment horizontal="right"/>
    </xf>
    <xf numFmtId="10" fontId="0" fillId="0" borderId="0" xfId="1" applyNumberFormat="1" applyFont="1"/>
    <xf numFmtId="164" fontId="22" fillId="0" borderId="36" xfId="1" applyNumberFormat="1" applyFont="1" applyBorder="1" applyAlignment="1" applyProtection="1">
      <alignment vertical="center"/>
      <protection hidden="1"/>
    </xf>
    <xf numFmtId="164" fontId="11" fillId="0" borderId="24" xfId="0" applyNumberFormat="1" applyFont="1" applyBorder="1"/>
    <xf numFmtId="164" fontId="0" fillId="0" borderId="0" xfId="0" applyNumberFormat="1"/>
    <xf numFmtId="164" fontId="27" fillId="0" borderId="36" xfId="1" applyNumberFormat="1" applyFont="1" applyBorder="1" applyAlignment="1" applyProtection="1">
      <alignment vertical="center"/>
      <protection hidden="1"/>
    </xf>
    <xf numFmtId="164" fontId="27" fillId="0" borderId="37" xfId="4" applyNumberFormat="1" applyFont="1" applyBorder="1" applyAlignment="1" applyProtection="1">
      <alignment horizontal="right" vertical="center" wrapText="1"/>
      <protection hidden="1"/>
    </xf>
    <xf numFmtId="164" fontId="27" fillId="0" borderId="36" xfId="1" applyNumberFormat="1" applyFont="1" applyBorder="1" applyAlignment="1" applyProtection="1">
      <alignment horizontal="right" vertical="center"/>
      <protection hidden="1"/>
    </xf>
    <xf numFmtId="164" fontId="22" fillId="0" borderId="36" xfId="1" applyNumberFormat="1" applyFont="1" applyBorder="1" applyAlignment="1" applyProtection="1">
      <alignment horizontal="right" vertical="center"/>
      <protection hidden="1"/>
    </xf>
    <xf numFmtId="165" fontId="0" fillId="0" borderId="0" xfId="0" applyNumberFormat="1"/>
    <xf numFmtId="17" fontId="5" fillId="3" borderId="58" xfId="0" applyNumberFormat="1" applyFont="1" applyFill="1" applyBorder="1" applyAlignment="1">
      <alignment horizontal="right" vertical="center" wrapText="1"/>
    </xf>
    <xf numFmtId="0" fontId="5" fillId="3" borderId="59" xfId="0" applyFont="1" applyFill="1" applyBorder="1" applyAlignment="1">
      <alignment horizontal="right" vertical="center" wrapText="1"/>
    </xf>
    <xf numFmtId="17" fontId="5" fillId="3" borderId="60" xfId="0" applyNumberFormat="1" applyFont="1" applyFill="1" applyBorder="1" applyAlignment="1">
      <alignment horizontal="right" vertical="center" wrapText="1"/>
    </xf>
    <xf numFmtId="164" fontId="5" fillId="3" borderId="0" xfId="0" applyNumberFormat="1" applyFont="1" applyFill="1" applyAlignment="1">
      <alignment horizontal="right" vertical="center"/>
    </xf>
    <xf numFmtId="0" fontId="17" fillId="2" borderId="7" xfId="0" applyFont="1" applyFill="1" applyBorder="1"/>
    <xf numFmtId="165" fontId="24" fillId="2" borderId="61" xfId="1" applyNumberFormat="1" applyFont="1" applyFill="1" applyBorder="1" applyAlignment="1">
      <alignment horizontal="right"/>
    </xf>
    <xf numFmtId="165" fontId="24" fillId="2" borderId="0" xfId="0" applyNumberFormat="1" applyFont="1" applyFill="1" applyAlignment="1">
      <alignment horizontal="right"/>
    </xf>
    <xf numFmtId="165" fontId="24" fillId="2" borderId="0" xfId="1" applyNumberFormat="1" applyFont="1" applyFill="1" applyBorder="1" applyAlignment="1">
      <alignment horizontal="right"/>
    </xf>
    <xf numFmtId="165" fontId="24" fillId="2" borderId="40" xfId="1" applyNumberFormat="1" applyFont="1" applyFill="1" applyBorder="1" applyAlignment="1">
      <alignment horizontal="right"/>
    </xf>
    <xf numFmtId="164" fontId="24" fillId="2" borderId="0" xfId="1" applyNumberFormat="1" applyFont="1" applyFill="1" applyBorder="1" applyAlignment="1">
      <alignment horizontal="right"/>
    </xf>
    <xf numFmtId="3" fontId="24" fillId="2" borderId="61" xfId="0" applyNumberFormat="1" applyFont="1" applyFill="1" applyBorder="1" applyAlignment="1">
      <alignment horizontal="right"/>
    </xf>
    <xf numFmtId="166" fontId="24" fillId="2" borderId="61" xfId="1" applyNumberFormat="1" applyFont="1" applyFill="1" applyBorder="1" applyAlignment="1">
      <alignment horizontal="right"/>
    </xf>
    <xf numFmtId="166" fontId="24" fillId="2" borderId="40" xfId="1" applyNumberFormat="1" applyFont="1" applyFill="1" applyBorder="1" applyAlignment="1">
      <alignment horizontal="right"/>
    </xf>
    <xf numFmtId="165" fontId="5" fillId="0" borderId="13" xfId="1" applyNumberFormat="1" applyFont="1" applyBorder="1" applyAlignment="1">
      <alignment horizontal="right"/>
    </xf>
    <xf numFmtId="165" fontId="5" fillId="0" borderId="0" xfId="1" applyNumberFormat="1" applyFont="1" applyBorder="1" applyAlignment="1">
      <alignment horizontal="right"/>
    </xf>
    <xf numFmtId="3" fontId="5" fillId="0" borderId="13" xfId="0" applyNumberFormat="1" applyFont="1" applyBorder="1" applyAlignment="1">
      <alignment horizontal="right"/>
    </xf>
    <xf numFmtId="166" fontId="5" fillId="0" borderId="13" xfId="1" applyNumberFormat="1" applyFont="1" applyBorder="1" applyAlignment="1">
      <alignment horizontal="right"/>
    </xf>
    <xf numFmtId="166" fontId="5" fillId="0" borderId="0" xfId="1" applyNumberFormat="1" applyFont="1" applyBorder="1" applyAlignment="1">
      <alignment horizontal="right"/>
    </xf>
    <xf numFmtId="164" fontId="5" fillId="0" borderId="0" xfId="0" applyNumberFormat="1" applyFont="1"/>
    <xf numFmtId="0" fontId="5" fillId="0" borderId="0" xfId="0" applyFont="1" applyAlignment="1">
      <alignment wrapText="1"/>
    </xf>
    <xf numFmtId="0" fontId="0" fillId="0" borderId="0" xfId="0" applyAlignment="1">
      <alignment horizontal="center"/>
    </xf>
    <xf numFmtId="0" fontId="9" fillId="4" borderId="11" xfId="0" applyFont="1" applyFill="1" applyBorder="1"/>
    <xf numFmtId="3" fontId="22" fillId="4" borderId="11" xfId="0" applyNumberFormat="1" applyFont="1" applyFill="1" applyBorder="1" applyAlignment="1">
      <alignment horizontal="right" vertical="center" wrapText="1"/>
    </xf>
    <xf numFmtId="164" fontId="22" fillId="4" borderId="11" xfId="1" applyNumberFormat="1" applyFont="1" applyFill="1" applyBorder="1" applyAlignment="1">
      <alignment horizontal="right" vertical="center" wrapText="1"/>
    </xf>
    <xf numFmtId="0" fontId="24" fillId="0" borderId="11" xfId="0" applyFont="1" applyBorder="1"/>
    <xf numFmtId="3" fontId="18" fillId="0" borderId="11" xfId="0" applyNumberFormat="1" applyFont="1" applyBorder="1" applyAlignment="1">
      <alignment horizontal="right" vertical="center" wrapText="1"/>
    </xf>
    <xf numFmtId="164" fontId="18" fillId="0" borderId="11" xfId="1" applyNumberFormat="1" applyFont="1" applyBorder="1" applyAlignment="1">
      <alignment horizontal="right" vertical="center" wrapText="1"/>
    </xf>
    <xf numFmtId="0" fontId="15" fillId="0" borderId="7" xfId="0" applyFont="1" applyBorder="1"/>
    <xf numFmtId="3" fontId="15" fillId="0" borderId="0" xfId="0" applyNumberFormat="1" applyFont="1"/>
    <xf numFmtId="164" fontId="15" fillId="4" borderId="7" xfId="1" applyNumberFormat="1" applyFont="1" applyFill="1" applyBorder="1"/>
    <xf numFmtId="3" fontId="15" fillId="4" borderId="7" xfId="0" applyNumberFormat="1" applyFont="1" applyFill="1" applyBorder="1"/>
    <xf numFmtId="164" fontId="15" fillId="0" borderId="7" xfId="1" applyNumberFormat="1" applyFont="1" applyBorder="1"/>
    <xf numFmtId="0" fontId="5" fillId="0" borderId="0" xfId="0" applyFont="1" applyAlignment="1">
      <alignment horizontal="left" indent="1"/>
    </xf>
    <xf numFmtId="0" fontId="5" fillId="0" borderId="62" xfId="0" applyFont="1" applyBorder="1"/>
    <xf numFmtId="3" fontId="22" fillId="4" borderId="0" xfId="0" applyNumberFormat="1" applyFont="1" applyFill="1" applyAlignment="1">
      <alignment horizontal="right" vertical="center" wrapText="1"/>
    </xf>
    <xf numFmtId="3" fontId="18" fillId="0" borderId="0" xfId="0" applyNumberFormat="1" applyFont="1" applyAlignment="1">
      <alignment horizontal="right" vertical="center" wrapText="1"/>
    </xf>
    <xf numFmtId="0" fontId="15" fillId="0" borderId="0" xfId="0" applyFont="1"/>
    <xf numFmtId="3" fontId="15" fillId="4" borderId="0" xfId="0" applyNumberFormat="1" applyFont="1" applyFill="1"/>
    <xf numFmtId="3" fontId="5" fillId="3" borderId="6" xfId="0" applyNumberFormat="1" applyFont="1" applyFill="1" applyBorder="1" applyAlignment="1">
      <alignment horizontal="right" vertical="center" wrapText="1"/>
    </xf>
    <xf numFmtId="164" fontId="5" fillId="3" borderId="6" xfId="0" applyNumberFormat="1" applyFont="1" applyFill="1" applyBorder="1" applyAlignment="1">
      <alignment horizontal="right" vertical="center" wrapText="1"/>
    </xf>
    <xf numFmtId="3" fontId="22" fillId="4" borderId="63" xfId="0" applyNumberFormat="1" applyFont="1" applyFill="1" applyBorder="1" applyAlignment="1">
      <alignment horizontal="right" vertical="center" wrapText="1"/>
    </xf>
    <xf numFmtId="164" fontId="22" fillId="4" borderId="63" xfId="1" applyNumberFormat="1" applyFont="1" applyFill="1" applyBorder="1" applyAlignment="1">
      <alignment horizontal="right" vertical="center" wrapText="1"/>
    </xf>
    <xf numFmtId="0" fontId="28" fillId="0" borderId="0" xfId="0" applyFont="1" applyAlignment="1">
      <alignment horizontal="left" indent="1"/>
    </xf>
    <xf numFmtId="3" fontId="28" fillId="0" borderId="8" xfId="0" applyNumberFormat="1" applyFont="1" applyBorder="1"/>
    <xf numFmtId="164" fontId="28" fillId="0" borderId="8" xfId="1" applyNumberFormat="1" applyFont="1" applyBorder="1"/>
    <xf numFmtId="164" fontId="28" fillId="4" borderId="8" xfId="1" applyNumberFormat="1" applyFont="1" applyFill="1" applyBorder="1"/>
    <xf numFmtId="3" fontId="28" fillId="4" borderId="8" xfId="0" applyNumberFormat="1" applyFont="1" applyFill="1" applyBorder="1"/>
    <xf numFmtId="164" fontId="28" fillId="4" borderId="8" xfId="1" applyNumberFormat="1" applyFont="1" applyFill="1" applyBorder="1" applyAlignment="1">
      <alignment horizontal="right"/>
    </xf>
    <xf numFmtId="3" fontId="28" fillId="4" borderId="8" xfId="0" applyNumberFormat="1" applyFont="1" applyFill="1" applyBorder="1" applyAlignment="1">
      <alignment horizontal="right"/>
    </xf>
    <xf numFmtId="3" fontId="5" fillId="0" borderId="8" xfId="0" applyNumberFormat="1" applyFont="1" applyBorder="1"/>
    <xf numFmtId="164" fontId="15" fillId="0" borderId="8" xfId="1" applyNumberFormat="1" applyFont="1" applyBorder="1"/>
    <xf numFmtId="164" fontId="15" fillId="4" borderId="8" xfId="1" applyNumberFormat="1" applyFont="1" applyFill="1" applyBorder="1" applyAlignment="1">
      <alignment horizontal="right"/>
    </xf>
    <xf numFmtId="3" fontId="15" fillId="4" borderId="8" xfId="0" applyNumberFormat="1" applyFont="1" applyFill="1" applyBorder="1"/>
    <xf numFmtId="164" fontId="5" fillId="4" borderId="8" xfId="1" applyNumberFormat="1" applyFont="1" applyFill="1" applyBorder="1" applyAlignment="1">
      <alignment horizontal="right"/>
    </xf>
    <xf numFmtId="3" fontId="5" fillId="4" borderId="8" xfId="0" applyNumberFormat="1" applyFont="1" applyFill="1" applyBorder="1" applyAlignment="1">
      <alignment horizontal="right"/>
    </xf>
    <xf numFmtId="164" fontId="5" fillId="0" borderId="8" xfId="1" applyNumberFormat="1" applyFont="1" applyBorder="1"/>
    <xf numFmtId="3" fontId="5" fillId="4" borderId="8" xfId="0" applyNumberFormat="1" applyFont="1" applyFill="1" applyBorder="1"/>
    <xf numFmtId="164" fontId="5" fillId="4" borderId="8" xfId="1" applyNumberFormat="1" applyFont="1" applyFill="1" applyBorder="1"/>
    <xf numFmtId="3" fontId="28" fillId="0" borderId="8" xfId="0" applyNumberFormat="1" applyFont="1" applyBorder="1" applyAlignment="1">
      <alignment horizontal="right"/>
    </xf>
    <xf numFmtId="164" fontId="28" fillId="0" borderId="8" xfId="1" applyNumberFormat="1" applyFont="1" applyBorder="1" applyAlignment="1">
      <alignment horizontal="right"/>
    </xf>
    <xf numFmtId="0" fontId="5" fillId="0" borderId="62" xfId="0" applyFont="1" applyBorder="1" applyAlignment="1">
      <alignment horizontal="right"/>
    </xf>
    <xf numFmtId="164" fontId="15" fillId="4" borderId="8" xfId="1" applyNumberFormat="1" applyFont="1" applyFill="1" applyBorder="1"/>
    <xf numFmtId="3" fontId="5" fillId="4" borderId="8" xfId="1" applyNumberFormat="1" applyFont="1" applyFill="1" applyBorder="1"/>
    <xf numFmtId="3" fontId="15" fillId="4" borderId="8" xfId="1" applyNumberFormat="1" applyFont="1" applyFill="1" applyBorder="1"/>
    <xf numFmtId="0" fontId="5" fillId="0" borderId="11" xfId="0" applyFont="1" applyBorder="1" applyAlignment="1">
      <alignment horizontal="center"/>
    </xf>
    <xf numFmtId="0" fontId="11" fillId="0" borderId="0" xfId="0" applyFont="1" applyAlignment="1">
      <alignment horizontal="left" wrapText="1"/>
    </xf>
    <xf numFmtId="0" fontId="11" fillId="0" borderId="0" xfId="0" applyFont="1" applyAlignment="1">
      <alignment horizontal="left"/>
    </xf>
    <xf numFmtId="0" fontId="6" fillId="0" borderId="3" xfId="0" applyFont="1" applyBorder="1" applyAlignment="1">
      <alignment horizontal="left" vertical="center" wrapText="1" readingOrder="1"/>
    </xf>
    <xf numFmtId="0" fontId="10" fillId="4" borderId="6" xfId="0" applyFont="1" applyFill="1" applyBorder="1" applyAlignment="1">
      <alignment horizontal="center" vertical="center" textRotation="90"/>
    </xf>
    <xf numFmtId="0" fontId="10" fillId="4" borderId="8" xfId="0" applyFont="1" applyFill="1" applyBorder="1" applyAlignment="1">
      <alignment horizontal="center" vertical="center" textRotation="90"/>
    </xf>
    <xf numFmtId="0" fontId="10" fillId="4" borderId="10" xfId="0" applyFont="1" applyFill="1" applyBorder="1" applyAlignment="1">
      <alignment horizontal="center" vertical="center" textRotation="90"/>
    </xf>
    <xf numFmtId="0" fontId="5" fillId="4" borderId="7" xfId="0" applyFont="1" applyFill="1" applyBorder="1" applyAlignment="1">
      <alignment horizontal="left" vertical="center"/>
    </xf>
    <xf numFmtId="0" fontId="5" fillId="4" borderId="0" xfId="0" applyFont="1" applyFill="1" applyAlignment="1">
      <alignment horizontal="left" vertical="center"/>
    </xf>
    <xf numFmtId="0" fontId="5" fillId="4" borderId="9" xfId="0" applyFont="1" applyFill="1" applyBorder="1" applyAlignment="1">
      <alignment horizontal="left" vertical="center"/>
    </xf>
    <xf numFmtId="0" fontId="5" fillId="0" borderId="7" xfId="0" applyFont="1" applyBorder="1" applyAlignment="1">
      <alignment horizontal="left" vertical="center"/>
    </xf>
    <xf numFmtId="0" fontId="5" fillId="0" borderId="0" xfId="0" applyFont="1" applyAlignment="1">
      <alignment horizontal="left" vertical="center"/>
    </xf>
    <xf numFmtId="0" fontId="5" fillId="0" borderId="9" xfId="0" applyFont="1" applyBorder="1" applyAlignment="1">
      <alignment horizontal="left" vertical="center"/>
    </xf>
    <xf numFmtId="0" fontId="5" fillId="4" borderId="7" xfId="0" applyFont="1" applyFill="1" applyBorder="1" applyAlignment="1">
      <alignment horizontal="left" vertical="center" wrapText="1"/>
    </xf>
    <xf numFmtId="0" fontId="5" fillId="4" borderId="0" xfId="0" applyFont="1" applyFill="1" applyAlignment="1">
      <alignment horizontal="left" vertical="center" wrapText="1"/>
    </xf>
    <xf numFmtId="0" fontId="5" fillId="4" borderId="9" xfId="0" applyFont="1" applyFill="1" applyBorder="1" applyAlignment="1">
      <alignment horizontal="left" vertical="center" wrapText="1"/>
    </xf>
    <xf numFmtId="0" fontId="5" fillId="0" borderId="7" xfId="0" applyFont="1" applyBorder="1" applyAlignment="1">
      <alignment horizontal="left" vertical="center" wrapText="1"/>
    </xf>
    <xf numFmtId="0" fontId="5" fillId="0" borderId="0" xfId="0" applyFont="1" applyAlignment="1">
      <alignment horizontal="left" vertical="center" wrapText="1"/>
    </xf>
    <xf numFmtId="0" fontId="5" fillId="0" borderId="9" xfId="0" applyFont="1" applyBorder="1" applyAlignment="1">
      <alignment horizontal="left" vertical="center" wrapText="1"/>
    </xf>
    <xf numFmtId="0" fontId="12" fillId="0" borderId="0" xfId="0" applyFont="1" applyAlignment="1">
      <alignment horizontal="left" wrapText="1"/>
    </xf>
    <xf numFmtId="0" fontId="5" fillId="0" borderId="12" xfId="0" applyFont="1" applyBorder="1" applyAlignment="1">
      <alignment horizontal="center" vertical="center"/>
    </xf>
    <xf numFmtId="0" fontId="5" fillId="0" borderId="13" xfId="0" applyFont="1" applyBorder="1" applyAlignment="1">
      <alignment horizontal="center" vertical="center"/>
    </xf>
    <xf numFmtId="0" fontId="5" fillId="0" borderId="14" xfId="0" applyFont="1" applyBorder="1" applyAlignment="1">
      <alignment horizontal="center" vertical="center"/>
    </xf>
    <xf numFmtId="0" fontId="5" fillId="3" borderId="16" xfId="0" applyFont="1" applyFill="1" applyBorder="1" applyAlignment="1">
      <alignment horizontal="center" vertical="center" wrapText="1"/>
    </xf>
    <xf numFmtId="17" fontId="5" fillId="3" borderId="0" xfId="0" applyNumberFormat="1" applyFont="1" applyFill="1" applyAlignment="1">
      <alignment horizontal="center" vertical="center" wrapText="1"/>
    </xf>
    <xf numFmtId="3" fontId="20" fillId="3" borderId="25" xfId="0" applyNumberFormat="1" applyFont="1" applyFill="1" applyBorder="1" applyAlignment="1">
      <alignment horizontal="center" vertical="center" readingOrder="1"/>
    </xf>
    <xf numFmtId="3" fontId="20" fillId="3" borderId="26" xfId="0" applyNumberFormat="1" applyFont="1" applyFill="1" applyBorder="1" applyAlignment="1">
      <alignment horizontal="center" vertical="center" readingOrder="1"/>
    </xf>
    <xf numFmtId="3" fontId="20" fillId="3" borderId="27" xfId="0" applyNumberFormat="1" applyFont="1" applyFill="1" applyBorder="1" applyAlignment="1">
      <alignment horizontal="center" vertical="center" readingOrder="1"/>
    </xf>
    <xf numFmtId="0" fontId="15" fillId="3" borderId="25" xfId="0" applyFont="1" applyFill="1" applyBorder="1" applyAlignment="1">
      <alignment horizontal="center" vertical="center" wrapText="1"/>
    </xf>
    <xf numFmtId="0" fontId="15" fillId="3" borderId="28" xfId="0" applyFont="1" applyFill="1" applyBorder="1" applyAlignment="1">
      <alignment horizontal="center" vertical="center" wrapText="1"/>
    </xf>
    <xf numFmtId="0" fontId="15" fillId="3" borderId="29" xfId="0" applyFont="1" applyFill="1" applyBorder="1" applyAlignment="1">
      <alignment horizontal="center" vertical="center" wrapText="1"/>
    </xf>
    <xf numFmtId="0" fontId="15" fillId="3" borderId="26" xfId="0" applyFont="1" applyFill="1" applyBorder="1" applyAlignment="1">
      <alignment horizontal="center" vertical="center" wrapText="1"/>
    </xf>
    <xf numFmtId="0" fontId="15" fillId="3" borderId="27" xfId="0" applyFont="1" applyFill="1" applyBorder="1" applyAlignment="1">
      <alignment horizontal="center" vertical="center" wrapText="1"/>
    </xf>
    <xf numFmtId="0" fontId="8" fillId="3" borderId="42" xfId="0" applyFont="1" applyFill="1" applyBorder="1" applyAlignment="1">
      <alignment horizontal="center"/>
    </xf>
    <xf numFmtId="0" fontId="8" fillId="3" borderId="43" xfId="0" applyFont="1" applyFill="1" applyBorder="1" applyAlignment="1">
      <alignment horizontal="center"/>
    </xf>
    <xf numFmtId="0" fontId="8" fillId="3" borderId="52" xfId="0" applyFont="1" applyFill="1" applyBorder="1" applyAlignment="1">
      <alignment horizontal="center"/>
    </xf>
    <xf numFmtId="0" fontId="8" fillId="3" borderId="53" xfId="0" applyFont="1" applyFill="1" applyBorder="1" applyAlignment="1">
      <alignment horizontal="center"/>
    </xf>
    <xf numFmtId="2" fontId="20" fillId="3" borderId="25" xfId="0" applyNumberFormat="1" applyFont="1" applyFill="1" applyBorder="1" applyAlignment="1">
      <alignment horizontal="center" vertical="center" readingOrder="1"/>
    </xf>
    <xf numFmtId="2" fontId="20" fillId="3" borderId="26" xfId="0" applyNumberFormat="1" applyFont="1" applyFill="1" applyBorder="1" applyAlignment="1">
      <alignment horizontal="center" vertical="center" readingOrder="1"/>
    </xf>
    <xf numFmtId="2" fontId="20" fillId="3" borderId="27" xfId="0" applyNumberFormat="1" applyFont="1" applyFill="1" applyBorder="1" applyAlignment="1">
      <alignment horizontal="center" vertical="center" readingOrder="1"/>
    </xf>
    <xf numFmtId="0" fontId="0" fillId="0" borderId="0" xfId="0" applyAlignment="1">
      <alignment horizontal="center" wrapText="1"/>
    </xf>
    <xf numFmtId="0" fontId="11" fillId="0" borderId="24" xfId="0" applyFont="1" applyBorder="1" applyAlignment="1">
      <alignment horizontal="left"/>
    </xf>
    <xf numFmtId="0" fontId="11" fillId="0" borderId="0" xfId="0" applyFont="1" applyAlignment="1">
      <alignment horizontal="left" vertical="top" wrapText="1"/>
    </xf>
    <xf numFmtId="0" fontId="16" fillId="0" borderId="0" xfId="0" applyFont="1" applyAlignment="1">
      <alignment horizontal="left" wrapText="1"/>
    </xf>
    <xf numFmtId="0" fontId="11" fillId="0" borderId="64" xfId="0" applyFont="1" applyBorder="1" applyAlignment="1">
      <alignment horizontal="left" wrapText="1"/>
    </xf>
  </cellXfs>
  <cellStyles count="5">
    <cellStyle name="Hipervínculo" xfId="2" builtinId="8"/>
    <cellStyle name="Normal" xfId="0" builtinId="0"/>
    <cellStyle name="Normal 2 2" xfId="4" xr:uid="{1BEC1CFC-4148-44C3-80F0-01936C1012AE}"/>
    <cellStyle name="Normal 2 6" xfId="3" xr:uid="{C4744D39-7B41-42B4-938C-4EB20DDA04BA}"/>
    <cellStyle name="Porcentaje" xfId="1" builtinId="5"/>
  </cellStyles>
  <dxfs count="0"/>
  <tableStyles count="1" defaultTableStyle="TableStyleMedium2" defaultPivotStyle="PivotStyleLight16">
    <tableStyle name="Invisible" pivot="0" table="0" count="0" xr9:uid="{A058ABBB-2C55-4B6A-ACD0-79A654431D65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theme" Target="theme/theme1.xml"/><Relationship Id="rId50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Relationship Id="rId4" Type="http://schemas.openxmlformats.org/officeDocument/2006/relationships/chartUserShapes" Target="../drawings/drawing9.xml"/></Relationships>
</file>

<file path=xl/charts/_rels/chart1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.xml"/><Relationship Id="rId2" Type="http://schemas.microsoft.com/office/2011/relationships/chartColorStyle" Target="colors10.xml"/><Relationship Id="rId1" Type="http://schemas.microsoft.com/office/2011/relationships/chartStyle" Target="style10.xml"/><Relationship Id="rId4" Type="http://schemas.openxmlformats.org/officeDocument/2006/relationships/chartUserShapes" Target="../drawings/drawing18.xml"/></Relationships>
</file>

<file path=xl/charts/_rels/chart1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.xml"/><Relationship Id="rId2" Type="http://schemas.microsoft.com/office/2011/relationships/chartColorStyle" Target="colors11.xml"/><Relationship Id="rId1" Type="http://schemas.microsoft.com/office/2011/relationships/chartStyle" Target="style11.xml"/><Relationship Id="rId4" Type="http://schemas.openxmlformats.org/officeDocument/2006/relationships/chartUserShapes" Target="../drawings/drawing19.xml"/></Relationships>
</file>

<file path=xl/charts/_rels/chart1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2.xml"/><Relationship Id="rId2" Type="http://schemas.microsoft.com/office/2011/relationships/chartColorStyle" Target="colors12.xml"/><Relationship Id="rId1" Type="http://schemas.microsoft.com/office/2011/relationships/chartStyle" Target="style12.xml"/><Relationship Id="rId4" Type="http://schemas.openxmlformats.org/officeDocument/2006/relationships/chartUserShapes" Target="../drawings/drawing20.xml"/></Relationships>
</file>

<file path=xl/charts/_rels/chart1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3.xml"/><Relationship Id="rId2" Type="http://schemas.microsoft.com/office/2011/relationships/chartColorStyle" Target="colors13.xml"/><Relationship Id="rId1" Type="http://schemas.microsoft.com/office/2011/relationships/chartStyle" Target="style13.xml"/><Relationship Id="rId4" Type="http://schemas.openxmlformats.org/officeDocument/2006/relationships/chartUserShapes" Target="../drawings/drawing21.xml"/></Relationships>
</file>

<file path=xl/charts/_rels/chart1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4.xml"/><Relationship Id="rId2" Type="http://schemas.microsoft.com/office/2011/relationships/chartColorStyle" Target="colors14.xml"/><Relationship Id="rId1" Type="http://schemas.microsoft.com/office/2011/relationships/chartStyle" Target="style14.xml"/><Relationship Id="rId4" Type="http://schemas.openxmlformats.org/officeDocument/2006/relationships/chartUserShapes" Target="../drawings/drawing24.xml"/></Relationships>
</file>

<file path=xl/charts/_rels/chart1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5.xml"/><Relationship Id="rId2" Type="http://schemas.microsoft.com/office/2011/relationships/chartColorStyle" Target="colors15.xml"/><Relationship Id="rId1" Type="http://schemas.microsoft.com/office/2011/relationships/chartStyle" Target="style15.xml"/><Relationship Id="rId4" Type="http://schemas.openxmlformats.org/officeDocument/2006/relationships/chartUserShapes" Target="../drawings/drawing25.xml"/></Relationships>
</file>

<file path=xl/charts/_rels/chart1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6.xml"/><Relationship Id="rId2" Type="http://schemas.microsoft.com/office/2011/relationships/chartColorStyle" Target="colors16.xml"/><Relationship Id="rId1" Type="http://schemas.microsoft.com/office/2011/relationships/chartStyle" Target="style16.xml"/><Relationship Id="rId4" Type="http://schemas.openxmlformats.org/officeDocument/2006/relationships/chartUserShapes" Target="../drawings/drawing26.xml"/></Relationships>
</file>

<file path=xl/charts/_rels/chart1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7.xml"/><Relationship Id="rId2" Type="http://schemas.microsoft.com/office/2011/relationships/chartColorStyle" Target="colors17.xml"/><Relationship Id="rId1" Type="http://schemas.microsoft.com/office/2011/relationships/chartStyle" Target="style17.xml"/><Relationship Id="rId4" Type="http://schemas.openxmlformats.org/officeDocument/2006/relationships/chartUserShapes" Target="../drawings/drawing27.xml"/></Relationships>
</file>

<file path=xl/charts/_rels/chart1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8.xml"/><Relationship Id="rId2" Type="http://schemas.microsoft.com/office/2011/relationships/chartColorStyle" Target="colors18.xml"/><Relationship Id="rId1" Type="http://schemas.microsoft.com/office/2011/relationships/chartStyle" Target="style18.xml"/><Relationship Id="rId4" Type="http://schemas.openxmlformats.org/officeDocument/2006/relationships/chartUserShapes" Target="../drawings/drawing28.xml"/></Relationships>
</file>

<file path=xl/charts/_rels/chart1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9.xml"/><Relationship Id="rId2" Type="http://schemas.microsoft.com/office/2011/relationships/chartColorStyle" Target="colors19.xml"/><Relationship Id="rId1" Type="http://schemas.microsoft.com/office/2011/relationships/chartStyle" Target="style19.xml"/><Relationship Id="rId4" Type="http://schemas.openxmlformats.org/officeDocument/2006/relationships/chartUserShapes" Target="../drawings/drawing30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2.xml"/><Relationship Id="rId1" Type="http://schemas.microsoft.com/office/2011/relationships/chartStyle" Target="style2.xml"/><Relationship Id="rId4" Type="http://schemas.openxmlformats.org/officeDocument/2006/relationships/chartUserShapes" Target="../drawings/drawing10.xml"/></Relationships>
</file>

<file path=xl/charts/_rels/chart2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0.xml"/><Relationship Id="rId2" Type="http://schemas.microsoft.com/office/2011/relationships/chartColorStyle" Target="colors20.xml"/><Relationship Id="rId1" Type="http://schemas.microsoft.com/office/2011/relationships/chartStyle" Target="style20.xml"/><Relationship Id="rId4" Type="http://schemas.openxmlformats.org/officeDocument/2006/relationships/chartUserShapes" Target="../drawings/drawing31.xml"/></Relationships>
</file>

<file path=xl/charts/_rels/chart2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1.xml"/><Relationship Id="rId2" Type="http://schemas.microsoft.com/office/2011/relationships/chartColorStyle" Target="colors21.xml"/><Relationship Id="rId1" Type="http://schemas.microsoft.com/office/2011/relationships/chartStyle" Target="style21.xml"/><Relationship Id="rId4" Type="http://schemas.openxmlformats.org/officeDocument/2006/relationships/chartUserShapes" Target="../drawings/drawing32.xml"/></Relationships>
</file>

<file path=xl/charts/_rels/chart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5.xml"/><Relationship Id="rId1" Type="http://schemas.openxmlformats.org/officeDocument/2006/relationships/themeOverride" Target="../theme/themeOverride22.xml"/></Relationships>
</file>

<file path=xl/charts/_rels/chart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7.xml"/><Relationship Id="rId1" Type="http://schemas.openxmlformats.org/officeDocument/2006/relationships/themeOverride" Target="../theme/themeOverride23.xml"/></Relationships>
</file>

<file path=xl/charts/_rels/chart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9.xml"/><Relationship Id="rId1" Type="http://schemas.openxmlformats.org/officeDocument/2006/relationships/themeOverride" Target="../theme/themeOverride24.xml"/></Relationships>
</file>

<file path=xl/charts/_rels/chart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1.xml"/><Relationship Id="rId1" Type="http://schemas.openxmlformats.org/officeDocument/2006/relationships/themeOverride" Target="../theme/themeOverride25.xml"/></Relationships>
</file>

<file path=xl/charts/_rels/chart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7.xml"/><Relationship Id="rId1" Type="http://schemas.openxmlformats.org/officeDocument/2006/relationships/themeOverride" Target="../theme/themeOverride26.xml"/></Relationships>
</file>

<file path=xl/charts/_rels/chart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9.xml"/><Relationship Id="rId1" Type="http://schemas.openxmlformats.org/officeDocument/2006/relationships/themeOverride" Target="../theme/themeOverride27.xml"/></Relationships>
</file>

<file path=xl/charts/_rels/chart2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8.xml"/><Relationship Id="rId2" Type="http://schemas.microsoft.com/office/2011/relationships/chartColorStyle" Target="colors22.xml"/><Relationship Id="rId1" Type="http://schemas.microsoft.com/office/2011/relationships/chartStyle" Target="style22.xml"/><Relationship Id="rId4" Type="http://schemas.openxmlformats.org/officeDocument/2006/relationships/chartUserShapes" Target="../drawings/drawing52.xml"/></Relationships>
</file>

<file path=xl/charts/_rels/chart2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9.xml"/><Relationship Id="rId2" Type="http://schemas.microsoft.com/office/2011/relationships/chartColorStyle" Target="colors23.xml"/><Relationship Id="rId1" Type="http://schemas.microsoft.com/office/2011/relationships/chartStyle" Target="style23.xml"/><Relationship Id="rId4" Type="http://schemas.openxmlformats.org/officeDocument/2006/relationships/chartUserShapes" Target="../drawings/drawing53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3.xml"/><Relationship Id="rId1" Type="http://schemas.microsoft.com/office/2011/relationships/chartStyle" Target="style3.xml"/><Relationship Id="rId4" Type="http://schemas.openxmlformats.org/officeDocument/2006/relationships/chartUserShapes" Target="../drawings/drawing11.xml"/></Relationships>
</file>

<file path=xl/charts/_rels/chart3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0.xml"/><Relationship Id="rId2" Type="http://schemas.microsoft.com/office/2011/relationships/chartColorStyle" Target="colors24.xml"/><Relationship Id="rId1" Type="http://schemas.microsoft.com/office/2011/relationships/chartStyle" Target="style24.xml"/><Relationship Id="rId4" Type="http://schemas.openxmlformats.org/officeDocument/2006/relationships/chartUserShapes" Target="../drawings/drawing54.xml"/></Relationships>
</file>

<file path=xl/charts/_rels/chart3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1.xml"/><Relationship Id="rId2" Type="http://schemas.microsoft.com/office/2011/relationships/chartColorStyle" Target="colors25.xml"/><Relationship Id="rId1" Type="http://schemas.microsoft.com/office/2011/relationships/chartStyle" Target="style25.xml"/><Relationship Id="rId4" Type="http://schemas.openxmlformats.org/officeDocument/2006/relationships/chartUserShapes" Target="../drawings/drawing55.xml"/></Relationships>
</file>

<file path=xl/charts/_rels/chart3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2.xml"/><Relationship Id="rId2" Type="http://schemas.microsoft.com/office/2011/relationships/chartColorStyle" Target="colors26.xml"/><Relationship Id="rId1" Type="http://schemas.microsoft.com/office/2011/relationships/chartStyle" Target="style26.xml"/><Relationship Id="rId4" Type="http://schemas.openxmlformats.org/officeDocument/2006/relationships/chartUserShapes" Target="../drawings/drawing56.xml"/></Relationships>
</file>

<file path=xl/charts/_rels/chart3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3.xml"/><Relationship Id="rId2" Type="http://schemas.microsoft.com/office/2011/relationships/chartColorStyle" Target="colors27.xml"/><Relationship Id="rId1" Type="http://schemas.microsoft.com/office/2011/relationships/chartStyle" Target="style27.xml"/><Relationship Id="rId4" Type="http://schemas.openxmlformats.org/officeDocument/2006/relationships/chartUserShapes" Target="../drawings/drawing57.xml"/></Relationships>
</file>

<file path=xl/charts/_rels/chart3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4.xml"/><Relationship Id="rId2" Type="http://schemas.microsoft.com/office/2011/relationships/chartColorStyle" Target="colors28.xml"/><Relationship Id="rId1" Type="http://schemas.microsoft.com/office/2011/relationships/chartStyle" Target="style28.xml"/><Relationship Id="rId4" Type="http://schemas.openxmlformats.org/officeDocument/2006/relationships/chartUserShapes" Target="../drawings/drawing58.xml"/></Relationships>
</file>

<file path=xl/charts/_rels/chart3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5.xml"/><Relationship Id="rId2" Type="http://schemas.microsoft.com/office/2011/relationships/chartColorStyle" Target="colors29.xml"/><Relationship Id="rId1" Type="http://schemas.microsoft.com/office/2011/relationships/chartStyle" Target="style29.xml"/><Relationship Id="rId4" Type="http://schemas.openxmlformats.org/officeDocument/2006/relationships/chartUserShapes" Target="../drawings/drawing59.xml"/></Relationships>
</file>

<file path=xl/charts/_rels/chart3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6.xml"/><Relationship Id="rId2" Type="http://schemas.microsoft.com/office/2011/relationships/chartColorStyle" Target="colors30.xml"/><Relationship Id="rId1" Type="http://schemas.microsoft.com/office/2011/relationships/chartStyle" Target="style30.xml"/><Relationship Id="rId4" Type="http://schemas.openxmlformats.org/officeDocument/2006/relationships/chartUserShapes" Target="../drawings/drawing60.xml"/></Relationships>
</file>

<file path=xl/charts/_rels/chart3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7.xml"/><Relationship Id="rId2" Type="http://schemas.microsoft.com/office/2011/relationships/chartColorStyle" Target="colors31.xml"/><Relationship Id="rId1" Type="http://schemas.microsoft.com/office/2011/relationships/chartStyle" Target="style31.xml"/><Relationship Id="rId4" Type="http://schemas.openxmlformats.org/officeDocument/2006/relationships/chartUserShapes" Target="../drawings/drawing61.xml"/></Relationships>
</file>

<file path=xl/charts/_rels/chart3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8.xml"/><Relationship Id="rId2" Type="http://schemas.microsoft.com/office/2011/relationships/chartColorStyle" Target="colors32.xml"/><Relationship Id="rId1" Type="http://schemas.microsoft.com/office/2011/relationships/chartStyle" Target="style32.xml"/><Relationship Id="rId4" Type="http://schemas.openxmlformats.org/officeDocument/2006/relationships/chartUserShapes" Target="../drawings/drawing62.xml"/></Relationships>
</file>

<file path=xl/charts/_rels/chart3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9.xml"/><Relationship Id="rId2" Type="http://schemas.microsoft.com/office/2011/relationships/chartColorStyle" Target="colors33.xml"/><Relationship Id="rId1" Type="http://schemas.microsoft.com/office/2011/relationships/chartStyle" Target="style33.xml"/><Relationship Id="rId4" Type="http://schemas.openxmlformats.org/officeDocument/2006/relationships/chartUserShapes" Target="../drawings/drawing63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.xml"/><Relationship Id="rId2" Type="http://schemas.microsoft.com/office/2011/relationships/chartColorStyle" Target="colors4.xml"/><Relationship Id="rId1" Type="http://schemas.microsoft.com/office/2011/relationships/chartStyle" Target="style4.xml"/><Relationship Id="rId4" Type="http://schemas.openxmlformats.org/officeDocument/2006/relationships/chartUserShapes" Target="../drawings/drawing12.xml"/></Relationships>
</file>

<file path=xl/charts/_rels/chart4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0.xml"/><Relationship Id="rId2" Type="http://schemas.microsoft.com/office/2011/relationships/chartColorStyle" Target="colors34.xml"/><Relationship Id="rId1" Type="http://schemas.microsoft.com/office/2011/relationships/chartStyle" Target="style34.xml"/><Relationship Id="rId4" Type="http://schemas.openxmlformats.org/officeDocument/2006/relationships/chartUserShapes" Target="../drawings/drawing65.xml"/></Relationships>
</file>

<file path=xl/charts/_rels/chart4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1.xml"/><Relationship Id="rId2" Type="http://schemas.microsoft.com/office/2011/relationships/chartColorStyle" Target="colors35.xml"/><Relationship Id="rId1" Type="http://schemas.microsoft.com/office/2011/relationships/chartStyle" Target="style35.xml"/><Relationship Id="rId4" Type="http://schemas.openxmlformats.org/officeDocument/2006/relationships/chartUserShapes" Target="../drawings/drawing66.xml"/></Relationships>
</file>

<file path=xl/charts/_rels/chart4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2.xml"/><Relationship Id="rId2" Type="http://schemas.microsoft.com/office/2011/relationships/chartColorStyle" Target="colors36.xml"/><Relationship Id="rId1" Type="http://schemas.microsoft.com/office/2011/relationships/chartStyle" Target="style36.xml"/><Relationship Id="rId4" Type="http://schemas.openxmlformats.org/officeDocument/2006/relationships/chartUserShapes" Target="../drawings/drawing67.xml"/></Relationships>
</file>

<file path=xl/charts/_rels/chart4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3.xml"/><Relationship Id="rId2" Type="http://schemas.microsoft.com/office/2011/relationships/chartColorStyle" Target="colors37.xml"/><Relationship Id="rId1" Type="http://schemas.microsoft.com/office/2011/relationships/chartStyle" Target="style37.xml"/><Relationship Id="rId4" Type="http://schemas.openxmlformats.org/officeDocument/2006/relationships/chartUserShapes" Target="../drawings/drawing68.xml"/></Relationships>
</file>

<file path=xl/charts/_rels/chart4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4.xml"/><Relationship Id="rId2" Type="http://schemas.microsoft.com/office/2011/relationships/chartColorStyle" Target="colors38.xml"/><Relationship Id="rId1" Type="http://schemas.microsoft.com/office/2011/relationships/chartStyle" Target="style38.xml"/><Relationship Id="rId4" Type="http://schemas.openxmlformats.org/officeDocument/2006/relationships/chartUserShapes" Target="../drawings/drawing69.xml"/></Relationships>
</file>

<file path=xl/charts/_rels/chart4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5.xml"/><Relationship Id="rId2" Type="http://schemas.microsoft.com/office/2011/relationships/chartColorStyle" Target="colors39.xml"/><Relationship Id="rId1" Type="http://schemas.microsoft.com/office/2011/relationships/chartStyle" Target="style39.xml"/><Relationship Id="rId4" Type="http://schemas.openxmlformats.org/officeDocument/2006/relationships/chartUserShapes" Target="../drawings/drawing75.xml"/></Relationships>
</file>

<file path=xl/charts/_rels/chart4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6.xml"/><Relationship Id="rId2" Type="http://schemas.microsoft.com/office/2011/relationships/chartColorStyle" Target="colors40.xml"/><Relationship Id="rId1" Type="http://schemas.microsoft.com/office/2011/relationships/chartStyle" Target="style40.xml"/><Relationship Id="rId4" Type="http://schemas.openxmlformats.org/officeDocument/2006/relationships/chartUserShapes" Target="../drawings/drawing76.xml"/></Relationships>
</file>

<file path=xl/charts/_rels/chart4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7.xml"/><Relationship Id="rId2" Type="http://schemas.microsoft.com/office/2011/relationships/chartColorStyle" Target="colors41.xml"/><Relationship Id="rId1" Type="http://schemas.microsoft.com/office/2011/relationships/chartStyle" Target="style41.xml"/><Relationship Id="rId4" Type="http://schemas.openxmlformats.org/officeDocument/2006/relationships/chartUserShapes" Target="../drawings/drawing77.xml"/></Relationships>
</file>

<file path=xl/charts/_rels/chart4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8.xml"/><Relationship Id="rId2" Type="http://schemas.microsoft.com/office/2011/relationships/chartColorStyle" Target="colors42.xml"/><Relationship Id="rId1" Type="http://schemas.microsoft.com/office/2011/relationships/chartStyle" Target="style42.xml"/><Relationship Id="rId4" Type="http://schemas.openxmlformats.org/officeDocument/2006/relationships/chartUserShapes" Target="../drawings/drawing78.xml"/></Relationships>
</file>

<file path=xl/charts/_rels/chart4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9.xml"/><Relationship Id="rId2" Type="http://schemas.microsoft.com/office/2011/relationships/chartColorStyle" Target="colors43.xml"/><Relationship Id="rId1" Type="http://schemas.microsoft.com/office/2011/relationships/chartStyle" Target="style43.xml"/><Relationship Id="rId4" Type="http://schemas.openxmlformats.org/officeDocument/2006/relationships/chartUserShapes" Target="../drawings/drawing79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.xml"/><Relationship Id="rId2" Type="http://schemas.microsoft.com/office/2011/relationships/chartColorStyle" Target="colors5.xml"/><Relationship Id="rId1" Type="http://schemas.microsoft.com/office/2011/relationships/chartStyle" Target="style5.xml"/><Relationship Id="rId4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0.xml"/><Relationship Id="rId2" Type="http://schemas.microsoft.com/office/2011/relationships/chartColorStyle" Target="colors44.xml"/><Relationship Id="rId1" Type="http://schemas.microsoft.com/office/2011/relationships/chartStyle" Target="style44.xml"/><Relationship Id="rId4" Type="http://schemas.openxmlformats.org/officeDocument/2006/relationships/chartUserShapes" Target="../drawings/drawing80.xml"/></Relationships>
</file>

<file path=xl/charts/_rels/chart5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1.xml"/><Relationship Id="rId2" Type="http://schemas.microsoft.com/office/2011/relationships/chartColorStyle" Target="colors45.xml"/><Relationship Id="rId1" Type="http://schemas.microsoft.com/office/2011/relationships/chartStyle" Target="style45.xml"/><Relationship Id="rId4" Type="http://schemas.openxmlformats.org/officeDocument/2006/relationships/chartUserShapes" Target="../drawings/drawing81.xml"/></Relationships>
</file>

<file path=xl/charts/_rels/chart5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2.xml"/><Relationship Id="rId2" Type="http://schemas.microsoft.com/office/2011/relationships/chartColorStyle" Target="colors46.xml"/><Relationship Id="rId1" Type="http://schemas.microsoft.com/office/2011/relationships/chartStyle" Target="style46.xml"/><Relationship Id="rId4" Type="http://schemas.openxmlformats.org/officeDocument/2006/relationships/chartUserShapes" Target="../drawings/drawing82.xml"/></Relationships>
</file>

<file path=xl/charts/_rels/chart5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3.xml"/><Relationship Id="rId2" Type="http://schemas.microsoft.com/office/2011/relationships/chartColorStyle" Target="colors47.xml"/><Relationship Id="rId1" Type="http://schemas.microsoft.com/office/2011/relationships/chartStyle" Target="style47.xml"/><Relationship Id="rId4" Type="http://schemas.openxmlformats.org/officeDocument/2006/relationships/chartUserShapes" Target="../drawings/drawing83.xml"/></Relationships>
</file>

<file path=xl/charts/_rels/chart5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4.xml"/><Relationship Id="rId2" Type="http://schemas.microsoft.com/office/2011/relationships/chartColorStyle" Target="colors48.xml"/><Relationship Id="rId1" Type="http://schemas.microsoft.com/office/2011/relationships/chartStyle" Target="style48.xml"/><Relationship Id="rId4" Type="http://schemas.openxmlformats.org/officeDocument/2006/relationships/chartUserShapes" Target="../drawings/drawing84.xml"/></Relationships>
</file>

<file path=xl/charts/_rels/chart5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5.xml"/><Relationship Id="rId2" Type="http://schemas.microsoft.com/office/2011/relationships/chartColorStyle" Target="colors49.xml"/><Relationship Id="rId1" Type="http://schemas.microsoft.com/office/2011/relationships/chartStyle" Target="style49.xml"/><Relationship Id="rId4" Type="http://schemas.openxmlformats.org/officeDocument/2006/relationships/chartUserShapes" Target="../drawings/drawing85.xml"/></Relationships>
</file>

<file path=xl/charts/_rels/chart5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6.xml"/><Relationship Id="rId2" Type="http://schemas.microsoft.com/office/2011/relationships/chartColorStyle" Target="colors50.xml"/><Relationship Id="rId1" Type="http://schemas.microsoft.com/office/2011/relationships/chartStyle" Target="style50.xml"/><Relationship Id="rId4" Type="http://schemas.openxmlformats.org/officeDocument/2006/relationships/chartUserShapes" Target="../drawings/drawing86.xml"/></Relationships>
</file>

<file path=xl/charts/_rels/chart5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7.xml"/><Relationship Id="rId2" Type="http://schemas.microsoft.com/office/2011/relationships/chartColorStyle" Target="colors51.xml"/><Relationship Id="rId1" Type="http://schemas.microsoft.com/office/2011/relationships/chartStyle" Target="style51.xml"/><Relationship Id="rId4" Type="http://schemas.openxmlformats.org/officeDocument/2006/relationships/chartUserShapes" Target="../drawings/drawing87.xml"/></Relationships>
</file>

<file path=xl/charts/_rels/chart5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8.xml"/><Relationship Id="rId2" Type="http://schemas.microsoft.com/office/2011/relationships/chartColorStyle" Target="colors52.xml"/><Relationship Id="rId1" Type="http://schemas.microsoft.com/office/2011/relationships/chartStyle" Target="style52.xml"/><Relationship Id="rId4" Type="http://schemas.openxmlformats.org/officeDocument/2006/relationships/chartUserShapes" Target="../drawings/drawing89.xml"/></Relationships>
</file>

<file path=xl/charts/_rels/chart5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9.xml"/><Relationship Id="rId2" Type="http://schemas.microsoft.com/office/2011/relationships/chartColorStyle" Target="colors53.xml"/><Relationship Id="rId1" Type="http://schemas.microsoft.com/office/2011/relationships/chartStyle" Target="style53.xml"/><Relationship Id="rId4" Type="http://schemas.openxmlformats.org/officeDocument/2006/relationships/chartUserShapes" Target="../drawings/drawing90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.xml"/><Relationship Id="rId2" Type="http://schemas.microsoft.com/office/2011/relationships/chartColorStyle" Target="colors6.xml"/><Relationship Id="rId1" Type="http://schemas.microsoft.com/office/2011/relationships/chartStyle" Target="style6.xml"/><Relationship Id="rId4" Type="http://schemas.openxmlformats.org/officeDocument/2006/relationships/chartUserShapes" Target="../drawings/drawing14.xml"/></Relationships>
</file>

<file path=xl/charts/_rels/chart6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0.xml"/><Relationship Id="rId2" Type="http://schemas.microsoft.com/office/2011/relationships/chartColorStyle" Target="colors54.xml"/><Relationship Id="rId1" Type="http://schemas.microsoft.com/office/2011/relationships/chartStyle" Target="style54.xml"/><Relationship Id="rId4" Type="http://schemas.openxmlformats.org/officeDocument/2006/relationships/chartUserShapes" Target="../drawings/drawing91.xml"/></Relationships>
</file>

<file path=xl/charts/_rels/chart6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1.xml"/><Relationship Id="rId2" Type="http://schemas.microsoft.com/office/2011/relationships/chartColorStyle" Target="colors55.xml"/><Relationship Id="rId1" Type="http://schemas.microsoft.com/office/2011/relationships/chartStyle" Target="style55.xml"/><Relationship Id="rId4" Type="http://schemas.openxmlformats.org/officeDocument/2006/relationships/chartUserShapes" Target="../drawings/drawing92.xml"/></Relationships>
</file>

<file path=xl/charts/_rels/chart6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2.xml"/><Relationship Id="rId2" Type="http://schemas.microsoft.com/office/2011/relationships/chartColorStyle" Target="colors56.xml"/><Relationship Id="rId1" Type="http://schemas.microsoft.com/office/2011/relationships/chartStyle" Target="style56.xml"/><Relationship Id="rId4" Type="http://schemas.openxmlformats.org/officeDocument/2006/relationships/chartUserShapes" Target="../drawings/drawing93.xml"/></Relationships>
</file>

<file path=xl/charts/_rels/chart6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3.xml"/><Relationship Id="rId2" Type="http://schemas.microsoft.com/office/2011/relationships/chartColorStyle" Target="colors57.xml"/><Relationship Id="rId1" Type="http://schemas.microsoft.com/office/2011/relationships/chartStyle" Target="style57.xml"/><Relationship Id="rId4" Type="http://schemas.openxmlformats.org/officeDocument/2006/relationships/chartUserShapes" Target="../drawings/drawing96.xml"/></Relationships>
</file>

<file path=xl/charts/_rels/chart6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4.xml"/><Relationship Id="rId2" Type="http://schemas.microsoft.com/office/2011/relationships/chartColorStyle" Target="colors58.xml"/><Relationship Id="rId1" Type="http://schemas.microsoft.com/office/2011/relationships/chartStyle" Target="style58.xml"/><Relationship Id="rId4" Type="http://schemas.openxmlformats.org/officeDocument/2006/relationships/chartUserShapes" Target="../drawings/drawing97.xml"/></Relationships>
</file>

<file path=xl/charts/_rels/chart6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5.xml"/><Relationship Id="rId2" Type="http://schemas.microsoft.com/office/2011/relationships/chartColorStyle" Target="colors59.xml"/><Relationship Id="rId1" Type="http://schemas.microsoft.com/office/2011/relationships/chartStyle" Target="style59.xml"/><Relationship Id="rId4" Type="http://schemas.openxmlformats.org/officeDocument/2006/relationships/chartUserShapes" Target="../drawings/drawing98.xml"/></Relationships>
</file>

<file path=xl/charts/_rels/chart6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6.xml"/><Relationship Id="rId2" Type="http://schemas.microsoft.com/office/2011/relationships/chartColorStyle" Target="colors60.xml"/><Relationship Id="rId1" Type="http://schemas.microsoft.com/office/2011/relationships/chartStyle" Target="style60.xml"/><Relationship Id="rId4" Type="http://schemas.openxmlformats.org/officeDocument/2006/relationships/chartUserShapes" Target="../drawings/drawing99.xml"/></Relationships>
</file>

<file path=xl/charts/_rels/chart6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7.xml"/><Relationship Id="rId2" Type="http://schemas.microsoft.com/office/2011/relationships/chartColorStyle" Target="colors61.xml"/><Relationship Id="rId1" Type="http://schemas.microsoft.com/office/2011/relationships/chartStyle" Target="style61.xml"/><Relationship Id="rId4" Type="http://schemas.openxmlformats.org/officeDocument/2006/relationships/chartUserShapes" Target="../drawings/drawing100.xml"/></Relationships>
</file>

<file path=xl/charts/_rels/chart6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5.xml"/></Relationships>
</file>

<file path=xl/charts/_rels/chart6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6.xml"/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.xml"/><Relationship Id="rId2" Type="http://schemas.microsoft.com/office/2011/relationships/chartColorStyle" Target="colors7.xml"/><Relationship Id="rId1" Type="http://schemas.microsoft.com/office/2011/relationships/chartStyle" Target="style7.xml"/><Relationship Id="rId4" Type="http://schemas.openxmlformats.org/officeDocument/2006/relationships/chartUserShapes" Target="../drawings/drawing15.xml"/></Relationships>
</file>

<file path=xl/charts/_rels/chart7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7.xml"/><Relationship Id="rId1" Type="http://schemas.openxmlformats.org/officeDocument/2006/relationships/themeOverride" Target="../theme/themeOverride68.xml"/></Relationships>
</file>

<file path=xl/charts/_rels/chart7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9.xml"/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7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0.xml"/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7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2.xml"/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7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3.xml"/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7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5.xml"/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7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6.xml"/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7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8.xml"/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7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9.xml"/><Relationship Id="rId1" Type="http://schemas.openxmlformats.org/officeDocument/2006/relationships/themeOverride" Target="../theme/themeOverride69.xml"/></Relationships>
</file>

<file path=xl/charts/_rels/chart7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0.xml"/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.xml"/><Relationship Id="rId2" Type="http://schemas.microsoft.com/office/2011/relationships/chartColorStyle" Target="colors8.xml"/><Relationship Id="rId1" Type="http://schemas.microsoft.com/office/2011/relationships/chartStyle" Target="style8.xml"/><Relationship Id="rId4" Type="http://schemas.openxmlformats.org/officeDocument/2006/relationships/chartUserShapes" Target="../drawings/drawing16.xml"/></Relationships>
</file>

<file path=xl/charts/_rels/chart8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2.xml"/><Relationship Id="rId2" Type="http://schemas.microsoft.com/office/2011/relationships/chartColorStyle" Target="colors71.xml"/><Relationship Id="rId1" Type="http://schemas.microsoft.com/office/2011/relationships/chartStyle" Target="style71.xml"/></Relationships>
</file>

<file path=xl/charts/_rels/chart8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3.xml"/><Relationship Id="rId1" Type="http://schemas.openxmlformats.org/officeDocument/2006/relationships/themeOverride" Target="../theme/themeOverride70.xml"/></Relationships>
</file>

<file path=xl/charts/_rels/chart8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4.xml"/><Relationship Id="rId2" Type="http://schemas.microsoft.com/office/2011/relationships/chartColorStyle" Target="colors72.xml"/><Relationship Id="rId1" Type="http://schemas.microsoft.com/office/2011/relationships/chartStyle" Target="style72.xml"/></Relationships>
</file>

<file path=xl/charts/_rels/chart8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6.xml"/><Relationship Id="rId2" Type="http://schemas.microsoft.com/office/2011/relationships/chartColorStyle" Target="colors73.xml"/><Relationship Id="rId1" Type="http://schemas.microsoft.com/office/2011/relationships/chartStyle" Target="style73.xml"/></Relationships>
</file>

<file path=xl/charts/_rels/chart8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7.xml"/><Relationship Id="rId1" Type="http://schemas.openxmlformats.org/officeDocument/2006/relationships/themeOverride" Target="../theme/themeOverride71.xml"/></Relationships>
</file>

<file path=xl/charts/_rels/chart8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8.xml"/><Relationship Id="rId2" Type="http://schemas.microsoft.com/office/2011/relationships/chartColorStyle" Target="colors74.xml"/><Relationship Id="rId1" Type="http://schemas.microsoft.com/office/2011/relationships/chartStyle" Target="style74.xml"/></Relationships>
</file>

<file path=xl/charts/_rels/chart8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2.xml"/><Relationship Id="rId2" Type="http://schemas.microsoft.com/office/2011/relationships/chartColorStyle" Target="colors75.xml"/><Relationship Id="rId1" Type="http://schemas.microsoft.com/office/2011/relationships/chartStyle" Target="style75.xml"/><Relationship Id="rId4" Type="http://schemas.openxmlformats.org/officeDocument/2006/relationships/chartUserShapes" Target="../drawings/drawing130.xml"/></Relationships>
</file>

<file path=xl/charts/_rels/chart8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3.xml"/><Relationship Id="rId2" Type="http://schemas.microsoft.com/office/2011/relationships/chartColorStyle" Target="colors76.xml"/><Relationship Id="rId1" Type="http://schemas.microsoft.com/office/2011/relationships/chartStyle" Target="style76.xml"/><Relationship Id="rId4" Type="http://schemas.openxmlformats.org/officeDocument/2006/relationships/chartUserShapes" Target="../drawings/drawing132.xml"/></Relationships>
</file>

<file path=xl/charts/_rels/chart8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4.xml"/><Relationship Id="rId2" Type="http://schemas.microsoft.com/office/2011/relationships/chartColorStyle" Target="colors77.xml"/><Relationship Id="rId1" Type="http://schemas.microsoft.com/office/2011/relationships/chartStyle" Target="style77.xml"/><Relationship Id="rId4" Type="http://schemas.openxmlformats.org/officeDocument/2006/relationships/chartUserShapes" Target="../drawings/drawing134.xml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.xml"/><Relationship Id="rId2" Type="http://schemas.microsoft.com/office/2011/relationships/chartColorStyle" Target="colors9.xml"/><Relationship Id="rId1" Type="http://schemas.microsoft.com/office/2011/relationships/chartStyle" Target="style9.xml"/><Relationship Id="rId4" Type="http://schemas.openxmlformats.org/officeDocument/2006/relationships/chartUserShapes" Target="../drawings/drawing1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FC5-42A5-BC37-0586431229E7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TF'!$C$9:$C$21</c:f>
              <c:numCache>
                <c:formatCode>#,##0</c:formatCode>
                <c:ptCount val="13"/>
                <c:pt idx="0">
                  <c:v>4716</c:v>
                </c:pt>
                <c:pt idx="1">
                  <c:v>4935</c:v>
                </c:pt>
                <c:pt idx="2">
                  <c:v>5148</c:v>
                </c:pt>
                <c:pt idx="3">
                  <c:v>4194</c:v>
                </c:pt>
                <c:pt idx="4">
                  <c:v>4065</c:v>
                </c:pt>
                <c:pt idx="5">
                  <c:v>3920</c:v>
                </c:pt>
                <c:pt idx="6">
                  <c:v>4387</c:v>
                </c:pt>
                <c:pt idx="7">
                  <c:v>4223</c:v>
                </c:pt>
                <c:pt idx="8">
                  <c:v>3835</c:v>
                </c:pt>
                <c:pt idx="9">
                  <c:v>4677</c:v>
                </c:pt>
                <c:pt idx="10">
                  <c:v>6020</c:v>
                </c:pt>
                <c:pt idx="11">
                  <c:v>5767</c:v>
                </c:pt>
                <c:pt idx="12">
                  <c:v>55887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FC5-42A5-BC37-0586431229E7}"/>
            </c:ext>
          </c:extLst>
        </c:ser>
        <c:ser>
          <c:idx val="5"/>
          <c:order val="1"/>
          <c:tx>
            <c:strRef>
              <c:f>'Viajeros entr evol mensu TF'!$I$7:$J$7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FC5-42A5-BC37-0586431229E7}"/>
              </c:ext>
            </c:extLst>
          </c:dPt>
          <c:val>
            <c:numRef>
              <c:f>'Viajeros entr evol mensu TF'!$I$9:$I$21</c:f>
              <c:numCache>
                <c:formatCode>#,##0</c:formatCode>
                <c:ptCount val="13"/>
                <c:pt idx="0">
                  <c:v>3527</c:v>
                </c:pt>
                <c:pt idx="1">
                  <c:v>4177</c:v>
                </c:pt>
                <c:pt idx="2">
                  <c:v>4740</c:v>
                </c:pt>
                <c:pt idx="3">
                  <c:v>4075</c:v>
                </c:pt>
                <c:pt idx="4">
                  <c:v>3632</c:v>
                </c:pt>
                <c:pt idx="5">
                  <c:v>4520</c:v>
                </c:pt>
                <c:pt idx="6">
                  <c:v>4275</c:v>
                </c:pt>
                <c:pt idx="7">
                  <c:v>3932</c:v>
                </c:pt>
                <c:pt idx="8">
                  <c:v>4578</c:v>
                </c:pt>
                <c:pt idx="9">
                  <c:v>4025</c:v>
                </c:pt>
                <c:pt idx="10">
                  <c:v>4838</c:v>
                </c:pt>
                <c:pt idx="11">
                  <c:v>5166</c:v>
                </c:pt>
                <c:pt idx="12">
                  <c:v>51485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FC5-42A5-BC37-0586431229E7}"/>
            </c:ext>
          </c:extLst>
        </c:ser>
        <c:ser>
          <c:idx val="0"/>
          <c:order val="2"/>
          <c:tx>
            <c:strRef>
              <c:f>'Viajeros entr evol mensu TF'!$K$7:$L$7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FC5-42A5-BC37-0586431229E7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TF'!$K$9:$K$21</c:f>
              <c:numCache>
                <c:formatCode>#,##0</c:formatCode>
                <c:ptCount val="13"/>
                <c:pt idx="0">
                  <c:v>5390</c:v>
                </c:pt>
                <c:pt idx="1">
                  <c:v>5270</c:v>
                </c:pt>
                <c:pt idx="2">
                  <c:v>5659</c:v>
                </c:pt>
                <c:pt idx="3">
                  <c:v>5170</c:v>
                </c:pt>
                <c:pt idx="4">
                  <c:v>5013</c:v>
                </c:pt>
                <c:pt idx="5">
                  <c:v>4181</c:v>
                </c:pt>
                <c:pt idx="6">
                  <c:v>4340</c:v>
                </c:pt>
                <c:pt idx="7">
                  <c:v>4645</c:v>
                </c:pt>
                <c:pt idx="8">
                  <c:v>4521</c:v>
                </c:pt>
                <c:pt idx="9">
                  <c:v>4419</c:v>
                </c:pt>
                <c:pt idx="10">
                  <c:v>4964</c:v>
                </c:pt>
                <c:pt idx="11">
                  <c:v>4585</c:v>
                </c:pt>
                <c:pt idx="12">
                  <c:v>58157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FC5-42A5-BC37-0586431229E7}"/>
            </c:ext>
          </c:extLst>
        </c:ser>
        <c:ser>
          <c:idx val="1"/>
          <c:order val="3"/>
          <c:tx>
            <c:strRef>
              <c:f>'Viajeros entr evol mensu TF'!$M$7:$N$7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CFC5-42A5-BC37-0586431229E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CFC5-42A5-BC37-0586431229E7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TF'!$M$9:$M$21</c:f>
              <c:numCache>
                <c:formatCode>#,##0</c:formatCode>
                <c:ptCount val="13"/>
                <c:pt idx="0">
                  <c:v>5217</c:v>
                </c:pt>
                <c:pt idx="1">
                  <c:v>4803</c:v>
                </c:pt>
                <c:pt idx="2">
                  <c:v>5168</c:v>
                </c:pt>
                <c:pt idx="3">
                  <c:v>5054</c:v>
                </c:pt>
                <c:pt idx="4">
                  <c:v>4992</c:v>
                </c:pt>
                <c:pt idx="5">
                  <c:v>3964</c:v>
                </c:pt>
                <c:pt idx="6">
                  <c:v>4593</c:v>
                </c:pt>
                <c:pt idx="7">
                  <c:v>2899</c:v>
                </c:pt>
                <c:pt idx="8">
                  <c:v>5087</c:v>
                </c:pt>
                <c:pt idx="12">
                  <c:v>41777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FC5-42A5-BC37-0586431229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FC5-42A5-BC37-0586431229E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FC5-42A5-BC37-0586431229E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FC5-42A5-BC37-0586431229E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FC5-42A5-BC37-0586431229E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FC5-42A5-BC37-0586431229E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FC5-42A5-BC37-0586431229E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FC5-42A5-BC37-0586431229E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FC5-42A5-BC37-0586431229E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FC5-42A5-BC37-0586431229E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FC5-42A5-BC37-0586431229E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FC5-42A5-BC37-0586431229E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FC5-42A5-BC37-0586431229E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FC5-42A5-BC37-0586431229E7}"/>
              </c:ext>
            </c:extLst>
          </c:dPt>
          <c:cat>
            <c:strRef>
              <c:f>'Viajeros entr evol mensu TF'!$B$9:$B$20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TF'!$N$9:$N$21</c:f>
              <c:numCache>
                <c:formatCode>0.0%</c:formatCode>
                <c:ptCount val="13"/>
                <c:pt idx="0">
                  <c:v>-3.2096474953617782E-2</c:v>
                </c:pt>
                <c:pt idx="1">
                  <c:v>-8.861480075901329E-2</c:v>
                </c:pt>
                <c:pt idx="2">
                  <c:v>-8.6764446015197061E-2</c:v>
                </c:pt>
                <c:pt idx="3">
                  <c:v>-2.2437137330754364E-2</c:v>
                </c:pt>
                <c:pt idx="4">
                  <c:v>-4.1891083183722699E-3</c:v>
                </c:pt>
                <c:pt idx="5">
                  <c:v>-5.1901458981104986E-2</c:v>
                </c:pt>
                <c:pt idx="6">
                  <c:v>5.8294930875576023E-2</c:v>
                </c:pt>
                <c:pt idx="7">
                  <c:v>-0.37588805166846073</c:v>
                </c:pt>
                <c:pt idx="8">
                  <c:v>0.12519354125193538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-5.4583719930299424E-2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CFC5-42A5-BC37-0586431229E7}"/>
            </c:ext>
          </c:extLst>
        </c:ser>
        <c:ser>
          <c:idx val="4"/>
          <c:order val="5"/>
          <c:tx>
            <c:strRef>
              <c:f>'Viajeros entr evol mensu TF'!$O$8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'Viajeros entr evol mensu TF'!$O$9:$O$21</c:f>
              <c:numCache>
                <c:formatCode>0.0%</c:formatCode>
                <c:ptCount val="13"/>
                <c:pt idx="0">
                  <c:v>0.10623409669211203</c:v>
                </c:pt>
                <c:pt idx="1">
                  <c:v>-2.6747720364741601E-2</c:v>
                </c:pt>
                <c:pt idx="2">
                  <c:v>3.8850038850037905E-3</c:v>
                </c:pt>
                <c:pt idx="3">
                  <c:v>0.20505484024797327</c:v>
                </c:pt>
                <c:pt idx="4">
                  <c:v>0.22804428044280445</c:v>
                </c:pt>
                <c:pt idx="5">
                  <c:v>1.1224489795918391E-2</c:v>
                </c:pt>
                <c:pt idx="6">
                  <c:v>4.6956918167312622E-2</c:v>
                </c:pt>
                <c:pt idx="7">
                  <c:v>-0.3135211934643618</c:v>
                </c:pt>
                <c:pt idx="8">
                  <c:v>0.32646675358539756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5.9711336022119088E-2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CFC5-42A5-BC37-0586431229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TF'!$C$205:$D$205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97E-4447-967D-3CB2FD3FE8A3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TF'!$C$207:$C$219</c:f>
              <c:numCache>
                <c:formatCode>#,##0</c:formatCode>
                <c:ptCount val="13"/>
                <c:pt idx="0">
                  <c:v>80</c:v>
                </c:pt>
                <c:pt idx="1">
                  <c:v>48</c:v>
                </c:pt>
                <c:pt idx="2">
                  <c:v>102</c:v>
                </c:pt>
                <c:pt idx="3">
                  <c:v>32</c:v>
                </c:pt>
                <c:pt idx="4">
                  <c:v>31</c:v>
                </c:pt>
                <c:pt idx="5">
                  <c:v>32</c:v>
                </c:pt>
                <c:pt idx="6">
                  <c:v>50</c:v>
                </c:pt>
                <c:pt idx="7">
                  <c:v>38</c:v>
                </c:pt>
                <c:pt idx="8">
                  <c:v>29</c:v>
                </c:pt>
                <c:pt idx="9">
                  <c:v>71</c:v>
                </c:pt>
                <c:pt idx="10">
                  <c:v>106</c:v>
                </c:pt>
                <c:pt idx="11">
                  <c:v>80</c:v>
                </c:pt>
                <c:pt idx="12">
                  <c:v>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97E-4447-967D-3CB2FD3FE8A3}"/>
            </c:ext>
          </c:extLst>
        </c:ser>
        <c:ser>
          <c:idx val="5"/>
          <c:order val="1"/>
          <c:tx>
            <c:strRef>
              <c:f>'Viajeros entr evol mensu TF'!$I$205:$J$205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97E-4447-967D-3CB2FD3FE8A3}"/>
              </c:ext>
            </c:extLst>
          </c:dPt>
          <c:val>
            <c:numRef>
              <c:f>'Viajeros entr evol mensu TF'!$I$207:$I$219</c:f>
              <c:numCache>
                <c:formatCode>#,##0</c:formatCode>
                <c:ptCount val="13"/>
                <c:pt idx="0">
                  <c:v>129</c:v>
                </c:pt>
                <c:pt idx="1">
                  <c:v>117</c:v>
                </c:pt>
                <c:pt idx="2">
                  <c:v>156</c:v>
                </c:pt>
                <c:pt idx="3">
                  <c:v>104</c:v>
                </c:pt>
                <c:pt idx="4">
                  <c:v>81</c:v>
                </c:pt>
                <c:pt idx="5">
                  <c:v>85</c:v>
                </c:pt>
                <c:pt idx="6">
                  <c:v>42</c:v>
                </c:pt>
                <c:pt idx="7">
                  <c:v>106</c:v>
                </c:pt>
                <c:pt idx="8">
                  <c:v>66</c:v>
                </c:pt>
                <c:pt idx="9">
                  <c:v>72</c:v>
                </c:pt>
                <c:pt idx="10">
                  <c:v>93</c:v>
                </c:pt>
                <c:pt idx="11">
                  <c:v>121</c:v>
                </c:pt>
                <c:pt idx="12">
                  <c:v>1172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97E-4447-967D-3CB2FD3FE8A3}"/>
            </c:ext>
          </c:extLst>
        </c:ser>
        <c:ser>
          <c:idx val="0"/>
          <c:order val="2"/>
          <c:tx>
            <c:strRef>
              <c:f>'Viajeros entr evol mensu TF'!$K$205:$L$205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97E-4447-967D-3CB2FD3FE8A3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TF'!$K$207:$K$219</c:f>
              <c:numCache>
                <c:formatCode>#,##0</c:formatCode>
                <c:ptCount val="13"/>
                <c:pt idx="0">
                  <c:v>137</c:v>
                </c:pt>
                <c:pt idx="1">
                  <c:v>88</c:v>
                </c:pt>
                <c:pt idx="2">
                  <c:v>155</c:v>
                </c:pt>
                <c:pt idx="3">
                  <c:v>80</c:v>
                </c:pt>
                <c:pt idx="4">
                  <c:v>41</c:v>
                </c:pt>
                <c:pt idx="5">
                  <c:v>30</c:v>
                </c:pt>
                <c:pt idx="6">
                  <c:v>38</c:v>
                </c:pt>
                <c:pt idx="7">
                  <c:v>46</c:v>
                </c:pt>
                <c:pt idx="8">
                  <c:v>31</c:v>
                </c:pt>
                <c:pt idx="9">
                  <c:v>65</c:v>
                </c:pt>
                <c:pt idx="10">
                  <c:v>114</c:v>
                </c:pt>
                <c:pt idx="11">
                  <c:v>113</c:v>
                </c:pt>
                <c:pt idx="12">
                  <c:v>938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97E-4447-967D-3CB2FD3FE8A3}"/>
            </c:ext>
          </c:extLst>
        </c:ser>
        <c:ser>
          <c:idx val="1"/>
          <c:order val="3"/>
          <c:tx>
            <c:strRef>
              <c:f>'Viajeros entr evol mensu TF'!$M$205:$N$205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C97E-4447-967D-3CB2FD3FE8A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C97E-4447-967D-3CB2FD3FE8A3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TF'!$M$207:$M$219</c:f>
              <c:numCache>
                <c:formatCode>#,##0</c:formatCode>
                <c:ptCount val="13"/>
                <c:pt idx="0">
                  <c:v>154</c:v>
                </c:pt>
                <c:pt idx="1">
                  <c:v>146</c:v>
                </c:pt>
                <c:pt idx="2">
                  <c:v>158</c:v>
                </c:pt>
                <c:pt idx="3">
                  <c:v>62</c:v>
                </c:pt>
                <c:pt idx="4">
                  <c:v>42</c:v>
                </c:pt>
                <c:pt idx="5">
                  <c:v>36</c:v>
                </c:pt>
                <c:pt idx="6">
                  <c:v>29</c:v>
                </c:pt>
                <c:pt idx="7">
                  <c:v>43</c:v>
                </c:pt>
                <c:pt idx="8">
                  <c:v>31</c:v>
                </c:pt>
                <c:pt idx="12">
                  <c:v>701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97E-4447-967D-3CB2FD3FE8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TF'!$N$206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97E-4447-967D-3CB2FD3FE8A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97E-4447-967D-3CB2FD3FE8A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97E-4447-967D-3CB2FD3FE8A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97E-4447-967D-3CB2FD3FE8A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97E-4447-967D-3CB2FD3FE8A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97E-4447-967D-3CB2FD3FE8A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97E-4447-967D-3CB2FD3FE8A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97E-4447-967D-3CB2FD3FE8A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97E-4447-967D-3CB2FD3FE8A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97E-4447-967D-3CB2FD3FE8A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97E-4447-967D-3CB2FD3FE8A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97E-4447-967D-3CB2FD3FE8A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97E-4447-967D-3CB2FD3FE8A3}"/>
              </c:ext>
            </c:extLst>
          </c:dPt>
          <c:cat>
            <c:strRef>
              <c:f>'Viajeros entr evol mensu TF'!$B$207:$B$218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TF'!$N$207:$N$219</c:f>
              <c:numCache>
                <c:formatCode>0.0%</c:formatCode>
                <c:ptCount val="13"/>
                <c:pt idx="0">
                  <c:v>0.12408759124087587</c:v>
                </c:pt>
                <c:pt idx="1">
                  <c:v>0.65909090909090917</c:v>
                </c:pt>
                <c:pt idx="2">
                  <c:v>1.9354838709677358E-2</c:v>
                </c:pt>
                <c:pt idx="3">
                  <c:v>-0.22499999999999998</c:v>
                </c:pt>
                <c:pt idx="4">
                  <c:v>2.4390243902439046E-2</c:v>
                </c:pt>
                <c:pt idx="5">
                  <c:v>0.19999999999999996</c:v>
                </c:pt>
                <c:pt idx="6">
                  <c:v>-0.23684210526315785</c:v>
                </c:pt>
                <c:pt idx="7">
                  <c:v>-6.5217391304347783E-2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8.5139318885449011E-2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C97E-4447-967D-3CB2FD3FE8A3}"/>
            </c:ext>
          </c:extLst>
        </c:ser>
        <c:ser>
          <c:idx val="4"/>
          <c:order val="5"/>
          <c:tx>
            <c:strRef>
              <c:f>'Viajeros entr evol mensu TF'!$O$206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TF'!$O$207:$O$219</c:f>
              <c:numCache>
                <c:formatCode>0.0%</c:formatCode>
                <c:ptCount val="13"/>
                <c:pt idx="0">
                  <c:v>0.92500000000000004</c:v>
                </c:pt>
                <c:pt idx="1">
                  <c:v>2.0416666666666665</c:v>
                </c:pt>
                <c:pt idx="2">
                  <c:v>0.5490196078431373</c:v>
                </c:pt>
                <c:pt idx="3">
                  <c:v>0.9375</c:v>
                </c:pt>
                <c:pt idx="4">
                  <c:v>0.35483870967741926</c:v>
                </c:pt>
                <c:pt idx="5">
                  <c:v>0.125</c:v>
                </c:pt>
                <c:pt idx="6">
                  <c:v>-0.42000000000000004</c:v>
                </c:pt>
                <c:pt idx="7">
                  <c:v>0.13157894736842102</c:v>
                </c:pt>
                <c:pt idx="8">
                  <c:v>6.8965517241379226E-2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0.58597285067873295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C97E-4447-967D-3CB2FD3FE8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TF'!$C$227:$D$227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D24-4444-8C41-A5242D711F95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TF'!$C$229:$C$241</c:f>
              <c:numCache>
                <c:formatCode>#,##0</c:formatCode>
                <c:ptCount val="13"/>
                <c:pt idx="0">
                  <c:v>74</c:v>
                </c:pt>
                <c:pt idx="1">
                  <c:v>64</c:v>
                </c:pt>
                <c:pt idx="2">
                  <c:v>61</c:v>
                </c:pt>
                <c:pt idx="3">
                  <c:v>47</c:v>
                </c:pt>
                <c:pt idx="4">
                  <c:v>19</c:v>
                </c:pt>
                <c:pt idx="5">
                  <c:v>44</c:v>
                </c:pt>
                <c:pt idx="6">
                  <c:v>26</c:v>
                </c:pt>
                <c:pt idx="7">
                  <c:v>22</c:v>
                </c:pt>
                <c:pt idx="8">
                  <c:v>16</c:v>
                </c:pt>
                <c:pt idx="9">
                  <c:v>27</c:v>
                </c:pt>
                <c:pt idx="10">
                  <c:v>79</c:v>
                </c:pt>
                <c:pt idx="11">
                  <c:v>40</c:v>
                </c:pt>
                <c:pt idx="12">
                  <c:v>519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D24-4444-8C41-A5242D711F95}"/>
            </c:ext>
          </c:extLst>
        </c:ser>
        <c:ser>
          <c:idx val="5"/>
          <c:order val="1"/>
          <c:tx>
            <c:strRef>
              <c:f>'Viajeros entr evol mensu TF'!$I$227:$J$227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D24-4444-8C41-A5242D711F95}"/>
              </c:ext>
            </c:extLst>
          </c:dPt>
          <c:val>
            <c:numRef>
              <c:f>'Viajeros entr evol mensu TF'!$I$229:$I$241</c:f>
              <c:numCache>
                <c:formatCode>#,##0</c:formatCode>
                <c:ptCount val="13"/>
                <c:pt idx="0">
                  <c:v>89</c:v>
                </c:pt>
                <c:pt idx="1">
                  <c:v>81</c:v>
                </c:pt>
                <c:pt idx="2">
                  <c:v>80</c:v>
                </c:pt>
                <c:pt idx="3">
                  <c:v>60</c:v>
                </c:pt>
                <c:pt idx="4">
                  <c:v>32</c:v>
                </c:pt>
                <c:pt idx="5">
                  <c:v>31</c:v>
                </c:pt>
                <c:pt idx="6">
                  <c:v>61</c:v>
                </c:pt>
                <c:pt idx="7">
                  <c:v>59</c:v>
                </c:pt>
                <c:pt idx="8">
                  <c:v>30</c:v>
                </c:pt>
                <c:pt idx="9">
                  <c:v>37</c:v>
                </c:pt>
                <c:pt idx="10">
                  <c:v>70</c:v>
                </c:pt>
                <c:pt idx="11">
                  <c:v>52</c:v>
                </c:pt>
                <c:pt idx="12">
                  <c:v>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D24-4444-8C41-A5242D711F95}"/>
            </c:ext>
          </c:extLst>
        </c:ser>
        <c:ser>
          <c:idx val="0"/>
          <c:order val="2"/>
          <c:tx>
            <c:strRef>
              <c:f>'Viajeros entr evol mensu TF'!$K$227:$L$227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D24-4444-8C41-A5242D711F95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TF'!$K$229:$K$241</c:f>
              <c:numCache>
                <c:formatCode>#,##0</c:formatCode>
                <c:ptCount val="13"/>
                <c:pt idx="0">
                  <c:v>81</c:v>
                </c:pt>
                <c:pt idx="1">
                  <c:v>33</c:v>
                </c:pt>
                <c:pt idx="2">
                  <c:v>71</c:v>
                </c:pt>
                <c:pt idx="3">
                  <c:v>44</c:v>
                </c:pt>
                <c:pt idx="4">
                  <c:v>32</c:v>
                </c:pt>
                <c:pt idx="5">
                  <c:v>32</c:v>
                </c:pt>
                <c:pt idx="6">
                  <c:v>43</c:v>
                </c:pt>
                <c:pt idx="7">
                  <c:v>49</c:v>
                </c:pt>
                <c:pt idx="8">
                  <c:v>41</c:v>
                </c:pt>
                <c:pt idx="9">
                  <c:v>40</c:v>
                </c:pt>
                <c:pt idx="10">
                  <c:v>105</c:v>
                </c:pt>
                <c:pt idx="11">
                  <c:v>79</c:v>
                </c:pt>
                <c:pt idx="12">
                  <c:v>650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D24-4444-8C41-A5242D711F95}"/>
            </c:ext>
          </c:extLst>
        </c:ser>
        <c:ser>
          <c:idx val="1"/>
          <c:order val="3"/>
          <c:tx>
            <c:strRef>
              <c:f>'Viajeros entr evol mensu TF'!$M$227:$N$227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4D24-4444-8C41-A5242D711F9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4D24-4444-8C41-A5242D711F95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TF'!$M$229:$M$241</c:f>
              <c:numCache>
                <c:formatCode>#,##0</c:formatCode>
                <c:ptCount val="13"/>
                <c:pt idx="0">
                  <c:v>171</c:v>
                </c:pt>
                <c:pt idx="1">
                  <c:v>95</c:v>
                </c:pt>
                <c:pt idx="2">
                  <c:v>93</c:v>
                </c:pt>
                <c:pt idx="3">
                  <c:v>87</c:v>
                </c:pt>
                <c:pt idx="4">
                  <c:v>49</c:v>
                </c:pt>
                <c:pt idx="5">
                  <c:v>19</c:v>
                </c:pt>
                <c:pt idx="6">
                  <c:v>25</c:v>
                </c:pt>
                <c:pt idx="7">
                  <c:v>59</c:v>
                </c:pt>
                <c:pt idx="8">
                  <c:v>41</c:v>
                </c:pt>
                <c:pt idx="12">
                  <c:v>639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D24-4444-8C41-A5242D711F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TF'!$N$228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D24-4444-8C41-A5242D711F9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D24-4444-8C41-A5242D711F9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D24-4444-8C41-A5242D711F9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D24-4444-8C41-A5242D711F9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D24-4444-8C41-A5242D711F9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D24-4444-8C41-A5242D711F9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D24-4444-8C41-A5242D711F9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D24-4444-8C41-A5242D711F9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D24-4444-8C41-A5242D711F9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D24-4444-8C41-A5242D711F9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D24-4444-8C41-A5242D711F9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D24-4444-8C41-A5242D711F9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D24-4444-8C41-A5242D711F95}"/>
              </c:ext>
            </c:extLst>
          </c:dPt>
          <c:cat>
            <c:strRef>
              <c:f>'Viajeros entr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TF'!$N$229:$N$241</c:f>
              <c:numCache>
                <c:formatCode>0.0%</c:formatCode>
                <c:ptCount val="13"/>
                <c:pt idx="0">
                  <c:v>1.1111111111111112</c:v>
                </c:pt>
                <c:pt idx="1">
                  <c:v>1.8787878787878789</c:v>
                </c:pt>
                <c:pt idx="2">
                  <c:v>0.3098591549295775</c:v>
                </c:pt>
                <c:pt idx="3">
                  <c:v>0.97727272727272729</c:v>
                </c:pt>
                <c:pt idx="4">
                  <c:v>0.53125</c:v>
                </c:pt>
                <c:pt idx="5">
                  <c:v>-0.40625</c:v>
                </c:pt>
                <c:pt idx="6">
                  <c:v>-0.41860465116279066</c:v>
                </c:pt>
                <c:pt idx="7">
                  <c:v>0.20408163265306123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4D24-4444-8C41-A5242D711F95}"/>
            </c:ext>
          </c:extLst>
        </c:ser>
        <c:ser>
          <c:idx val="4"/>
          <c:order val="5"/>
          <c:tx>
            <c:strRef>
              <c:f>'Viajeros entr evol mensu TF'!$O$228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TF'!$O$229:$O$241</c:f>
              <c:numCache>
                <c:formatCode>0.0%</c:formatCode>
                <c:ptCount val="13"/>
                <c:pt idx="0">
                  <c:v>1.310810810810811</c:v>
                </c:pt>
                <c:pt idx="1">
                  <c:v>0.484375</c:v>
                </c:pt>
                <c:pt idx="2">
                  <c:v>0.52459016393442615</c:v>
                </c:pt>
                <c:pt idx="3">
                  <c:v>0.85106382978723394</c:v>
                </c:pt>
                <c:pt idx="4">
                  <c:v>1.5789473684210527</c:v>
                </c:pt>
                <c:pt idx="5">
                  <c:v>-0.56818181818181812</c:v>
                </c:pt>
                <c:pt idx="6">
                  <c:v>-3.8461538461538436E-2</c:v>
                </c:pt>
                <c:pt idx="7">
                  <c:v>1.6818181818181817</c:v>
                </c:pt>
                <c:pt idx="8">
                  <c:v>1.5625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0.71313672922252014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4D24-4444-8C41-A5242D711F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TF'!$C$249:$D$249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02E-4B85-9A13-94A740D5A0A6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TF'!$C$251:$C$263</c:f>
              <c:numCache>
                <c:formatCode>#,##0</c:formatCode>
                <c:ptCount val="13"/>
                <c:pt idx="0">
                  <c:v>36</c:v>
                </c:pt>
                <c:pt idx="1">
                  <c:v>34</c:v>
                </c:pt>
                <c:pt idx="2">
                  <c:v>15</c:v>
                </c:pt>
                <c:pt idx="3">
                  <c:v>6</c:v>
                </c:pt>
                <c:pt idx="4">
                  <c:v>4</c:v>
                </c:pt>
                <c:pt idx="5">
                  <c:v>6</c:v>
                </c:pt>
                <c:pt idx="6">
                  <c:v>3</c:v>
                </c:pt>
                <c:pt idx="7">
                  <c:v>1</c:v>
                </c:pt>
                <c:pt idx="8">
                  <c:v>2</c:v>
                </c:pt>
                <c:pt idx="9">
                  <c:v>12</c:v>
                </c:pt>
                <c:pt idx="10">
                  <c:v>16</c:v>
                </c:pt>
                <c:pt idx="11">
                  <c:v>20</c:v>
                </c:pt>
                <c:pt idx="12">
                  <c:v>155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02E-4B85-9A13-94A740D5A0A6}"/>
            </c:ext>
          </c:extLst>
        </c:ser>
        <c:ser>
          <c:idx val="5"/>
          <c:order val="1"/>
          <c:tx>
            <c:strRef>
              <c:f>'Viajeros entr evol mensu TF'!$I$249:$J$249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02E-4B85-9A13-94A740D5A0A6}"/>
              </c:ext>
            </c:extLst>
          </c:dPt>
          <c:val>
            <c:numRef>
              <c:f>'Viajeros entr evol mensu TF'!$I$251:$I$263</c:f>
              <c:numCache>
                <c:formatCode>#,##0</c:formatCode>
                <c:ptCount val="13"/>
                <c:pt idx="0">
                  <c:v>50</c:v>
                </c:pt>
                <c:pt idx="1">
                  <c:v>65</c:v>
                </c:pt>
                <c:pt idx="2">
                  <c:v>44</c:v>
                </c:pt>
                <c:pt idx="3">
                  <c:v>10</c:v>
                </c:pt>
                <c:pt idx="4">
                  <c:v>6</c:v>
                </c:pt>
                <c:pt idx="5">
                  <c:v>7</c:v>
                </c:pt>
                <c:pt idx="6">
                  <c:v>8</c:v>
                </c:pt>
                <c:pt idx="7">
                  <c:v>27</c:v>
                </c:pt>
                <c:pt idx="8">
                  <c:v>5</c:v>
                </c:pt>
                <c:pt idx="9">
                  <c:v>14</c:v>
                </c:pt>
                <c:pt idx="10">
                  <c:v>12</c:v>
                </c:pt>
                <c:pt idx="11">
                  <c:v>22</c:v>
                </c:pt>
                <c:pt idx="12">
                  <c:v>270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02E-4B85-9A13-94A740D5A0A6}"/>
            </c:ext>
          </c:extLst>
        </c:ser>
        <c:ser>
          <c:idx val="0"/>
          <c:order val="2"/>
          <c:tx>
            <c:strRef>
              <c:f>'Viajeros entr evol mensu TF'!$K$249:$L$249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02E-4B85-9A13-94A740D5A0A6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TF'!$K$251:$K$263</c:f>
              <c:numCache>
                <c:formatCode>#,##0</c:formatCode>
                <c:ptCount val="13"/>
                <c:pt idx="0">
                  <c:v>36</c:v>
                </c:pt>
                <c:pt idx="1">
                  <c:v>17</c:v>
                </c:pt>
                <c:pt idx="2">
                  <c:v>14</c:v>
                </c:pt>
                <c:pt idx="3">
                  <c:v>16</c:v>
                </c:pt>
                <c:pt idx="4">
                  <c:v>2</c:v>
                </c:pt>
                <c:pt idx="5">
                  <c:v>2</c:v>
                </c:pt>
                <c:pt idx="6">
                  <c:v>9</c:v>
                </c:pt>
                <c:pt idx="7">
                  <c:v>6</c:v>
                </c:pt>
                <c:pt idx="8">
                  <c:v>4</c:v>
                </c:pt>
                <c:pt idx="9">
                  <c:v>6</c:v>
                </c:pt>
                <c:pt idx="10">
                  <c:v>24</c:v>
                </c:pt>
                <c:pt idx="11">
                  <c:v>17</c:v>
                </c:pt>
                <c:pt idx="12">
                  <c:v>153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02E-4B85-9A13-94A740D5A0A6}"/>
            </c:ext>
          </c:extLst>
        </c:ser>
        <c:ser>
          <c:idx val="1"/>
          <c:order val="3"/>
          <c:tx>
            <c:strRef>
              <c:f>'Viajeros entr evol mensu TF'!$M$249:$N$249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F02E-4B85-9A13-94A740D5A0A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F02E-4B85-9A13-94A740D5A0A6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TF'!$M$251:$M$263</c:f>
              <c:numCache>
                <c:formatCode>#,##0</c:formatCode>
                <c:ptCount val="13"/>
                <c:pt idx="0">
                  <c:v>58</c:v>
                </c:pt>
                <c:pt idx="1">
                  <c:v>33</c:v>
                </c:pt>
                <c:pt idx="2">
                  <c:v>13</c:v>
                </c:pt>
                <c:pt idx="3">
                  <c:v>0</c:v>
                </c:pt>
                <c:pt idx="4">
                  <c:v>0</c:v>
                </c:pt>
                <c:pt idx="5">
                  <c:v>47</c:v>
                </c:pt>
                <c:pt idx="6">
                  <c:v>10</c:v>
                </c:pt>
                <c:pt idx="7">
                  <c:v>4</c:v>
                </c:pt>
                <c:pt idx="8">
                  <c:v>13</c:v>
                </c:pt>
                <c:pt idx="12">
                  <c:v>178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02E-4B85-9A13-94A740D5A0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TF'!$N$250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02E-4B85-9A13-94A740D5A0A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02E-4B85-9A13-94A740D5A0A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02E-4B85-9A13-94A740D5A0A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02E-4B85-9A13-94A740D5A0A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02E-4B85-9A13-94A740D5A0A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02E-4B85-9A13-94A740D5A0A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02E-4B85-9A13-94A740D5A0A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02E-4B85-9A13-94A740D5A0A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02E-4B85-9A13-94A740D5A0A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02E-4B85-9A13-94A740D5A0A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02E-4B85-9A13-94A740D5A0A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02E-4B85-9A13-94A740D5A0A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02E-4B85-9A13-94A740D5A0A6}"/>
              </c:ext>
            </c:extLst>
          </c:dPt>
          <c:cat>
            <c:strRef>
              <c:f>'Viajeros entr evol mensu TF'!$B$251:$B$262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TF'!$N$251:$N$263</c:f>
              <c:numCache>
                <c:formatCode>0.0%</c:formatCode>
                <c:ptCount val="13"/>
                <c:pt idx="0">
                  <c:v>0.61111111111111116</c:v>
                </c:pt>
                <c:pt idx="1">
                  <c:v>0.94117647058823528</c:v>
                </c:pt>
                <c:pt idx="2">
                  <c:v>-7.1428571428571397E-2</c:v>
                </c:pt>
                <c:pt idx="3">
                  <c:v>-1</c:v>
                </c:pt>
                <c:pt idx="4">
                  <c:v>-1</c:v>
                </c:pt>
                <c:pt idx="5">
                  <c:v>22.5</c:v>
                </c:pt>
                <c:pt idx="6">
                  <c:v>0.11111111111111116</c:v>
                </c:pt>
                <c:pt idx="7">
                  <c:v>-0.33333333333333337</c:v>
                </c:pt>
                <c:pt idx="8">
                  <c:v>2.25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0.679245283018868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F02E-4B85-9A13-94A740D5A0A6}"/>
            </c:ext>
          </c:extLst>
        </c:ser>
        <c:ser>
          <c:idx val="4"/>
          <c:order val="5"/>
          <c:tx>
            <c:strRef>
              <c:f>'Viajeros entr evol mensu TF'!$O$250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TF'!$O$251:$O$263</c:f>
              <c:numCache>
                <c:formatCode>0.0%</c:formatCode>
                <c:ptCount val="13"/>
                <c:pt idx="0">
                  <c:v>0.61111111111111116</c:v>
                </c:pt>
                <c:pt idx="1">
                  <c:v>-2.9411764705882359E-2</c:v>
                </c:pt>
                <c:pt idx="2">
                  <c:v>-0.1333333333333333</c:v>
                </c:pt>
                <c:pt idx="3">
                  <c:v>-1</c:v>
                </c:pt>
                <c:pt idx="4">
                  <c:v>-1</c:v>
                </c:pt>
                <c:pt idx="5">
                  <c:v>6.833333333333333</c:v>
                </c:pt>
                <c:pt idx="6">
                  <c:v>2.3333333333333335</c:v>
                </c:pt>
                <c:pt idx="7">
                  <c:v>3</c:v>
                </c:pt>
                <c:pt idx="8">
                  <c:v>5.5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0.66355140186915884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F02E-4B85-9A13-94A740D5A0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TF'!$C$271:$D$271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30F-4FD5-AD25-E31BC77D0202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TF'!$C$273:$C$285</c:f>
              <c:numCache>
                <c:formatCode>#,##0</c:formatCode>
                <c:ptCount val="13"/>
                <c:pt idx="0">
                  <c:v>16</c:v>
                </c:pt>
                <c:pt idx="1">
                  <c:v>33</c:v>
                </c:pt>
                <c:pt idx="2">
                  <c:v>38</c:v>
                </c:pt>
                <c:pt idx="3">
                  <c:v>15</c:v>
                </c:pt>
                <c:pt idx="4">
                  <c:v>3</c:v>
                </c:pt>
                <c:pt idx="5">
                  <c:v>21</c:v>
                </c:pt>
                <c:pt idx="6">
                  <c:v>13</c:v>
                </c:pt>
                <c:pt idx="7">
                  <c:v>7</c:v>
                </c:pt>
                <c:pt idx="8">
                  <c:v>0</c:v>
                </c:pt>
                <c:pt idx="9">
                  <c:v>22</c:v>
                </c:pt>
                <c:pt idx="10">
                  <c:v>62</c:v>
                </c:pt>
                <c:pt idx="11">
                  <c:v>41</c:v>
                </c:pt>
                <c:pt idx="12">
                  <c:v>271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30F-4FD5-AD25-E31BC77D0202}"/>
            </c:ext>
          </c:extLst>
        </c:ser>
        <c:ser>
          <c:idx val="5"/>
          <c:order val="1"/>
          <c:tx>
            <c:strRef>
              <c:f>'Viajeros entr evol mensu TF'!$I$271:$J$271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30F-4FD5-AD25-E31BC77D0202}"/>
              </c:ext>
            </c:extLst>
          </c:dPt>
          <c:val>
            <c:numRef>
              <c:f>'Viajeros entr evol mensu TF'!$I$273:$I$285</c:f>
              <c:numCache>
                <c:formatCode>#,##0</c:formatCode>
                <c:ptCount val="13"/>
                <c:pt idx="0">
                  <c:v>37</c:v>
                </c:pt>
                <c:pt idx="1">
                  <c:v>10</c:v>
                </c:pt>
                <c:pt idx="2">
                  <c:v>22</c:v>
                </c:pt>
                <c:pt idx="3">
                  <c:v>2</c:v>
                </c:pt>
                <c:pt idx="4">
                  <c:v>6</c:v>
                </c:pt>
                <c:pt idx="5">
                  <c:v>22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11</c:v>
                </c:pt>
                <c:pt idx="10">
                  <c:v>8</c:v>
                </c:pt>
                <c:pt idx="11">
                  <c:v>35</c:v>
                </c:pt>
                <c:pt idx="12">
                  <c:v>168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30F-4FD5-AD25-E31BC77D0202}"/>
            </c:ext>
          </c:extLst>
        </c:ser>
        <c:ser>
          <c:idx val="0"/>
          <c:order val="2"/>
          <c:tx>
            <c:strRef>
              <c:f>'Viajeros entr evol mensu TF'!$K$271:$L$271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30F-4FD5-AD25-E31BC77D0202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TF'!$K$273:$K$285</c:f>
              <c:numCache>
                <c:formatCode>#,##0</c:formatCode>
                <c:ptCount val="13"/>
                <c:pt idx="0">
                  <c:v>64</c:v>
                </c:pt>
                <c:pt idx="1">
                  <c:v>16</c:v>
                </c:pt>
                <c:pt idx="2">
                  <c:v>38</c:v>
                </c:pt>
                <c:pt idx="3">
                  <c:v>22</c:v>
                </c:pt>
                <c:pt idx="4">
                  <c:v>6</c:v>
                </c:pt>
                <c:pt idx="5">
                  <c:v>9</c:v>
                </c:pt>
                <c:pt idx="6">
                  <c:v>9</c:v>
                </c:pt>
                <c:pt idx="7">
                  <c:v>14</c:v>
                </c:pt>
                <c:pt idx="8">
                  <c:v>12</c:v>
                </c:pt>
                <c:pt idx="9">
                  <c:v>16</c:v>
                </c:pt>
                <c:pt idx="10">
                  <c:v>32</c:v>
                </c:pt>
                <c:pt idx="11">
                  <c:v>32</c:v>
                </c:pt>
                <c:pt idx="12">
                  <c:v>270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30F-4FD5-AD25-E31BC77D0202}"/>
            </c:ext>
          </c:extLst>
        </c:ser>
        <c:ser>
          <c:idx val="1"/>
          <c:order val="3"/>
          <c:tx>
            <c:strRef>
              <c:f>'Viajeros entr evol mensu TF'!$M$271:$N$271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630F-4FD5-AD25-E31BC77D020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630F-4FD5-AD25-E31BC77D0202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TF'!$M$273:$M$285</c:f>
              <c:numCache>
                <c:formatCode>#,##0</c:formatCode>
                <c:ptCount val="13"/>
                <c:pt idx="0">
                  <c:v>161</c:v>
                </c:pt>
                <c:pt idx="1">
                  <c:v>45</c:v>
                </c:pt>
                <c:pt idx="2">
                  <c:v>35</c:v>
                </c:pt>
                <c:pt idx="3">
                  <c:v>20</c:v>
                </c:pt>
                <c:pt idx="4">
                  <c:v>4</c:v>
                </c:pt>
                <c:pt idx="5">
                  <c:v>0</c:v>
                </c:pt>
                <c:pt idx="6">
                  <c:v>2</c:v>
                </c:pt>
                <c:pt idx="7">
                  <c:v>5</c:v>
                </c:pt>
                <c:pt idx="8">
                  <c:v>10</c:v>
                </c:pt>
                <c:pt idx="12">
                  <c:v>282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30F-4FD5-AD25-E31BC77D02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TF'!$N$272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30F-4FD5-AD25-E31BC77D020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30F-4FD5-AD25-E31BC77D020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30F-4FD5-AD25-E31BC77D020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30F-4FD5-AD25-E31BC77D020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30F-4FD5-AD25-E31BC77D020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30F-4FD5-AD25-E31BC77D020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30F-4FD5-AD25-E31BC77D020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30F-4FD5-AD25-E31BC77D020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30F-4FD5-AD25-E31BC77D020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30F-4FD5-AD25-E31BC77D020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30F-4FD5-AD25-E31BC77D020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30F-4FD5-AD25-E31BC77D020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30F-4FD5-AD25-E31BC77D0202}"/>
              </c:ext>
            </c:extLst>
          </c:dPt>
          <c:cat>
            <c:strRef>
              <c:f>'Viajeros entr evol mensu TF'!$B$273:$B$284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TF'!$N$273:$N$285</c:f>
              <c:numCache>
                <c:formatCode>0.0%</c:formatCode>
                <c:ptCount val="13"/>
                <c:pt idx="0">
                  <c:v>1.515625</c:v>
                </c:pt>
                <c:pt idx="1">
                  <c:v>1.8125</c:v>
                </c:pt>
                <c:pt idx="2">
                  <c:v>-7.8947368421052655E-2</c:v>
                </c:pt>
                <c:pt idx="3">
                  <c:v>-9.0909090909090939E-2</c:v>
                </c:pt>
                <c:pt idx="4">
                  <c:v>-0.33333333333333337</c:v>
                </c:pt>
                <c:pt idx="5">
                  <c:v>-1</c:v>
                </c:pt>
                <c:pt idx="6">
                  <c:v>-0.77777777777777779</c:v>
                </c:pt>
                <c:pt idx="7">
                  <c:v>-0.64285714285714279</c:v>
                </c:pt>
                <c:pt idx="8">
                  <c:v>-0.16666666666666663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0.48421052631578942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630F-4FD5-AD25-E31BC77D0202}"/>
            </c:ext>
          </c:extLst>
        </c:ser>
        <c:ser>
          <c:idx val="4"/>
          <c:order val="5"/>
          <c:tx>
            <c:strRef>
              <c:f>'Viajeros entr evol mensu TF'!$O$272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TF'!$O$273:$O$285</c:f>
              <c:numCache>
                <c:formatCode>0.0%</c:formatCode>
                <c:ptCount val="13"/>
                <c:pt idx="0">
                  <c:v>9.0625</c:v>
                </c:pt>
                <c:pt idx="1">
                  <c:v>0.36363636363636354</c:v>
                </c:pt>
                <c:pt idx="2">
                  <c:v>-7.8947368421052655E-2</c:v>
                </c:pt>
                <c:pt idx="3">
                  <c:v>0.33333333333333326</c:v>
                </c:pt>
                <c:pt idx="4">
                  <c:v>0.33333333333333326</c:v>
                </c:pt>
                <c:pt idx="5">
                  <c:v>-1</c:v>
                </c:pt>
                <c:pt idx="6">
                  <c:v>-0.84615384615384615</c:v>
                </c:pt>
                <c:pt idx="7">
                  <c:v>-0.2857142857142857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0.93150684931506844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630F-4FD5-AD25-E31BC77D02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 cat'!$C$7:$D$7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475-45CB-BE2A-86F4AEA90809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cat'!$C$9:$C$21</c:f>
              <c:numCache>
                <c:formatCode>#,##0</c:formatCode>
                <c:ptCount val="13"/>
                <c:pt idx="0">
                  <c:v>4716</c:v>
                </c:pt>
                <c:pt idx="1">
                  <c:v>4935</c:v>
                </c:pt>
                <c:pt idx="2">
                  <c:v>5148</c:v>
                </c:pt>
                <c:pt idx="3">
                  <c:v>4194</c:v>
                </c:pt>
                <c:pt idx="4">
                  <c:v>4065</c:v>
                </c:pt>
                <c:pt idx="5">
                  <c:v>3920</c:v>
                </c:pt>
                <c:pt idx="6">
                  <c:v>4387</c:v>
                </c:pt>
                <c:pt idx="7">
                  <c:v>4223</c:v>
                </c:pt>
                <c:pt idx="8">
                  <c:v>3835</c:v>
                </c:pt>
                <c:pt idx="9">
                  <c:v>4677</c:v>
                </c:pt>
                <c:pt idx="10">
                  <c:v>6020</c:v>
                </c:pt>
                <c:pt idx="11">
                  <c:v>5767</c:v>
                </c:pt>
                <c:pt idx="12">
                  <c:v>55887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475-45CB-BE2A-86F4AEA90809}"/>
            </c:ext>
          </c:extLst>
        </c:ser>
        <c:ser>
          <c:idx val="5"/>
          <c:order val="1"/>
          <c:tx>
            <c:strRef>
              <c:f>'Viajeros entr evol mensu TF cat'!$I$7:$J$7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475-45CB-BE2A-86F4AEA90809}"/>
              </c:ext>
            </c:extLst>
          </c:dPt>
          <c:val>
            <c:numRef>
              <c:f>'Viajeros entr evol mensu TF cat'!$I$9:$I$21</c:f>
              <c:numCache>
                <c:formatCode>#,##0</c:formatCode>
                <c:ptCount val="13"/>
                <c:pt idx="0">
                  <c:v>3527</c:v>
                </c:pt>
                <c:pt idx="1">
                  <c:v>4177</c:v>
                </c:pt>
                <c:pt idx="2">
                  <c:v>4740</c:v>
                </c:pt>
                <c:pt idx="3">
                  <c:v>4075</c:v>
                </c:pt>
                <c:pt idx="4">
                  <c:v>3632</c:v>
                </c:pt>
                <c:pt idx="5">
                  <c:v>4520</c:v>
                </c:pt>
                <c:pt idx="6">
                  <c:v>4275</c:v>
                </c:pt>
                <c:pt idx="7">
                  <c:v>3932</c:v>
                </c:pt>
                <c:pt idx="8">
                  <c:v>4578</c:v>
                </c:pt>
                <c:pt idx="9">
                  <c:v>4025</c:v>
                </c:pt>
                <c:pt idx="10">
                  <c:v>4838</c:v>
                </c:pt>
                <c:pt idx="11">
                  <c:v>5166</c:v>
                </c:pt>
                <c:pt idx="12">
                  <c:v>51485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475-45CB-BE2A-86F4AEA90809}"/>
            </c:ext>
          </c:extLst>
        </c:ser>
        <c:ser>
          <c:idx val="0"/>
          <c:order val="2"/>
          <c:tx>
            <c:strRef>
              <c:f>'Viajeros entr evol mensu TF cat'!$K$7:$L$7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475-45CB-BE2A-86F4AEA90809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cat'!$K$9:$K$21</c:f>
              <c:numCache>
                <c:formatCode>#,##0</c:formatCode>
                <c:ptCount val="13"/>
                <c:pt idx="0">
                  <c:v>5390</c:v>
                </c:pt>
                <c:pt idx="1">
                  <c:v>5270</c:v>
                </c:pt>
                <c:pt idx="2">
                  <c:v>5659</c:v>
                </c:pt>
                <c:pt idx="3">
                  <c:v>5170</c:v>
                </c:pt>
                <c:pt idx="4">
                  <c:v>5013</c:v>
                </c:pt>
                <c:pt idx="5">
                  <c:v>4181</c:v>
                </c:pt>
                <c:pt idx="6">
                  <c:v>4340</c:v>
                </c:pt>
                <c:pt idx="7">
                  <c:v>4645</c:v>
                </c:pt>
                <c:pt idx="8">
                  <c:v>4521</c:v>
                </c:pt>
                <c:pt idx="9">
                  <c:v>4419</c:v>
                </c:pt>
                <c:pt idx="10">
                  <c:v>4964</c:v>
                </c:pt>
                <c:pt idx="11">
                  <c:v>4585</c:v>
                </c:pt>
                <c:pt idx="12">
                  <c:v>58157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475-45CB-BE2A-86F4AEA90809}"/>
            </c:ext>
          </c:extLst>
        </c:ser>
        <c:ser>
          <c:idx val="1"/>
          <c:order val="3"/>
          <c:tx>
            <c:strRef>
              <c:f>'Viajeros entr evol mensu TF cat'!$M$7:$N$7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B475-45CB-BE2A-86F4AEA9080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B475-45CB-BE2A-86F4AEA90809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cat'!$M$9:$M$21</c:f>
              <c:numCache>
                <c:formatCode>#,##0</c:formatCode>
                <c:ptCount val="13"/>
                <c:pt idx="0">
                  <c:v>5217</c:v>
                </c:pt>
                <c:pt idx="1">
                  <c:v>4803</c:v>
                </c:pt>
                <c:pt idx="2">
                  <c:v>5168</c:v>
                </c:pt>
                <c:pt idx="3">
                  <c:v>5054</c:v>
                </c:pt>
                <c:pt idx="4">
                  <c:v>4992</c:v>
                </c:pt>
                <c:pt idx="5">
                  <c:v>3964</c:v>
                </c:pt>
                <c:pt idx="6">
                  <c:v>4593</c:v>
                </c:pt>
                <c:pt idx="7">
                  <c:v>2899</c:v>
                </c:pt>
                <c:pt idx="8">
                  <c:v>5087</c:v>
                </c:pt>
                <c:pt idx="12">
                  <c:v>41777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B475-45CB-BE2A-86F4AEA908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475-45CB-BE2A-86F4AEA9080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475-45CB-BE2A-86F4AEA9080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475-45CB-BE2A-86F4AEA9080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475-45CB-BE2A-86F4AEA9080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475-45CB-BE2A-86F4AEA9080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475-45CB-BE2A-86F4AEA9080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475-45CB-BE2A-86F4AEA9080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475-45CB-BE2A-86F4AEA9080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475-45CB-BE2A-86F4AEA9080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475-45CB-BE2A-86F4AEA9080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475-45CB-BE2A-86F4AEA9080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475-45CB-BE2A-86F4AEA9080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475-45CB-BE2A-86F4AEA90809}"/>
              </c:ext>
            </c:extLst>
          </c:dPt>
          <c:cat>
            <c:strRef>
              <c:f>'Viajeros entr evol mensu TF cat'!$B$9:$B$20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cat'!$N$9:$N$21</c:f>
              <c:numCache>
                <c:formatCode>0.0%</c:formatCode>
                <c:ptCount val="13"/>
                <c:pt idx="0">
                  <c:v>-3.2096474953617782E-2</c:v>
                </c:pt>
                <c:pt idx="1">
                  <c:v>-8.861480075901329E-2</c:v>
                </c:pt>
                <c:pt idx="2">
                  <c:v>-8.6764446015197061E-2</c:v>
                </c:pt>
                <c:pt idx="3">
                  <c:v>-2.2437137330754364E-2</c:v>
                </c:pt>
                <c:pt idx="4">
                  <c:v>-4.1891083183722699E-3</c:v>
                </c:pt>
                <c:pt idx="5">
                  <c:v>-5.1901458981104986E-2</c:v>
                </c:pt>
                <c:pt idx="6">
                  <c:v>5.8294930875576023E-2</c:v>
                </c:pt>
                <c:pt idx="7">
                  <c:v>-0.37588805166846073</c:v>
                </c:pt>
                <c:pt idx="8">
                  <c:v>0.12519354125193538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-5.4583719930299424E-2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B475-45CB-BE2A-86F4AEA90809}"/>
            </c:ext>
          </c:extLst>
        </c:ser>
        <c:ser>
          <c:idx val="4"/>
          <c:order val="5"/>
          <c:tx>
            <c:strRef>
              <c:f>'Viajeros entr evol mensu TF cat'!$O$8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'Viajeros entr evol mensu TF cat'!$O$9:$O$21</c:f>
              <c:numCache>
                <c:formatCode>0.0%</c:formatCode>
                <c:ptCount val="13"/>
                <c:pt idx="0">
                  <c:v>0.10623409669211203</c:v>
                </c:pt>
                <c:pt idx="1">
                  <c:v>-2.6747720364741601E-2</c:v>
                </c:pt>
                <c:pt idx="2">
                  <c:v>3.8850038850037905E-3</c:v>
                </c:pt>
                <c:pt idx="3">
                  <c:v>0.20505484024797327</c:v>
                </c:pt>
                <c:pt idx="4">
                  <c:v>0.22804428044280445</c:v>
                </c:pt>
                <c:pt idx="5">
                  <c:v>1.1224489795918391E-2</c:v>
                </c:pt>
                <c:pt idx="6">
                  <c:v>4.6956918167312622E-2</c:v>
                </c:pt>
                <c:pt idx="7">
                  <c:v>-0.3135211934643618</c:v>
                </c:pt>
                <c:pt idx="8">
                  <c:v>0.32646675358539756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5.9711336022119088E-2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B475-45CB-BE2A-86F4AEA908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 cat'!$C$29:$D$29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5BC-4CF0-A637-1B9D1C2F4FF4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cat'!$C$31:$C$43</c:f>
              <c:numCache>
                <c:formatCode>#,##0</c:formatCode>
                <c:ptCount val="13"/>
                <c:pt idx="0">
                  <c:v>4716</c:v>
                </c:pt>
                <c:pt idx="1">
                  <c:v>4935</c:v>
                </c:pt>
                <c:pt idx="2">
                  <c:v>5148</c:v>
                </c:pt>
                <c:pt idx="3">
                  <c:v>4194</c:v>
                </c:pt>
                <c:pt idx="4">
                  <c:v>4065</c:v>
                </c:pt>
                <c:pt idx="5">
                  <c:v>3920</c:v>
                </c:pt>
                <c:pt idx="6">
                  <c:v>4387</c:v>
                </c:pt>
                <c:pt idx="7">
                  <c:v>4223</c:v>
                </c:pt>
                <c:pt idx="8">
                  <c:v>3835</c:v>
                </c:pt>
                <c:pt idx="9">
                  <c:v>4677</c:v>
                </c:pt>
                <c:pt idx="10">
                  <c:v>6020</c:v>
                </c:pt>
                <c:pt idx="11">
                  <c:v>5767</c:v>
                </c:pt>
                <c:pt idx="12">
                  <c:v>55887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5BC-4CF0-A637-1B9D1C2F4FF4}"/>
            </c:ext>
          </c:extLst>
        </c:ser>
        <c:ser>
          <c:idx val="5"/>
          <c:order val="1"/>
          <c:tx>
            <c:strRef>
              <c:f>'Viajeros entr evol mensu TF cat'!$I$29:$J$29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5BC-4CF0-A637-1B9D1C2F4FF4}"/>
              </c:ext>
            </c:extLst>
          </c:dPt>
          <c:val>
            <c:numRef>
              <c:f>'Viajeros entr evol mensu TF cat'!$I$31:$I$43</c:f>
              <c:numCache>
                <c:formatCode>#,##0</c:formatCode>
                <c:ptCount val="13"/>
                <c:pt idx="0">
                  <c:v>3527</c:v>
                </c:pt>
                <c:pt idx="1">
                  <c:v>4177</c:v>
                </c:pt>
                <c:pt idx="2">
                  <c:v>4740</c:v>
                </c:pt>
                <c:pt idx="3">
                  <c:v>4075</c:v>
                </c:pt>
                <c:pt idx="4">
                  <c:v>3632</c:v>
                </c:pt>
                <c:pt idx="5">
                  <c:v>4520</c:v>
                </c:pt>
                <c:pt idx="6">
                  <c:v>4275</c:v>
                </c:pt>
                <c:pt idx="7">
                  <c:v>3932</c:v>
                </c:pt>
                <c:pt idx="8">
                  <c:v>4578</c:v>
                </c:pt>
                <c:pt idx="9">
                  <c:v>4025</c:v>
                </c:pt>
                <c:pt idx="10">
                  <c:v>4838</c:v>
                </c:pt>
                <c:pt idx="11">
                  <c:v>5166</c:v>
                </c:pt>
                <c:pt idx="12">
                  <c:v>51485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5BC-4CF0-A637-1B9D1C2F4FF4}"/>
            </c:ext>
          </c:extLst>
        </c:ser>
        <c:ser>
          <c:idx val="0"/>
          <c:order val="2"/>
          <c:tx>
            <c:strRef>
              <c:f>'Viajeros entr evol mensu TF cat'!$K$29:$L$29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5BC-4CF0-A637-1B9D1C2F4FF4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cat'!$K$31:$K$43</c:f>
              <c:numCache>
                <c:formatCode>#,##0</c:formatCode>
                <c:ptCount val="13"/>
                <c:pt idx="0">
                  <c:v>5390</c:v>
                </c:pt>
                <c:pt idx="1">
                  <c:v>5270</c:v>
                </c:pt>
                <c:pt idx="2">
                  <c:v>5659</c:v>
                </c:pt>
                <c:pt idx="3">
                  <c:v>5170</c:v>
                </c:pt>
                <c:pt idx="4">
                  <c:v>5013</c:v>
                </c:pt>
                <c:pt idx="5">
                  <c:v>4181</c:v>
                </c:pt>
                <c:pt idx="6">
                  <c:v>4340</c:v>
                </c:pt>
                <c:pt idx="7">
                  <c:v>4645</c:v>
                </c:pt>
                <c:pt idx="8">
                  <c:v>4521</c:v>
                </c:pt>
                <c:pt idx="9">
                  <c:v>4419</c:v>
                </c:pt>
                <c:pt idx="10">
                  <c:v>4964</c:v>
                </c:pt>
                <c:pt idx="11">
                  <c:v>4585</c:v>
                </c:pt>
                <c:pt idx="12">
                  <c:v>58157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5BC-4CF0-A637-1B9D1C2F4FF4}"/>
            </c:ext>
          </c:extLst>
        </c:ser>
        <c:ser>
          <c:idx val="1"/>
          <c:order val="3"/>
          <c:tx>
            <c:strRef>
              <c:f>'Viajeros entr evol mensu TF cat'!$M$29:$N$29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C5BC-4CF0-A637-1B9D1C2F4FF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C5BC-4CF0-A637-1B9D1C2F4FF4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cat'!$M$31:$M$43</c:f>
              <c:numCache>
                <c:formatCode>#,##0</c:formatCode>
                <c:ptCount val="13"/>
                <c:pt idx="0">
                  <c:v>5217</c:v>
                </c:pt>
                <c:pt idx="1">
                  <c:v>4803</c:v>
                </c:pt>
                <c:pt idx="2">
                  <c:v>5168</c:v>
                </c:pt>
                <c:pt idx="3">
                  <c:v>5054</c:v>
                </c:pt>
                <c:pt idx="4">
                  <c:v>4992</c:v>
                </c:pt>
                <c:pt idx="5">
                  <c:v>3964</c:v>
                </c:pt>
                <c:pt idx="6">
                  <c:v>4593</c:v>
                </c:pt>
                <c:pt idx="7">
                  <c:v>2899</c:v>
                </c:pt>
                <c:pt idx="8">
                  <c:v>5087</c:v>
                </c:pt>
                <c:pt idx="12">
                  <c:v>41777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5BC-4CF0-A637-1B9D1C2F4F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cat'!$N$30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5BC-4CF0-A637-1B9D1C2F4FF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5BC-4CF0-A637-1B9D1C2F4FF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5BC-4CF0-A637-1B9D1C2F4FF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5BC-4CF0-A637-1B9D1C2F4FF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5BC-4CF0-A637-1B9D1C2F4FF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5BC-4CF0-A637-1B9D1C2F4FF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5BC-4CF0-A637-1B9D1C2F4FF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5BC-4CF0-A637-1B9D1C2F4FF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5BC-4CF0-A637-1B9D1C2F4FF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5BC-4CF0-A637-1B9D1C2F4FF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5BC-4CF0-A637-1B9D1C2F4FF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5BC-4CF0-A637-1B9D1C2F4FF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5BC-4CF0-A637-1B9D1C2F4FF4}"/>
              </c:ext>
            </c:extLst>
          </c:dPt>
          <c:cat>
            <c:strRef>
              <c:f>'Viajeros entr evol mensu TF cat'!$B$31:$B$42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cat'!$N$31:$N$43</c:f>
              <c:numCache>
                <c:formatCode>0.0%</c:formatCode>
                <c:ptCount val="13"/>
                <c:pt idx="0">
                  <c:v>-3.2096474953617782E-2</c:v>
                </c:pt>
                <c:pt idx="1">
                  <c:v>-8.861480075901329E-2</c:v>
                </c:pt>
                <c:pt idx="2">
                  <c:v>-8.6764446015197061E-2</c:v>
                </c:pt>
                <c:pt idx="3">
                  <c:v>-2.2437137330754364E-2</c:v>
                </c:pt>
                <c:pt idx="4">
                  <c:v>-4.1891083183722699E-3</c:v>
                </c:pt>
                <c:pt idx="5">
                  <c:v>-5.1901458981104986E-2</c:v>
                </c:pt>
                <c:pt idx="6">
                  <c:v>5.8294930875576023E-2</c:v>
                </c:pt>
                <c:pt idx="7">
                  <c:v>-0.37588805166846073</c:v>
                </c:pt>
                <c:pt idx="8">
                  <c:v>0.12519354125193538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-5.4583719930299424E-2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C5BC-4CF0-A637-1B9D1C2F4FF4}"/>
            </c:ext>
          </c:extLst>
        </c:ser>
        <c:ser>
          <c:idx val="4"/>
          <c:order val="5"/>
          <c:tx>
            <c:strRef>
              <c:f>'Viajeros entr evol mensu TF cat'!$O$30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 cat'!$B$31:$B$42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cat'!$O$31:$O$43</c:f>
              <c:numCache>
                <c:formatCode>0.0%</c:formatCode>
                <c:ptCount val="13"/>
                <c:pt idx="0">
                  <c:v>0.10623409669211203</c:v>
                </c:pt>
                <c:pt idx="1">
                  <c:v>-2.6747720364741601E-2</c:v>
                </c:pt>
                <c:pt idx="2">
                  <c:v>3.8850038850037905E-3</c:v>
                </c:pt>
                <c:pt idx="3">
                  <c:v>0.20505484024797327</c:v>
                </c:pt>
                <c:pt idx="4">
                  <c:v>0.22804428044280445</c:v>
                </c:pt>
                <c:pt idx="5">
                  <c:v>1.1224489795918391E-2</c:v>
                </c:pt>
                <c:pt idx="6">
                  <c:v>4.6956918167312622E-2</c:v>
                </c:pt>
                <c:pt idx="7">
                  <c:v>-0.3135211934643618</c:v>
                </c:pt>
                <c:pt idx="8">
                  <c:v>0.32646675358539756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5.9711336022119088E-2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C5BC-4CF0-A637-1B9D1C2F4F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1187294267900032"/>
          <c:w val="0.86939722222222227"/>
          <c:h val="0.42070463713947498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 cat'!$C$51:$D$51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456-467C-B33B-2857F0A910B0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cat'!$C$53:$C$65</c:f>
              <c:numCache>
                <c:formatCode>#,##0</c:formatCode>
                <c:ptCount val="13"/>
                <c:pt idx="0">
                  <c:v>3665</c:v>
                </c:pt>
                <c:pt idx="1">
                  <c:v>3809</c:v>
                </c:pt>
                <c:pt idx="2">
                  <c:v>3736</c:v>
                </c:pt>
                <c:pt idx="3">
                  <c:v>3146</c:v>
                </c:pt>
                <c:pt idx="4">
                  <c:v>3108</c:v>
                </c:pt>
                <c:pt idx="5">
                  <c:v>3051</c:v>
                </c:pt>
                <c:pt idx="6">
                  <c:v>3441</c:v>
                </c:pt>
                <c:pt idx="7">
                  <c:v>3268</c:v>
                </c:pt>
                <c:pt idx="8">
                  <c:v>2711</c:v>
                </c:pt>
                <c:pt idx="9">
                  <c:v>3774</c:v>
                </c:pt>
                <c:pt idx="10">
                  <c:v>4578</c:v>
                </c:pt>
                <c:pt idx="11">
                  <c:v>4201</c:v>
                </c:pt>
                <c:pt idx="12">
                  <c:v>42488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456-467C-B33B-2857F0A910B0}"/>
            </c:ext>
          </c:extLst>
        </c:ser>
        <c:ser>
          <c:idx val="5"/>
          <c:order val="1"/>
          <c:tx>
            <c:strRef>
              <c:f>'Viajeros entr evol mensu TF cat'!$I$51:$J$51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456-467C-B33B-2857F0A910B0}"/>
              </c:ext>
            </c:extLst>
          </c:dPt>
          <c:val>
            <c:numRef>
              <c:f>'Viajeros entr evol mensu TF cat'!$I$53:$I$65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3637</c:v>
                </c:pt>
                <c:pt idx="4">
                  <c:v>3101</c:v>
                </c:pt>
                <c:pt idx="5">
                  <c:v>4107</c:v>
                </c:pt>
                <c:pt idx="6">
                  <c:v>3890</c:v>
                </c:pt>
                <c:pt idx="7">
                  <c:v>3368</c:v>
                </c:pt>
                <c:pt idx="8">
                  <c:v>4017</c:v>
                </c:pt>
                <c:pt idx="9">
                  <c:v>3524</c:v>
                </c:pt>
                <c:pt idx="10">
                  <c:v>4148</c:v>
                </c:pt>
                <c:pt idx="11">
                  <c:v>4483</c:v>
                </c:pt>
                <c:pt idx="12">
                  <c:v>46354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456-467C-B33B-2857F0A910B0}"/>
            </c:ext>
          </c:extLst>
        </c:ser>
        <c:ser>
          <c:idx val="0"/>
          <c:order val="2"/>
          <c:tx>
            <c:strRef>
              <c:f>'Viajeros entr evol mensu TF cat'!$K$51:$L$51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456-467C-B33B-2857F0A910B0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cat'!$K$53:$K$65</c:f>
              <c:numCache>
                <c:formatCode>#,##0</c:formatCode>
                <c:ptCount val="13"/>
                <c:pt idx="0">
                  <c:v>4641</c:v>
                </c:pt>
                <c:pt idx="1">
                  <c:v>4493</c:v>
                </c:pt>
                <c:pt idx="2">
                  <c:v>4830</c:v>
                </c:pt>
                <c:pt idx="3">
                  <c:v>4467</c:v>
                </c:pt>
                <c:pt idx="4">
                  <c:v>4524</c:v>
                </c:pt>
                <c:pt idx="5">
                  <c:v>3719</c:v>
                </c:pt>
                <c:pt idx="6">
                  <c:v>0</c:v>
                </c:pt>
                <c:pt idx="7">
                  <c:v>0</c:v>
                </c:pt>
                <c:pt idx="8">
                  <c:v>4039</c:v>
                </c:pt>
                <c:pt idx="9">
                  <c:v>3716</c:v>
                </c:pt>
                <c:pt idx="10">
                  <c:v>4138</c:v>
                </c:pt>
                <c:pt idx="11">
                  <c:v>3751</c:v>
                </c:pt>
                <c:pt idx="12">
                  <c:v>50550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456-467C-B33B-2857F0A910B0}"/>
            </c:ext>
          </c:extLst>
        </c:ser>
        <c:ser>
          <c:idx val="1"/>
          <c:order val="3"/>
          <c:tx>
            <c:strRef>
              <c:f>'Viajeros entr evol mensu TF cat'!$M$51:$N$51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E456-467C-B33B-2857F0A910B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E456-467C-B33B-2857F0A910B0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cat'!$M$53:$M$65</c:f>
              <c:numCache>
                <c:formatCode>#,##0</c:formatCode>
                <c:ptCount val="13"/>
                <c:pt idx="0">
                  <c:v>4486</c:v>
                </c:pt>
                <c:pt idx="1">
                  <c:v>4023</c:v>
                </c:pt>
                <c:pt idx="2">
                  <c:v>4388</c:v>
                </c:pt>
                <c:pt idx="3">
                  <c:v>4407</c:v>
                </c:pt>
                <c:pt idx="4">
                  <c:v>4496</c:v>
                </c:pt>
                <c:pt idx="5">
                  <c:v>3480</c:v>
                </c:pt>
                <c:pt idx="6">
                  <c:v>3932</c:v>
                </c:pt>
                <c:pt idx="7">
                  <c:v>2669</c:v>
                </c:pt>
                <c:pt idx="8">
                  <c:v>4491</c:v>
                </c:pt>
                <c:pt idx="12">
                  <c:v>36372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456-467C-B33B-2857F0A910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cat'!$N$52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456-467C-B33B-2857F0A910B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456-467C-B33B-2857F0A910B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456-467C-B33B-2857F0A910B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456-467C-B33B-2857F0A910B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456-467C-B33B-2857F0A910B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456-467C-B33B-2857F0A910B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456-467C-B33B-2857F0A910B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456-467C-B33B-2857F0A910B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456-467C-B33B-2857F0A910B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456-467C-B33B-2857F0A910B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456-467C-B33B-2857F0A910B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456-467C-B33B-2857F0A910B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456-467C-B33B-2857F0A910B0}"/>
              </c:ext>
            </c:extLst>
          </c:dPt>
          <c:cat>
            <c:strRef>
              <c:f>'Viajeros entr evol mensu TF cat'!$B$53:$B$64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cat'!$N$53:$N$65</c:f>
              <c:numCache>
                <c:formatCode>0.0%</c:formatCode>
                <c:ptCount val="13"/>
                <c:pt idx="0">
                  <c:v>-3.3397974574445155E-2</c:v>
                </c:pt>
                <c:pt idx="1">
                  <c:v>-0.10460716670376136</c:v>
                </c:pt>
                <c:pt idx="2">
                  <c:v>-9.1511387163561109E-2</c:v>
                </c:pt>
                <c:pt idx="3">
                  <c:v>-1.3431833445265329E-2</c:v>
                </c:pt>
                <c:pt idx="4">
                  <c:v>-6.1892130857648109E-3</c:v>
                </c:pt>
                <c:pt idx="5">
                  <c:v>-6.426458725463835E-2</c:v>
                </c:pt>
                <c:pt idx="6">
                  <c:v>0</c:v>
                </c:pt>
                <c:pt idx="7">
                  <c:v>0</c:v>
                </c:pt>
                <c:pt idx="8">
                  <c:v>0.11190888833869761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0.18425422459544816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E456-467C-B33B-2857F0A910B0}"/>
            </c:ext>
          </c:extLst>
        </c:ser>
        <c:ser>
          <c:idx val="4"/>
          <c:order val="5"/>
          <c:tx>
            <c:strRef>
              <c:f>'Viajeros entr evol mensu TF cat'!$O$52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 cat'!$B$53:$B$64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cat'!$O$53:$O$65</c:f>
              <c:numCache>
                <c:formatCode>0.0%</c:formatCode>
                <c:ptCount val="13"/>
                <c:pt idx="0">
                  <c:v>0.22401091405184181</c:v>
                </c:pt>
                <c:pt idx="1">
                  <c:v>5.618272512470468E-2</c:v>
                </c:pt>
                <c:pt idx="2">
                  <c:v>0.17451820128479656</c:v>
                </c:pt>
                <c:pt idx="3">
                  <c:v>0.40082644628099184</c:v>
                </c:pt>
                <c:pt idx="4">
                  <c:v>0.44658944658944666</c:v>
                </c:pt>
                <c:pt idx="5">
                  <c:v>0.14060963618485744</c:v>
                </c:pt>
                <c:pt idx="6">
                  <c:v>0.14269107817494908</c:v>
                </c:pt>
                <c:pt idx="7">
                  <c:v>-0.18329253365973075</c:v>
                </c:pt>
                <c:pt idx="8">
                  <c:v>0.65658428624123943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0.21503257056956748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E456-467C-B33B-2857F0A910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205497302908249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 cat'!$C$73:$D$73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572-4509-8A7A-1A463CB5A83D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cat'!$C$75:$C$87</c:f>
              <c:numCache>
                <c:formatCode>#,##0</c:formatCode>
                <c:ptCount val="13"/>
                <c:pt idx="0">
                  <c:v>1051</c:v>
                </c:pt>
                <c:pt idx="1">
                  <c:v>1126</c:v>
                </c:pt>
                <c:pt idx="2">
                  <c:v>1412</c:v>
                </c:pt>
                <c:pt idx="3">
                  <c:v>1048</c:v>
                </c:pt>
                <c:pt idx="4">
                  <c:v>957</c:v>
                </c:pt>
                <c:pt idx="5">
                  <c:v>869</c:v>
                </c:pt>
                <c:pt idx="6">
                  <c:v>946</c:v>
                </c:pt>
                <c:pt idx="7">
                  <c:v>955</c:v>
                </c:pt>
                <c:pt idx="8">
                  <c:v>1124</c:v>
                </c:pt>
                <c:pt idx="9">
                  <c:v>903</c:v>
                </c:pt>
                <c:pt idx="10">
                  <c:v>1442</c:v>
                </c:pt>
                <c:pt idx="11">
                  <c:v>1566</c:v>
                </c:pt>
                <c:pt idx="12">
                  <c:v>13399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572-4509-8A7A-1A463CB5A83D}"/>
            </c:ext>
          </c:extLst>
        </c:ser>
        <c:ser>
          <c:idx val="5"/>
          <c:order val="1"/>
          <c:tx>
            <c:strRef>
              <c:f>'Viajeros entr evol mensu TF cat'!$I$73:$J$73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572-4509-8A7A-1A463CB5A83D}"/>
              </c:ext>
            </c:extLst>
          </c:dPt>
          <c:val>
            <c:numRef>
              <c:f>'Viajeros entr evol mensu TF cat'!$I$75:$I$87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438</c:v>
                </c:pt>
                <c:pt idx="4">
                  <c:v>531</c:v>
                </c:pt>
                <c:pt idx="5">
                  <c:v>413</c:v>
                </c:pt>
                <c:pt idx="6">
                  <c:v>385</c:v>
                </c:pt>
                <c:pt idx="7">
                  <c:v>564</c:v>
                </c:pt>
                <c:pt idx="8">
                  <c:v>561</c:v>
                </c:pt>
                <c:pt idx="9">
                  <c:v>501</c:v>
                </c:pt>
                <c:pt idx="10">
                  <c:v>690</c:v>
                </c:pt>
                <c:pt idx="11">
                  <c:v>683</c:v>
                </c:pt>
                <c:pt idx="12">
                  <c:v>5131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572-4509-8A7A-1A463CB5A83D}"/>
            </c:ext>
          </c:extLst>
        </c:ser>
        <c:ser>
          <c:idx val="0"/>
          <c:order val="2"/>
          <c:tx>
            <c:strRef>
              <c:f>'Viajeros entr evol mensu TF cat'!$K$73:$L$73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572-4509-8A7A-1A463CB5A83D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cat'!$K$75:$K$87</c:f>
              <c:numCache>
                <c:formatCode>#,##0</c:formatCode>
                <c:ptCount val="13"/>
                <c:pt idx="0">
                  <c:v>749</c:v>
                </c:pt>
                <c:pt idx="1">
                  <c:v>777</c:v>
                </c:pt>
                <c:pt idx="2">
                  <c:v>829</c:v>
                </c:pt>
                <c:pt idx="3">
                  <c:v>703</c:v>
                </c:pt>
                <c:pt idx="4">
                  <c:v>489</c:v>
                </c:pt>
                <c:pt idx="5">
                  <c:v>462</c:v>
                </c:pt>
                <c:pt idx="6">
                  <c:v>0</c:v>
                </c:pt>
                <c:pt idx="7">
                  <c:v>0</c:v>
                </c:pt>
                <c:pt idx="8">
                  <c:v>482</c:v>
                </c:pt>
                <c:pt idx="9">
                  <c:v>703</c:v>
                </c:pt>
                <c:pt idx="10">
                  <c:v>826</c:v>
                </c:pt>
                <c:pt idx="11">
                  <c:v>834</c:v>
                </c:pt>
                <c:pt idx="12">
                  <c:v>7607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572-4509-8A7A-1A463CB5A83D}"/>
            </c:ext>
          </c:extLst>
        </c:ser>
        <c:ser>
          <c:idx val="1"/>
          <c:order val="3"/>
          <c:tx>
            <c:strRef>
              <c:f>'Viajeros entr evol mensu TF cat'!$M$73:$N$73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572-4509-8A7A-1A463CB5A83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1572-4509-8A7A-1A463CB5A83D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cat'!$M$75:$M$87</c:f>
              <c:numCache>
                <c:formatCode>#,##0</c:formatCode>
                <c:ptCount val="13"/>
                <c:pt idx="0">
                  <c:v>731</c:v>
                </c:pt>
                <c:pt idx="1">
                  <c:v>780</c:v>
                </c:pt>
                <c:pt idx="2">
                  <c:v>780</c:v>
                </c:pt>
                <c:pt idx="3">
                  <c:v>647</c:v>
                </c:pt>
                <c:pt idx="4">
                  <c:v>496</c:v>
                </c:pt>
                <c:pt idx="5">
                  <c:v>484</c:v>
                </c:pt>
                <c:pt idx="6">
                  <c:v>661</c:v>
                </c:pt>
                <c:pt idx="7">
                  <c:v>230</c:v>
                </c:pt>
                <c:pt idx="8">
                  <c:v>596</c:v>
                </c:pt>
                <c:pt idx="12">
                  <c:v>5405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572-4509-8A7A-1A463CB5A8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cat'!$N$74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572-4509-8A7A-1A463CB5A83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572-4509-8A7A-1A463CB5A83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572-4509-8A7A-1A463CB5A83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572-4509-8A7A-1A463CB5A83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572-4509-8A7A-1A463CB5A83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572-4509-8A7A-1A463CB5A83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572-4509-8A7A-1A463CB5A83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572-4509-8A7A-1A463CB5A83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572-4509-8A7A-1A463CB5A83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572-4509-8A7A-1A463CB5A83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572-4509-8A7A-1A463CB5A83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572-4509-8A7A-1A463CB5A83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572-4509-8A7A-1A463CB5A83D}"/>
              </c:ext>
            </c:extLst>
          </c:dPt>
          <c:cat>
            <c:strRef>
              <c:f>'Viajeros entr evol mensu TF cat'!$B$75:$B$86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cat'!$N$75:$N$87</c:f>
              <c:numCache>
                <c:formatCode>0.0%</c:formatCode>
                <c:ptCount val="13"/>
                <c:pt idx="0">
                  <c:v>-2.4032042723631464E-2</c:v>
                </c:pt>
                <c:pt idx="1">
                  <c:v>3.8610038610038533E-3</c:v>
                </c:pt>
                <c:pt idx="2">
                  <c:v>-5.9107358262967424E-2</c:v>
                </c:pt>
                <c:pt idx="3">
                  <c:v>-7.9658605974395447E-2</c:v>
                </c:pt>
                <c:pt idx="4">
                  <c:v>1.4314928425357865E-2</c:v>
                </c:pt>
                <c:pt idx="5">
                  <c:v>4.7619047619047672E-2</c:v>
                </c:pt>
                <c:pt idx="6">
                  <c:v>0</c:v>
                </c:pt>
                <c:pt idx="7">
                  <c:v>0</c:v>
                </c:pt>
                <c:pt idx="8">
                  <c:v>0.23651452282157681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0.20351814740592289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1572-4509-8A7A-1A463CB5A83D}"/>
            </c:ext>
          </c:extLst>
        </c:ser>
        <c:ser>
          <c:idx val="4"/>
          <c:order val="5"/>
          <c:tx>
            <c:strRef>
              <c:f>'Viajeros entr evol mensu TF cat'!$O$74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 cat'!$B$75:$B$86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cat'!$O$75:$O$87</c:f>
              <c:numCache>
                <c:formatCode>0.0%</c:formatCode>
                <c:ptCount val="13"/>
                <c:pt idx="0">
                  <c:v>-0.30447193149381546</c:v>
                </c:pt>
                <c:pt idx="1">
                  <c:v>-0.30728241563055059</c:v>
                </c:pt>
                <c:pt idx="2">
                  <c:v>-0.44759206798866857</c:v>
                </c:pt>
                <c:pt idx="3">
                  <c:v>-0.38263358778625955</c:v>
                </c:pt>
                <c:pt idx="4">
                  <c:v>-0.48171368861024033</c:v>
                </c:pt>
                <c:pt idx="5">
                  <c:v>-0.44303797468354433</c:v>
                </c:pt>
                <c:pt idx="6">
                  <c:v>-0.30126849894291752</c:v>
                </c:pt>
                <c:pt idx="7">
                  <c:v>-0.75916230366492143</c:v>
                </c:pt>
                <c:pt idx="8">
                  <c:v>-0.46975088967971534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-0.43033305227655982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1572-4509-8A7A-1A463CB5A8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446751207729469"/>
          <c:y val="0.11476520521627519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 cat'!$C$95:$D$95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0C7-480D-B9E1-7B6915187002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cat'!$C$97:$C$109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0C7-480D-B9E1-7B6915187002}"/>
            </c:ext>
          </c:extLst>
        </c:ser>
        <c:ser>
          <c:idx val="5"/>
          <c:order val="1"/>
          <c:tx>
            <c:strRef>
              <c:f>'Viajeros entr evol mensu TF cat'!$I$95:$J$95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0C7-480D-B9E1-7B6915187002}"/>
              </c:ext>
            </c:extLst>
          </c:dPt>
          <c:val>
            <c:numRef>
              <c:f>'Viajeros entr evol mensu TF cat'!$I$97:$I$109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0C7-480D-B9E1-7B6915187002}"/>
            </c:ext>
          </c:extLst>
        </c:ser>
        <c:ser>
          <c:idx val="0"/>
          <c:order val="2"/>
          <c:tx>
            <c:strRef>
              <c:f>'Viajeros entr evol mensu TF cat'!$K$95:$L$95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0C7-480D-B9E1-7B6915187002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cat'!$K$97:$K$109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0C7-480D-B9E1-7B6915187002}"/>
            </c:ext>
          </c:extLst>
        </c:ser>
        <c:ser>
          <c:idx val="1"/>
          <c:order val="3"/>
          <c:tx>
            <c:strRef>
              <c:f>'Viajeros entr evol mensu TF cat'!$M$95:$N$95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A0C7-480D-B9E1-7B691518700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A0C7-480D-B9E1-7B6915187002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cat'!$M$97:$M$109</c:f>
              <c:numCache>
                <c:formatCode>#,##0</c:formatCode>
                <c:ptCount val="13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0C7-480D-B9E1-7B69151870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cat'!$N$96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0C7-480D-B9E1-7B691518700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0C7-480D-B9E1-7B691518700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0C7-480D-B9E1-7B691518700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0C7-480D-B9E1-7B691518700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0C7-480D-B9E1-7B691518700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0C7-480D-B9E1-7B691518700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0C7-480D-B9E1-7B691518700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0C7-480D-B9E1-7B691518700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0C7-480D-B9E1-7B691518700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0C7-480D-B9E1-7B691518700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0C7-480D-B9E1-7B691518700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0C7-480D-B9E1-7B691518700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0C7-480D-B9E1-7B6915187002}"/>
              </c:ext>
            </c:extLst>
          </c:dPt>
          <c:cat>
            <c:strRef>
              <c:f>'Viajeros entr evol mensu TF cat'!$B$97:$B$108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cat'!$N$97:$N$109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A0C7-480D-B9E1-7B6915187002}"/>
            </c:ext>
          </c:extLst>
        </c:ser>
        <c:ser>
          <c:idx val="4"/>
          <c:order val="5"/>
          <c:tx>
            <c:strRef>
              <c:f>'Viajeros entr evol mensu TF cat'!$O$96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 cat'!$B$97:$B$108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cat'!$O$97:$O$109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A0C7-480D-B9E1-7B69151870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'Viajeros entr evol anual TF cat'!$C$8:$C$21</c:f>
              <c:numCache>
                <c:formatCode>#,##0</c:formatCode>
                <c:ptCount val="14"/>
                <c:pt idx="0">
                  <c:v>58157</c:v>
                </c:pt>
                <c:pt idx="1">
                  <c:v>51485</c:v>
                </c:pt>
                <c:pt idx="2">
                  <c:v>33444</c:v>
                </c:pt>
                <c:pt idx="3">
                  <c:v>24221</c:v>
                </c:pt>
                <c:pt idx="4">
                  <c:v>55887</c:v>
                </c:pt>
                <c:pt idx="5">
                  <c:v>53986</c:v>
                </c:pt>
                <c:pt idx="6">
                  <c:v>57715</c:v>
                </c:pt>
                <c:pt idx="7">
                  <c:v>53747</c:v>
                </c:pt>
                <c:pt idx="8">
                  <c:v>41224</c:v>
                </c:pt>
                <c:pt idx="9">
                  <c:v>33774</c:v>
                </c:pt>
                <c:pt idx="10">
                  <c:v>30178</c:v>
                </c:pt>
                <c:pt idx="11">
                  <c:v>31795</c:v>
                </c:pt>
                <c:pt idx="12">
                  <c:v>32263</c:v>
                </c:pt>
                <c:pt idx="13">
                  <c:v>40105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6D6-4F0E-A7E9-B33DF60126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'Viajeros entr evol anual TF cat'!$D$8:$D$21</c:f>
              <c:numCache>
                <c:formatCode>0.0%</c:formatCode>
                <c:ptCount val="14"/>
                <c:pt idx="0">
                  <c:v>0.12959114305137409</c:v>
                </c:pt>
                <c:pt idx="1">
                  <c:v>0.53943906231312044</c:v>
                </c:pt>
                <c:pt idx="2">
                  <c:v>0.38078526898146237</c:v>
                </c:pt>
                <c:pt idx="3">
                  <c:v>-0.56660761894537193</c:v>
                </c:pt>
                <c:pt idx="4">
                  <c:v>3.521283295669253E-2</c:v>
                </c:pt>
                <c:pt idx="5">
                  <c:v>-6.4610586502642287E-2</c:v>
                </c:pt>
                <c:pt idx="6">
                  <c:v>7.382737641170678E-2</c:v>
                </c:pt>
                <c:pt idx="7">
                  <c:v>0.30377935183388316</c:v>
                </c:pt>
                <c:pt idx="8">
                  <c:v>0.22058388109196425</c:v>
                </c:pt>
                <c:pt idx="9">
                  <c:v>0.11915965272715212</c:v>
                </c:pt>
                <c:pt idx="10">
                  <c:v>-5.0857052995754048E-2</c:v>
                </c:pt>
                <c:pt idx="11">
                  <c:v>-1.4505780615565844E-2</c:v>
                </c:pt>
                <c:pt idx="12">
                  <c:v>-0.19553671612018453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6D6-4F0E-A7E9-B33DF60126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514-46F2-8F90-91D28BB32537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TF'!$C$31:$C$43</c:f>
              <c:numCache>
                <c:formatCode>#,##0</c:formatCode>
                <c:ptCount val="13"/>
                <c:pt idx="0">
                  <c:v>2705</c:v>
                </c:pt>
                <c:pt idx="1">
                  <c:v>2901</c:v>
                </c:pt>
                <c:pt idx="2">
                  <c:v>2975</c:v>
                </c:pt>
                <c:pt idx="3">
                  <c:v>2550</c:v>
                </c:pt>
                <c:pt idx="4">
                  <c:v>2924</c:v>
                </c:pt>
                <c:pt idx="5">
                  <c:v>2935</c:v>
                </c:pt>
                <c:pt idx="6">
                  <c:v>3386</c:v>
                </c:pt>
                <c:pt idx="7">
                  <c:v>3075</c:v>
                </c:pt>
                <c:pt idx="8">
                  <c:v>2807</c:v>
                </c:pt>
                <c:pt idx="9">
                  <c:v>3140</c:v>
                </c:pt>
                <c:pt idx="10">
                  <c:v>3743</c:v>
                </c:pt>
                <c:pt idx="11">
                  <c:v>3978</c:v>
                </c:pt>
                <c:pt idx="12">
                  <c:v>37119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514-46F2-8F90-91D28BB32537}"/>
            </c:ext>
          </c:extLst>
        </c:ser>
        <c:ser>
          <c:idx val="5"/>
          <c:order val="1"/>
          <c:tx>
            <c:strRef>
              <c:f>'Viajeros entr evol mensu TF'!$I$29:$J$29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514-46F2-8F90-91D28BB32537}"/>
              </c:ext>
            </c:extLst>
          </c:dPt>
          <c:val>
            <c:numRef>
              <c:f>'Viajeros entr evol mensu TF'!$I$31:$I$43</c:f>
              <c:numCache>
                <c:formatCode>#,##0</c:formatCode>
                <c:ptCount val="13"/>
                <c:pt idx="0">
                  <c:v>1773</c:v>
                </c:pt>
                <c:pt idx="1">
                  <c:v>2253</c:v>
                </c:pt>
                <c:pt idx="2">
                  <c:v>2677</c:v>
                </c:pt>
                <c:pt idx="3">
                  <c:v>2629</c:v>
                </c:pt>
                <c:pt idx="4">
                  <c:v>2471</c:v>
                </c:pt>
                <c:pt idx="5">
                  <c:v>3580</c:v>
                </c:pt>
                <c:pt idx="6">
                  <c:v>3300</c:v>
                </c:pt>
                <c:pt idx="7">
                  <c:v>2594</c:v>
                </c:pt>
                <c:pt idx="8">
                  <c:v>3509</c:v>
                </c:pt>
                <c:pt idx="9">
                  <c:v>2508</c:v>
                </c:pt>
                <c:pt idx="10">
                  <c:v>3156</c:v>
                </c:pt>
                <c:pt idx="11">
                  <c:v>3359</c:v>
                </c:pt>
                <c:pt idx="12">
                  <c:v>33809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514-46F2-8F90-91D28BB32537}"/>
            </c:ext>
          </c:extLst>
        </c:ser>
        <c:ser>
          <c:idx val="0"/>
          <c:order val="2"/>
          <c:tx>
            <c:strRef>
              <c:f>'Viajeros entr evol mensu TF'!$K$29:$L$29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514-46F2-8F90-91D28BB32537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TF'!$K$31:$K$43</c:f>
              <c:numCache>
                <c:formatCode>#,##0</c:formatCode>
                <c:ptCount val="13"/>
                <c:pt idx="0">
                  <c:v>3042</c:v>
                </c:pt>
                <c:pt idx="1">
                  <c:v>3101</c:v>
                </c:pt>
                <c:pt idx="2">
                  <c:v>3421</c:v>
                </c:pt>
                <c:pt idx="3">
                  <c:v>3521</c:v>
                </c:pt>
                <c:pt idx="4">
                  <c:v>3551</c:v>
                </c:pt>
                <c:pt idx="5">
                  <c:v>3284</c:v>
                </c:pt>
                <c:pt idx="6">
                  <c:v>3186</c:v>
                </c:pt>
                <c:pt idx="7">
                  <c:v>3372</c:v>
                </c:pt>
                <c:pt idx="8">
                  <c:v>3382</c:v>
                </c:pt>
                <c:pt idx="9">
                  <c:v>2825</c:v>
                </c:pt>
                <c:pt idx="10">
                  <c:v>2455</c:v>
                </c:pt>
                <c:pt idx="11">
                  <c:v>2582</c:v>
                </c:pt>
                <c:pt idx="12">
                  <c:v>37722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514-46F2-8F90-91D28BB32537}"/>
            </c:ext>
          </c:extLst>
        </c:ser>
        <c:ser>
          <c:idx val="1"/>
          <c:order val="3"/>
          <c:tx>
            <c:strRef>
              <c:f>'Viajeros entr evol mensu TF'!$M$29:$N$29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0514-46F2-8F90-91D28BB3253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0514-46F2-8F90-91D28BB32537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TF'!$M$31:$M$43</c:f>
              <c:numCache>
                <c:formatCode>#,##0</c:formatCode>
                <c:ptCount val="13"/>
                <c:pt idx="0">
                  <c:v>2177</c:v>
                </c:pt>
                <c:pt idx="1">
                  <c:v>2167</c:v>
                </c:pt>
                <c:pt idx="2">
                  <c:v>2632</c:v>
                </c:pt>
                <c:pt idx="3">
                  <c:v>3276</c:v>
                </c:pt>
                <c:pt idx="4">
                  <c:v>3636</c:v>
                </c:pt>
                <c:pt idx="5">
                  <c:v>3008</c:v>
                </c:pt>
                <c:pt idx="6">
                  <c:v>3447</c:v>
                </c:pt>
                <c:pt idx="7">
                  <c:v>1718</c:v>
                </c:pt>
                <c:pt idx="8">
                  <c:v>4092</c:v>
                </c:pt>
                <c:pt idx="12">
                  <c:v>26153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514-46F2-8F90-91D28BB325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TF'!$N$30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514-46F2-8F90-91D28BB3253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514-46F2-8F90-91D28BB3253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514-46F2-8F90-91D28BB3253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514-46F2-8F90-91D28BB3253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514-46F2-8F90-91D28BB3253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514-46F2-8F90-91D28BB3253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514-46F2-8F90-91D28BB3253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514-46F2-8F90-91D28BB3253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514-46F2-8F90-91D28BB3253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514-46F2-8F90-91D28BB3253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514-46F2-8F90-91D28BB3253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514-46F2-8F90-91D28BB3253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514-46F2-8F90-91D28BB32537}"/>
              </c:ext>
            </c:extLst>
          </c:dPt>
          <c:cat>
            <c:strRef>
              <c:f>'Viajeros entr evol mensu TF'!$B$31:$B$42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TF'!$N$31:$N$43</c:f>
              <c:numCache>
                <c:formatCode>0.0%</c:formatCode>
                <c:ptCount val="13"/>
                <c:pt idx="0">
                  <c:v>-0.28435239973701509</c:v>
                </c:pt>
                <c:pt idx="1">
                  <c:v>-0.30119316349564662</c:v>
                </c:pt>
                <c:pt idx="2">
                  <c:v>-0.23063431745103768</c:v>
                </c:pt>
                <c:pt idx="3">
                  <c:v>-6.9582504970178927E-2</c:v>
                </c:pt>
                <c:pt idx="4">
                  <c:v>2.3936919177696359E-2</c:v>
                </c:pt>
                <c:pt idx="5">
                  <c:v>-8.4043848964677204E-2</c:v>
                </c:pt>
                <c:pt idx="6">
                  <c:v>8.1920903954802338E-2</c:v>
                </c:pt>
                <c:pt idx="7">
                  <c:v>-0.49051008303677346</c:v>
                </c:pt>
                <c:pt idx="8">
                  <c:v>0.20993494973388538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-0.12414601473543196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0514-46F2-8F90-91D28BB32537}"/>
            </c:ext>
          </c:extLst>
        </c:ser>
        <c:ser>
          <c:idx val="4"/>
          <c:order val="5"/>
          <c:tx>
            <c:strRef>
              <c:f>'Viajeros entr evol mensu TF'!$O$30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TF'!$O$31:$O$43</c:f>
              <c:numCache>
                <c:formatCode>0.0%</c:formatCode>
                <c:ptCount val="13"/>
                <c:pt idx="0">
                  <c:v>-0.19519408502772639</c:v>
                </c:pt>
                <c:pt idx="1">
                  <c:v>-0.25301620130989311</c:v>
                </c:pt>
                <c:pt idx="2">
                  <c:v>-0.11529411764705877</c:v>
                </c:pt>
                <c:pt idx="3">
                  <c:v>0.28470588235294114</c:v>
                </c:pt>
                <c:pt idx="4">
                  <c:v>0.24350205198358421</c:v>
                </c:pt>
                <c:pt idx="5">
                  <c:v>2.4872231686541735E-2</c:v>
                </c:pt>
                <c:pt idx="6">
                  <c:v>1.8015357353809769E-2</c:v>
                </c:pt>
                <c:pt idx="7">
                  <c:v>-0.44130081300813007</c:v>
                </c:pt>
                <c:pt idx="8">
                  <c:v>0.45778411115069462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-3.9987813237870595E-3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0514-46F2-8F90-91D28BB325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cat'!$B$30:$B$43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'Viajeros entr evol anual TF cat'!$C$30:$C$43</c:f>
              <c:numCache>
                <c:formatCode>#,##0</c:formatCode>
                <c:ptCount val="14"/>
                <c:pt idx="0">
                  <c:v>58157</c:v>
                </c:pt>
                <c:pt idx="1">
                  <c:v>51485</c:v>
                </c:pt>
                <c:pt idx="2">
                  <c:v>33444</c:v>
                </c:pt>
                <c:pt idx="3">
                  <c:v>24221</c:v>
                </c:pt>
                <c:pt idx="4">
                  <c:v>55887</c:v>
                </c:pt>
                <c:pt idx="5">
                  <c:v>53986</c:v>
                </c:pt>
                <c:pt idx="6">
                  <c:v>57664</c:v>
                </c:pt>
                <c:pt idx="7">
                  <c:v>53591</c:v>
                </c:pt>
                <c:pt idx="8">
                  <c:v>40936</c:v>
                </c:pt>
                <c:pt idx="9">
                  <c:v>33476</c:v>
                </c:pt>
                <c:pt idx="10">
                  <c:v>29983</c:v>
                </c:pt>
                <c:pt idx="11">
                  <c:v>31642</c:v>
                </c:pt>
                <c:pt idx="12">
                  <c:v>30281</c:v>
                </c:pt>
                <c:pt idx="13">
                  <c:v>36948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4C7-40C1-9CD7-A23AE2C566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cat'!$D$29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cat'!$B$30:$B$43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'Viajeros entr evol anual TF cat'!$D$30:$D$43</c:f>
              <c:numCache>
                <c:formatCode>0.0%</c:formatCode>
                <c:ptCount val="14"/>
                <c:pt idx="0">
                  <c:v>0.12959114305137409</c:v>
                </c:pt>
                <c:pt idx="1">
                  <c:v>0.53943906231312044</c:v>
                </c:pt>
                <c:pt idx="2">
                  <c:v>0.38078526898146237</c:v>
                </c:pt>
                <c:pt idx="3">
                  <c:v>-0.56660761894537193</c:v>
                </c:pt>
                <c:pt idx="4">
                  <c:v>3.521283295669253E-2</c:v>
                </c:pt>
                <c:pt idx="5">
                  <c:v>-6.3783296337402873E-2</c:v>
                </c:pt>
                <c:pt idx="6">
                  <c:v>7.6001567427366634E-2</c:v>
                </c:pt>
                <c:pt idx="7">
                  <c:v>0.30914109829978509</c:v>
                </c:pt>
                <c:pt idx="8">
                  <c:v>0.22284621818616324</c:v>
                </c:pt>
                <c:pt idx="9">
                  <c:v>0.11649934963145792</c:v>
                </c:pt>
                <c:pt idx="10">
                  <c:v>-5.2430314139434886E-2</c:v>
                </c:pt>
                <c:pt idx="11">
                  <c:v>4.4945675506092853E-2</c:v>
                </c:pt>
                <c:pt idx="12">
                  <c:v>-0.180442784453827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4C7-40C1-9CD7-A23AE2C566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cat'!$B$52:$B$65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'Viajeros entr evol anual TF cat'!$C$52:$C$65</c:f>
              <c:numCache>
                <c:formatCode>#,##0</c:formatCode>
                <c:ptCount val="14"/>
                <c:pt idx="0">
                  <c:v>50550</c:v>
                </c:pt>
                <c:pt idx="1">
                  <c:v>46354</c:v>
                </c:pt>
                <c:pt idx="2">
                  <c:v>0</c:v>
                </c:pt>
                <c:pt idx="3">
                  <c:v>0</c:v>
                </c:pt>
                <c:pt idx="4">
                  <c:v>42488</c:v>
                </c:pt>
                <c:pt idx="5">
                  <c:v>39356</c:v>
                </c:pt>
                <c:pt idx="6">
                  <c:v>25778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A7B-4AC1-A358-E483EF53B9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cat'!$D$51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cat'!$B$52:$B$65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'Viajeros entr evol anual TF cat'!$D$52:$D$65</c:f>
              <c:numCache>
                <c:formatCode>0.0%</c:formatCode>
                <c:ptCount val="14"/>
                <c:pt idx="0">
                  <c:v>9.0520774906156953E-2</c:v>
                </c:pt>
                <c:pt idx="1">
                  <c:v>0</c:v>
                </c:pt>
                <c:pt idx="2">
                  <c:v>0</c:v>
                </c:pt>
                <c:pt idx="3">
                  <c:v>-1</c:v>
                </c:pt>
                <c:pt idx="4">
                  <c:v>7.9581258257953147E-2</c:v>
                </c:pt>
                <c:pt idx="5">
                  <c:v>0.52672821786019086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A7B-4AC1-A358-E483EF53B9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5567582691781662E-2"/>
          <c:y val="0.30968384591023873"/>
          <c:w val="0.95795330741250462"/>
          <c:h val="0.513800248653128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 años '!$V$6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DC92-4BD4-B955-4C4223D20C86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DC92-4BD4-B955-4C4223D20C86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DC92-4BD4-B955-4C4223D20C86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DC92-4BD4-B955-4C4223D20C86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DC92-4BD4-B955-4C4223D20C86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DC92-4BD4-B955-4C4223D20C86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DC92-4BD4-B955-4C4223D20C86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DC92-4BD4-B955-4C4223D20C8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 años '!$P$8:$P$9,'viaj entrados lugar resid años '!$P$12:$P$20)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 años '!$V$8:$V$9,'viaj entrados lugar resid años '!$V$12:$V$20)</c:f>
              <c:numCache>
                <c:formatCode>#,##0</c:formatCode>
                <c:ptCount val="11"/>
                <c:pt idx="0">
                  <c:v>58157</c:v>
                </c:pt>
                <c:pt idx="1">
                  <c:v>37722</c:v>
                </c:pt>
                <c:pt idx="2">
                  <c:v>20435</c:v>
                </c:pt>
                <c:pt idx="3">
                  <c:v>2795</c:v>
                </c:pt>
                <c:pt idx="4">
                  <c:v>3814</c:v>
                </c:pt>
                <c:pt idx="5">
                  <c:v>3885</c:v>
                </c:pt>
                <c:pt idx="6">
                  <c:v>938</c:v>
                </c:pt>
                <c:pt idx="7">
                  <c:v>650</c:v>
                </c:pt>
                <c:pt idx="8">
                  <c:v>153</c:v>
                </c:pt>
                <c:pt idx="9">
                  <c:v>270</c:v>
                </c:pt>
                <c:pt idx="10">
                  <c:v>7930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DC92-4BD4-B955-4C4223D20C86}"/>
            </c:ext>
          </c:extLst>
        </c:ser>
        <c:ser>
          <c:idx val="1"/>
          <c:order val="1"/>
          <c:tx>
            <c:strRef>
              <c:f>'viaj entrados lugar resid años '!$W$6</c:f>
              <c:strCache>
                <c:ptCount val="1"/>
                <c:pt idx="0">
                  <c:v>var. 23/22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5.0310529794275671E-3"/>
                  <c:y val="-0.4788528613410503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C92-4BD4-B955-4C4223D20C86}"/>
                </c:ext>
              </c:extLst>
            </c:dLbl>
            <c:dLbl>
              <c:idx val="1"/>
              <c:layout>
                <c:manualLayout>
                  <c:x val="-2.517308725280787E-3"/>
                  <c:y val="-0.3532088745317092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C92-4BD4-B955-4C4223D20C86}"/>
                </c:ext>
              </c:extLst>
            </c:dLbl>
            <c:dLbl>
              <c:idx val="2"/>
              <c:layout>
                <c:manualLayout>
                  <c:x val="-3.7759630879211459E-3"/>
                  <c:y val="-0.2400274581061982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C92-4BD4-B955-4C4223D20C86}"/>
                </c:ext>
              </c:extLst>
            </c:dLbl>
            <c:dLbl>
              <c:idx val="3"/>
              <c:layout>
                <c:manualLayout>
                  <c:x val="-3.7759630879211459E-3"/>
                  <c:y val="-0.1143059425264149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C92-4BD4-B955-4C4223D20C86}"/>
                </c:ext>
              </c:extLst>
            </c:dLbl>
            <c:dLbl>
              <c:idx val="4"/>
              <c:layout>
                <c:manualLayout>
                  <c:x val="-3.7747749308764886E-3"/>
                  <c:y val="-0.1139172218857258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C92-4BD4-B955-4C4223D20C86}"/>
                </c:ext>
              </c:extLst>
            </c:dLbl>
            <c:dLbl>
              <c:idx val="5"/>
              <c:layout>
                <c:manualLayout>
                  <c:x val="-3.977724741447892E-3"/>
                  <c:y val="-0.1180876826486915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C92-4BD4-B955-4C4223D20C86}"/>
                </c:ext>
              </c:extLst>
            </c:dLbl>
            <c:dLbl>
              <c:idx val="6"/>
              <c:layout>
                <c:manualLayout>
                  <c:x val="-7.5471735476636626E-3"/>
                  <c:y val="0.182738721762343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C92-4BD4-B955-4C4223D20C86}"/>
                </c:ext>
              </c:extLst>
            </c:dLbl>
            <c:dLbl>
              <c:idx val="7"/>
              <c:layout>
                <c:manualLayout>
                  <c:x val="-5.0994710225824094E-3"/>
                  <c:y val="0.1600829127128340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C92-4BD4-B955-4C4223D20C86}"/>
                </c:ext>
              </c:extLst>
            </c:dLbl>
            <c:dLbl>
              <c:idx val="8"/>
              <c:layout>
                <c:manualLayout>
                  <c:x val="-2.518496882325329E-3"/>
                  <c:y val="0.1840123830675011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C92-4BD4-B955-4C4223D20C86}"/>
                </c:ext>
              </c:extLst>
            </c:dLbl>
            <c:dLbl>
              <c:idx val="9"/>
              <c:layout>
                <c:manualLayout>
                  <c:x val="-3.7086802097230907E-3"/>
                  <c:y val="-0.1054082525398611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C92-4BD4-B955-4C4223D20C86}"/>
                </c:ext>
              </c:extLst>
            </c:dLbl>
            <c:dLbl>
              <c:idx val="10"/>
              <c:layout>
                <c:manualLayout>
                  <c:x val="-2.6518164942985947E-3"/>
                  <c:y val="-0.2010769330525414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C92-4BD4-B955-4C4223D20C86}"/>
                </c:ext>
              </c:extLst>
            </c:dLbl>
            <c:spPr>
              <a:noFill/>
              <a:ln>
                <a:solidFill>
                  <a:srgbClr val="58B6C0"/>
                </a:solidFill>
              </a:ln>
              <a:effectLst/>
            </c:spPr>
            <c:txPr>
              <a:bodyPr rot="-540000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 años '!$P$8:$P$9,'viaj entrados lugar resid años '!$P$12:$P$20)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 años '!$W$8:$W$9,'viaj entrados lugar resid años '!$W$12:$W$20)</c:f>
              <c:numCache>
                <c:formatCode>0.0%</c:formatCode>
                <c:ptCount val="11"/>
                <c:pt idx="0">
                  <c:v>0.12959114305137409</c:v>
                </c:pt>
                <c:pt idx="1">
                  <c:v>0.11573841284864983</c:v>
                </c:pt>
                <c:pt idx="2">
                  <c:v>0.15608735007920349</c:v>
                </c:pt>
                <c:pt idx="3">
                  <c:v>0.16312942155638788</c:v>
                </c:pt>
                <c:pt idx="4">
                  <c:v>9.5347501435956383E-2</c:v>
                </c:pt>
                <c:pt idx="5">
                  <c:v>0.13862837045720977</c:v>
                </c:pt>
                <c:pt idx="6">
                  <c:v>-0.19965870307167233</c:v>
                </c:pt>
                <c:pt idx="7">
                  <c:v>-4.692082111436946E-2</c:v>
                </c:pt>
                <c:pt idx="8">
                  <c:v>-0.43333333333333335</c:v>
                </c:pt>
                <c:pt idx="9">
                  <c:v>0.60714285714285721</c:v>
                </c:pt>
                <c:pt idx="10">
                  <c:v>0.30277640873993761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DC92-4BD4-B955-4C4223D20C86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8-DC92-4BD4-B955-4C4223D20C86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DC92-4BD4-B955-4C4223D20C86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DC92-4BD4-B955-4C4223D20C86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DC92-4BD4-B955-4C4223D20C86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DC92-4BD4-B955-4C4223D20C86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DC92-4BD4-B955-4C4223D20C86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DC92-4BD4-B955-4C4223D20C86}"/>
              </c:ext>
            </c:extLst>
          </c:dPt>
          <c:dLbls>
            <c:dLbl>
              <c:idx val="0"/>
              <c:layout>
                <c:manualLayout>
                  <c:x val="-1.2224352027595595E-2"/>
                  <c:y val="6.38548001048740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C92-4BD4-B955-4C4223D20C86}"/>
                </c:ext>
              </c:extLst>
            </c:dLbl>
            <c:dLbl>
              <c:idx val="1"/>
              <c:layout>
                <c:manualLayout>
                  <c:x val="-1.0472795912444119E-2"/>
                  <c:y val="5.828989421435102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DC92-4BD4-B955-4C4223D20C86}"/>
                </c:ext>
              </c:extLst>
            </c:dLbl>
            <c:dLbl>
              <c:idx val="2"/>
              <c:layout>
                <c:manualLayout>
                  <c:x val="-9.0795482306955059E-3"/>
                  <c:y val="6.056912058924965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DC92-4BD4-B955-4C4223D20C86}"/>
                </c:ext>
              </c:extLst>
            </c:dLbl>
            <c:dLbl>
              <c:idx val="3"/>
              <c:layout>
                <c:manualLayout>
                  <c:x val="-6.3527709394321421E-3"/>
                  <c:y val="6.246982285109089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C92-4BD4-B955-4C4223D20C86}"/>
                </c:ext>
              </c:extLst>
            </c:dLbl>
            <c:dLbl>
              <c:idx val="4"/>
              <c:layout>
                <c:manualLayout>
                  <c:x val="-1.3869000265181649E-2"/>
                  <c:y val="6.4449838507028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C92-4BD4-B955-4C4223D20C86}"/>
                </c:ext>
              </c:extLst>
            </c:dLbl>
            <c:dLbl>
              <c:idx val="5"/>
              <c:layout>
                <c:manualLayout>
                  <c:x val="-1.1079059628286321E-2"/>
                  <c:y val="6.422016796772583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C92-4BD4-B955-4C4223D20C86}"/>
                </c:ext>
              </c:extLst>
            </c:dLbl>
            <c:dLbl>
              <c:idx val="6"/>
              <c:layout>
                <c:manualLayout>
                  <c:x val="-9.5354727437113318E-3"/>
                  <c:y val="6.58006095102773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DC92-4BD4-B955-4C4223D20C86}"/>
                </c:ext>
              </c:extLst>
            </c:dLbl>
            <c:dLbl>
              <c:idx val="7"/>
              <c:layout>
                <c:manualLayout>
                  <c:x val="-8.7662371559163697E-3"/>
                  <c:y val="6.296205455521058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DC92-4BD4-B955-4C4223D20C86}"/>
                </c:ext>
              </c:extLst>
            </c:dLbl>
            <c:dLbl>
              <c:idx val="8"/>
              <c:layout>
                <c:manualLayout>
                  <c:x val="-7.955449482895784E-3"/>
                  <c:y val="6.20001447187520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DC92-4BD4-B955-4C4223D20C86}"/>
                </c:ext>
              </c:extLst>
            </c:dLbl>
            <c:dLbl>
              <c:idx val="9"/>
              <c:layout>
                <c:manualLayout>
                  <c:x val="-9.2813577300451776E-3"/>
                  <c:y val="6.438875591678842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DC92-4BD4-B955-4C4223D20C86}"/>
                </c:ext>
              </c:extLst>
            </c:dLbl>
            <c:dLbl>
              <c:idx val="10"/>
              <c:layout>
                <c:manualLayout>
                  <c:x val="-8.9088505941530578E-3"/>
                  <c:y val="6.574159433078392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DC92-4BD4-B955-4C4223D20C86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 años '!$P$8:$P$9,'viaj entrados lugar resid años '!$P$12:$P$20)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 años '!$AA$8:$AA$9,'viaj entrados lugar resid años '!$AA$12:$AA$20)</c:f>
              <c:numCache>
                <c:formatCode>0.0%</c:formatCode>
                <c:ptCount val="11"/>
                <c:pt idx="0">
                  <c:v>1</c:v>
                </c:pt>
                <c:pt idx="1">
                  <c:v>0.64862355348453327</c:v>
                </c:pt>
                <c:pt idx="2">
                  <c:v>0.35137644651546673</c:v>
                </c:pt>
                <c:pt idx="3">
                  <c:v>4.8059562907302643E-2</c:v>
                </c:pt>
                <c:pt idx="4">
                  <c:v>6.5581099437728912E-2</c:v>
                </c:pt>
                <c:pt idx="5">
                  <c:v>6.6801932699417102E-2</c:v>
                </c:pt>
                <c:pt idx="6">
                  <c:v>1.6128754922021423E-2</c:v>
                </c:pt>
                <c:pt idx="7">
                  <c:v>1.117664253658201E-2</c:v>
                </c:pt>
                <c:pt idx="8">
                  <c:v>2.6308097047646889E-3</c:v>
                </c:pt>
                <c:pt idx="9">
                  <c:v>4.6426053613494505E-3</c:v>
                </c:pt>
                <c:pt idx="10">
                  <c:v>0.13635503894630052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9-DC92-4BD4-B955-4C4223D20C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2915766197483072E-2"/>
          <c:y val="0.28639258438559839"/>
          <c:w val="0.95795330741250462"/>
          <c:h val="0.5615386422561841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residencia'!$S$9</c:f>
              <c:strCache>
                <c:ptCount val="1"/>
                <c:pt idx="0">
                  <c:v>septiembre 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9B64-4492-9A7C-E55BE4A8B0F8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9B64-4492-9A7C-E55BE4A8B0F8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9B64-4492-9A7C-E55BE4A8B0F8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9B64-4492-9A7C-E55BE4A8B0F8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9B64-4492-9A7C-E55BE4A8B0F8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9B64-4492-9A7C-E55BE4A8B0F8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9B64-4492-9A7C-E55BE4A8B0F8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9B64-4492-9A7C-E55BE4A8B0F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residencia'!$N$11,'viaj entrados lugar residencia'!$N$12,'viaj entrados lugar residencia'!$N$15:$N$23)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residencia'!$S$11,'viaj entrados lugar residencia'!$S$12,'viaj entrados lugar residencia'!$S$15:$S$23)</c:f>
              <c:numCache>
                <c:formatCode>#,##0</c:formatCode>
                <c:ptCount val="11"/>
                <c:pt idx="0">
                  <c:v>5250</c:v>
                </c:pt>
                <c:pt idx="1">
                  <c:v>4146</c:v>
                </c:pt>
                <c:pt idx="2">
                  <c:v>1104</c:v>
                </c:pt>
                <c:pt idx="3">
                  <c:v>134</c:v>
                </c:pt>
                <c:pt idx="4">
                  <c:v>258</c:v>
                </c:pt>
                <c:pt idx="5">
                  <c:v>166</c:v>
                </c:pt>
                <c:pt idx="6">
                  <c:v>36</c:v>
                </c:pt>
                <c:pt idx="7">
                  <c:v>46</c:v>
                </c:pt>
                <c:pt idx="8">
                  <c:v>13</c:v>
                </c:pt>
                <c:pt idx="9">
                  <c:v>10</c:v>
                </c:pt>
                <c:pt idx="10">
                  <c:v>441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B64-4492-9A7C-E55BE4A8B0F8}"/>
            </c:ext>
          </c:extLst>
        </c:ser>
        <c:ser>
          <c:idx val="1"/>
          <c:order val="1"/>
          <c:tx>
            <c:strRef>
              <c:f>'viaj entrados lugar residencia'!$J$9</c:f>
              <c:strCache>
                <c:ptCount val="1"/>
                <c:pt idx="0">
                  <c:v>var. 24/19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5.2363979562220653E-3"/>
                  <c:y val="-0.4987365301141868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B64-4492-9A7C-E55BE4A8B0F8}"/>
                </c:ext>
              </c:extLst>
            </c:dLbl>
            <c:dLbl>
              <c:idx val="1"/>
              <c:layout>
                <c:manualLayout>
                  <c:x val="-3.8432546766976323E-3"/>
                  <c:y val="-0.4336461701685786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B64-4492-9A7C-E55BE4A8B0F8}"/>
                </c:ext>
              </c:extLst>
            </c:dLbl>
            <c:dLbl>
              <c:idx val="2"/>
              <c:layout>
                <c:manualLayout>
                  <c:x val="-3.7759152420983179E-3"/>
                  <c:y val="0.2896938634550380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B64-4492-9A7C-E55BE4A8B0F8}"/>
                </c:ext>
              </c:extLst>
            </c:dLbl>
            <c:dLbl>
              <c:idx val="3"/>
              <c:layout>
                <c:manualLayout>
                  <c:x val="-6.4277317363969121E-3"/>
                  <c:y val="0.1942221508025783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B64-4492-9A7C-E55BE4A8B0F8}"/>
                </c:ext>
              </c:extLst>
            </c:dLbl>
            <c:dLbl>
              <c:idx val="4"/>
              <c:layout>
                <c:manualLayout>
                  <c:x val="-6.4950711709962751E-3"/>
                  <c:y val="-9.505447157451182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B64-4492-9A7C-E55BE4A8B0F8}"/>
                </c:ext>
              </c:extLst>
            </c:dLbl>
            <c:dLbl>
              <c:idx val="5"/>
              <c:layout>
                <c:manualLayout>
                  <c:x val="-3.977724741447892E-3"/>
                  <c:y val="0.1850513046771410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B64-4492-9A7C-E55BE4A8B0F8}"/>
                </c:ext>
              </c:extLst>
            </c:dLbl>
            <c:dLbl>
              <c:idx val="6"/>
              <c:layout>
                <c:manualLayout>
                  <c:x val="-6.4950711709962266E-3"/>
                  <c:y val="0.1614768078802180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B64-4492-9A7C-E55BE4A8B0F8}"/>
                </c:ext>
              </c:extLst>
            </c:dLbl>
            <c:dLbl>
              <c:idx val="7"/>
              <c:layout>
                <c:manualLayout>
                  <c:x val="-5.2363979562220593E-3"/>
                  <c:y val="-0.1035507779572666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B64-4492-9A7C-E55BE4A8B0F8}"/>
                </c:ext>
              </c:extLst>
            </c:dLbl>
            <c:dLbl>
              <c:idx val="8"/>
              <c:layout>
                <c:manualLayout>
                  <c:x val="-5.1018234892476148E-3"/>
                  <c:y val="-7.420125115939454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B64-4492-9A7C-E55BE4A8B0F8}"/>
                </c:ext>
              </c:extLst>
            </c:dLbl>
            <c:dLbl>
              <c:idx val="9"/>
              <c:layout>
                <c:manualLayout>
                  <c:x val="-1.0338221445469675E-2"/>
                  <c:y val="0.1762484576645965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B64-4492-9A7C-E55BE4A8B0F8}"/>
                </c:ext>
              </c:extLst>
            </c:dLbl>
            <c:dLbl>
              <c:idx val="10"/>
              <c:layout>
                <c:manualLayout>
                  <c:x val="-5.3036329885971893E-3"/>
                  <c:y val="0.2085400979012962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B64-4492-9A7C-E55BE4A8B0F8}"/>
                </c:ext>
              </c:extLst>
            </c:dLbl>
            <c:spPr>
              <a:noFill/>
              <a:ln>
                <a:solidFill>
                  <a:srgbClr val="58B6C0"/>
                </a:solidFill>
              </a:ln>
              <a:effectLst/>
            </c:spPr>
            <c:txPr>
              <a:bodyPr rot="-540000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residencia'!$N$11,'viaj entrados lugar residencia'!$N$12,'viaj entrados lugar residencia'!$N$15:$N$23)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residencia'!$T$11,'viaj entrados lugar residencia'!$T$12,'viaj entrados lugar residencia'!$T$15:$T$23)</c:f>
              <c:numCache>
                <c:formatCode>0.0%</c:formatCode>
                <c:ptCount val="11"/>
                <c:pt idx="0">
                  <c:v>0.10853040540540548</c:v>
                </c:pt>
                <c:pt idx="1">
                  <c:v>0.19826589595375732</c:v>
                </c:pt>
                <c:pt idx="2">
                  <c:v>-0.13479623824451414</c:v>
                </c:pt>
                <c:pt idx="3">
                  <c:v>-0.19760479041916168</c:v>
                </c:pt>
                <c:pt idx="4">
                  <c:v>3.8910505836575737E-3</c:v>
                </c:pt>
                <c:pt idx="5">
                  <c:v>-0.2589285714285714</c:v>
                </c:pt>
                <c:pt idx="6">
                  <c:v>-0.18181818181818177</c:v>
                </c:pt>
                <c:pt idx="7">
                  <c:v>2.2222222222222143E-2</c:v>
                </c:pt>
                <c:pt idx="8">
                  <c:v>2.25</c:v>
                </c:pt>
                <c:pt idx="9">
                  <c:v>-0.2857142857142857</c:v>
                </c:pt>
                <c:pt idx="10">
                  <c:v>-0.15355086372360849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9B64-4492-9A7C-E55BE4A8B0F8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8-9B64-4492-9A7C-E55BE4A8B0F8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9B64-4492-9A7C-E55BE4A8B0F8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9B64-4492-9A7C-E55BE4A8B0F8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9B64-4492-9A7C-E55BE4A8B0F8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9B64-4492-9A7C-E55BE4A8B0F8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9B64-4492-9A7C-E55BE4A8B0F8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9B64-4492-9A7C-E55BE4A8B0F8}"/>
              </c:ext>
            </c:extLst>
          </c:dPt>
          <c:dLbls>
            <c:dLbl>
              <c:idx val="0"/>
              <c:layout>
                <c:manualLayout>
                  <c:x val="-4.2689157247414559E-3"/>
                  <c:y val="8.533700444307207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B64-4492-9A7C-E55BE4A8B0F8}"/>
                </c:ext>
              </c:extLst>
            </c:dLbl>
            <c:dLbl>
              <c:idx val="1"/>
              <c:layout>
                <c:manualLayout>
                  <c:x val="-2.5173064820641915E-3"/>
                  <c:y val="7.977225923682616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9B64-4492-9A7C-E55BE4A8B0F8}"/>
                </c:ext>
              </c:extLst>
            </c:dLbl>
            <c:dLbl>
              <c:idx val="2"/>
              <c:layout>
                <c:manualLayout>
                  <c:x val="-3.775959723096287E-3"/>
                  <c:y val="8.205146151602844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9B64-4492-9A7C-E55BE4A8B0F8}"/>
                </c:ext>
              </c:extLst>
            </c:dLbl>
            <c:dLbl>
              <c:idx val="3"/>
              <c:layout>
                <c:manualLayout>
                  <c:x val="-3.7009113237615951E-3"/>
                  <c:y val="8.633902873053203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B64-4492-9A7C-E55BE4A8B0F8}"/>
                </c:ext>
              </c:extLst>
            </c:dLbl>
            <c:dLbl>
              <c:idx val="4"/>
              <c:layout>
                <c:manualLayout>
                  <c:x val="-3.2616958122525662E-3"/>
                  <c:y val="7.161056150032528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B64-4492-9A7C-E55BE4A8B0F8}"/>
                </c:ext>
              </c:extLst>
            </c:dLbl>
            <c:dLbl>
              <c:idx val="5"/>
              <c:layout>
                <c:manualLayout>
                  <c:x val="-7.1013810498357305E-3"/>
                  <c:y val="7.615478834376464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B64-4492-9A7C-E55BE4A8B0F8}"/>
                </c:ext>
              </c:extLst>
            </c:dLbl>
            <c:dLbl>
              <c:idx val="6"/>
              <c:layout>
                <c:manualLayout>
                  <c:x val="-5.5577866520267099E-3"/>
                  <c:y val="8.250911215603350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9B64-4492-9A7C-E55BE4A8B0F8}"/>
                </c:ext>
              </c:extLst>
            </c:dLbl>
            <c:dLbl>
              <c:idx val="7"/>
              <c:layout>
                <c:manualLayout>
                  <c:x val="-7.4403307036477176E-3"/>
                  <c:y val="7.728351093922447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9B64-4492-9A7C-E55BE4A8B0F8}"/>
                </c:ext>
              </c:extLst>
            </c:dLbl>
            <c:dLbl>
              <c:idx val="8"/>
              <c:layout>
                <c:manualLayout>
                  <c:x val="0"/>
                  <c:y val="8.348240906380449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9B64-4492-9A7C-E55BE4A8B0F8}"/>
                </c:ext>
              </c:extLst>
            </c:dLbl>
            <c:dLbl>
              <c:idx val="9"/>
              <c:layout>
                <c:manualLayout>
                  <c:x val="0"/>
                  <c:y val="8.109719737626713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9B64-4492-9A7C-E55BE4A8B0F8}"/>
                </c:ext>
              </c:extLst>
            </c:dLbl>
            <c:dLbl>
              <c:idx val="10"/>
              <c:layout>
                <c:manualLayout>
                  <c:x val="-4.931111656368733E-3"/>
                  <c:y val="8.245000680818287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9B64-4492-9A7C-E55BE4A8B0F8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residencia'!$N$11,'viaj entrados lugar residencia'!$N$12,'viaj entrados lugar residencia'!$N$15:$N$23)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residencia'!$V$11,'viaj entrados lugar residencia'!$V$12,'viaj entrados lugar residencia'!$V$15:$V$23)</c:f>
              <c:numCache>
                <c:formatCode>0.0%</c:formatCode>
                <c:ptCount val="11"/>
                <c:pt idx="0">
                  <c:v>1</c:v>
                </c:pt>
                <c:pt idx="1">
                  <c:v>0.7897142857142857</c:v>
                </c:pt>
                <c:pt idx="2">
                  <c:v>0.2102857142857143</c:v>
                </c:pt>
                <c:pt idx="3">
                  <c:v>2.5523809523809525E-2</c:v>
                </c:pt>
                <c:pt idx="4">
                  <c:v>4.9142857142857141E-2</c:v>
                </c:pt>
                <c:pt idx="5">
                  <c:v>3.1619047619047616E-2</c:v>
                </c:pt>
                <c:pt idx="6">
                  <c:v>6.8571428571428568E-3</c:v>
                </c:pt>
                <c:pt idx="7">
                  <c:v>8.7619047619047624E-3</c:v>
                </c:pt>
                <c:pt idx="8">
                  <c:v>2.476190476190476E-3</c:v>
                </c:pt>
                <c:pt idx="9">
                  <c:v>1.9047619047619048E-3</c:v>
                </c:pt>
                <c:pt idx="10">
                  <c:v>8.4000000000000005E-2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9-9B64-4492-9A7C-E55BE4A8B0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5567582691781662E-2"/>
          <c:y val="0.30968384591023873"/>
          <c:w val="0.95795330741250462"/>
          <c:h val="0.513800248653128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 acu'!$V$7</c:f>
              <c:strCache>
                <c:ptCount val="1"/>
                <c:pt idx="0">
                  <c:v>acumulado septiembre 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87FC-49F0-8CB9-80DA93966086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87FC-49F0-8CB9-80DA93966086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87FC-49F0-8CB9-80DA93966086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87FC-49F0-8CB9-80DA93966086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87FC-49F0-8CB9-80DA93966086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87FC-49F0-8CB9-80DA93966086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87FC-49F0-8CB9-80DA93966086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87FC-49F0-8CB9-80DA9396608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 acu'!$P$9:$P$10,'viaj entrados lugar residen acu'!$P$13:$P$21)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acu'!$V$9:$V$10,'viaj entrados lugar residen acu'!$V$13:$V$21)</c:f>
              <c:numCache>
                <c:formatCode>#,##0</c:formatCode>
                <c:ptCount val="11"/>
                <c:pt idx="0">
                  <c:v>41777</c:v>
                </c:pt>
                <c:pt idx="1">
                  <c:v>26153</c:v>
                </c:pt>
                <c:pt idx="2">
                  <c:v>15624</c:v>
                </c:pt>
                <c:pt idx="3">
                  <c:v>2246</c:v>
                </c:pt>
                <c:pt idx="4">
                  <c:v>3010</c:v>
                </c:pt>
                <c:pt idx="5">
                  <c:v>2752</c:v>
                </c:pt>
                <c:pt idx="6">
                  <c:v>701</c:v>
                </c:pt>
                <c:pt idx="7">
                  <c:v>639</c:v>
                </c:pt>
                <c:pt idx="8">
                  <c:v>178</c:v>
                </c:pt>
                <c:pt idx="9">
                  <c:v>282</c:v>
                </c:pt>
                <c:pt idx="10">
                  <c:v>5816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87FC-49F0-8CB9-80DA93966086}"/>
            </c:ext>
          </c:extLst>
        </c:ser>
        <c:ser>
          <c:idx val="1"/>
          <c:order val="1"/>
          <c:tx>
            <c:strRef>
              <c:f>'viaj entrados lugar residen acu'!$W$7</c:f>
              <c:strCache>
                <c:ptCount val="1"/>
                <c:pt idx="0">
                  <c:v>var. 24/23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9.2141226976699513E-3"/>
                  <c:y val="0.6388428889997772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7FC-49F0-8CB9-80DA93966086}"/>
                </c:ext>
              </c:extLst>
            </c:dLbl>
            <c:dLbl>
              <c:idx val="1"/>
              <c:layout>
                <c:manualLayout>
                  <c:x val="-3.8432546766976566E-3"/>
                  <c:y val="0.4826436169163065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7FC-49F0-8CB9-80DA93966086}"/>
                </c:ext>
              </c:extLst>
            </c:dLbl>
            <c:dLbl>
              <c:idx val="2"/>
              <c:layout>
                <c:manualLayout>
                  <c:x val="-3.7759152420983179E-3"/>
                  <c:y val="-0.2770112382568720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7FC-49F0-8CB9-80DA93966086}"/>
                </c:ext>
              </c:extLst>
            </c:dLbl>
            <c:dLbl>
              <c:idx val="3"/>
              <c:layout>
                <c:manualLayout>
                  <c:x val="-3.7759152420983179E-3"/>
                  <c:y val="-0.114374425001386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7FC-49F0-8CB9-80DA93966086}"/>
                </c:ext>
              </c:extLst>
            </c:dLbl>
            <c:dLbl>
              <c:idx val="4"/>
              <c:layout>
                <c:manualLayout>
                  <c:x val="-5.1691629238469292E-3"/>
                  <c:y val="-0.1236975077363449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7FC-49F0-8CB9-80DA93966086}"/>
                </c:ext>
              </c:extLst>
            </c:dLbl>
            <c:dLbl>
              <c:idx val="5"/>
              <c:layout>
                <c:manualLayout>
                  <c:x val="-3.977724741447892E-3"/>
                  <c:y val="0.218468180199279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7FC-49F0-8CB9-80DA93966086}"/>
                </c:ext>
              </c:extLst>
            </c:dLbl>
            <c:dLbl>
              <c:idx val="6"/>
              <c:layout>
                <c:manualLayout>
                  <c:x val="-2.5173064820641915E-3"/>
                  <c:y val="-0.1249537680338978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7FC-49F0-8CB9-80DA93966086}"/>
                </c:ext>
              </c:extLst>
            </c:dLbl>
            <c:dLbl>
              <c:idx val="7"/>
              <c:layout>
                <c:manualLayout>
                  <c:x val="-2.5845814619234646E-3"/>
                  <c:y val="-0.1202592157183360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7FC-49F0-8CB9-80DA93966086}"/>
                </c:ext>
              </c:extLst>
            </c:dLbl>
            <c:dLbl>
              <c:idx val="8"/>
              <c:layout>
                <c:manualLayout>
                  <c:x val="-3.775959723096287E-3"/>
                  <c:y val="-0.1100049748683375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7FC-49F0-8CB9-80DA93966086}"/>
                </c:ext>
              </c:extLst>
            </c:dLbl>
            <c:dLbl>
              <c:idx val="9"/>
              <c:layout>
                <c:manualLayout>
                  <c:x val="-3.7086802097230907E-3"/>
                  <c:y val="-0.1054082525398611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7FC-49F0-8CB9-80DA93966086}"/>
                </c:ext>
              </c:extLst>
            </c:dLbl>
            <c:dLbl>
              <c:idx val="10"/>
              <c:layout>
                <c:manualLayout>
                  <c:x val="-2.6518164942985947E-3"/>
                  <c:y val="-0.1533385394494861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7FC-49F0-8CB9-80DA93966086}"/>
                </c:ext>
              </c:extLst>
            </c:dLbl>
            <c:spPr>
              <a:noFill/>
              <a:ln>
                <a:solidFill>
                  <a:srgbClr val="58B6C0"/>
                </a:solidFill>
              </a:ln>
              <a:effectLst/>
            </c:spPr>
            <c:txPr>
              <a:bodyPr rot="-540000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residen acu'!$P$9:$P$10,'viaj entrados lugar residen acu'!$P$13:$P$21)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acu'!$W$9:$W$10,'viaj entrados lugar residen acu'!$W$13:$W$21)</c:f>
              <c:numCache>
                <c:formatCode>0.0%</c:formatCode>
                <c:ptCount val="11"/>
                <c:pt idx="0">
                  <c:v>-5.4583719930299424E-2</c:v>
                </c:pt>
                <c:pt idx="1">
                  <c:v>-0.12414601473543196</c:v>
                </c:pt>
                <c:pt idx="2">
                  <c:v>9.0376160234489467E-2</c:v>
                </c:pt>
                <c:pt idx="3">
                  <c:v>0.11298315163528239</c:v>
                </c:pt>
                <c:pt idx="4">
                  <c:v>0.16261104673619164</c:v>
                </c:pt>
                <c:pt idx="5">
                  <c:v>-3.0644593166607947E-2</c:v>
                </c:pt>
                <c:pt idx="6">
                  <c:v>8.5139318885449011E-2</c:v>
                </c:pt>
                <c:pt idx="7">
                  <c:v>0.5</c:v>
                </c:pt>
                <c:pt idx="8">
                  <c:v>0.679245283018868</c:v>
                </c:pt>
                <c:pt idx="9">
                  <c:v>0.48421052631578942</c:v>
                </c:pt>
                <c:pt idx="10">
                  <c:v>5.4578422484134137E-2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87FC-49F0-8CB9-80DA93966086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8-87FC-49F0-8CB9-80DA93966086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87FC-49F0-8CB9-80DA93966086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87FC-49F0-8CB9-80DA93966086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87FC-49F0-8CB9-80DA93966086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87FC-49F0-8CB9-80DA93966086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87FC-49F0-8CB9-80DA93966086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87FC-49F0-8CB9-80DA93966086}"/>
              </c:ext>
            </c:extLst>
          </c:dPt>
          <c:dLbls>
            <c:dLbl>
              <c:idx val="0"/>
              <c:layout>
                <c:manualLayout>
                  <c:x val="-1.2224352027595595E-2"/>
                  <c:y val="6.38548001048740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7FC-49F0-8CB9-80DA93966086}"/>
                </c:ext>
              </c:extLst>
            </c:dLbl>
            <c:dLbl>
              <c:idx val="1"/>
              <c:layout>
                <c:manualLayout>
                  <c:x val="-1.0472795912444119E-2"/>
                  <c:y val="5.828989421435102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87FC-49F0-8CB9-80DA93966086}"/>
                </c:ext>
              </c:extLst>
            </c:dLbl>
            <c:dLbl>
              <c:idx val="2"/>
              <c:layout>
                <c:manualLayout>
                  <c:x val="-9.0795482306955059E-3"/>
                  <c:y val="6.056912058924965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87FC-49F0-8CB9-80DA93966086}"/>
                </c:ext>
              </c:extLst>
            </c:dLbl>
            <c:dLbl>
              <c:idx val="3"/>
              <c:layout>
                <c:manualLayout>
                  <c:x val="-6.3527709394321421E-3"/>
                  <c:y val="6.246982285109089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7FC-49F0-8CB9-80DA93966086}"/>
                </c:ext>
              </c:extLst>
            </c:dLbl>
            <c:dLbl>
              <c:idx val="4"/>
              <c:layout>
                <c:manualLayout>
                  <c:x val="-1.3869000265181649E-2"/>
                  <c:y val="6.4449838507028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7FC-49F0-8CB9-80DA93966086}"/>
                </c:ext>
              </c:extLst>
            </c:dLbl>
            <c:dLbl>
              <c:idx val="5"/>
              <c:layout>
                <c:manualLayout>
                  <c:x val="-1.1079059628286321E-2"/>
                  <c:y val="6.422016796772583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7FC-49F0-8CB9-80DA93966086}"/>
                </c:ext>
              </c:extLst>
            </c:dLbl>
            <c:dLbl>
              <c:idx val="6"/>
              <c:layout>
                <c:manualLayout>
                  <c:x val="-9.5354727437113318E-3"/>
                  <c:y val="6.58006095102773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87FC-49F0-8CB9-80DA93966086}"/>
                </c:ext>
              </c:extLst>
            </c:dLbl>
            <c:dLbl>
              <c:idx val="7"/>
              <c:layout>
                <c:manualLayout>
                  <c:x val="-8.7662371559163697E-3"/>
                  <c:y val="6.296205455521058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87FC-49F0-8CB9-80DA93966086}"/>
                </c:ext>
              </c:extLst>
            </c:dLbl>
            <c:dLbl>
              <c:idx val="8"/>
              <c:layout>
                <c:manualLayout>
                  <c:x val="-7.955449482895784E-3"/>
                  <c:y val="6.20001447187520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87FC-49F0-8CB9-80DA93966086}"/>
                </c:ext>
              </c:extLst>
            </c:dLbl>
            <c:dLbl>
              <c:idx val="9"/>
              <c:layout>
                <c:manualLayout>
                  <c:x val="-9.2813577300451776E-3"/>
                  <c:y val="6.438875591678842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87FC-49F0-8CB9-80DA93966086}"/>
                </c:ext>
              </c:extLst>
            </c:dLbl>
            <c:dLbl>
              <c:idx val="10"/>
              <c:layout>
                <c:manualLayout>
                  <c:x val="-8.9088505941530578E-3"/>
                  <c:y val="6.574159433078392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87FC-49F0-8CB9-80DA93966086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residen acu'!$P$9:$P$10,'viaj entrados lugar residen acu'!$P$13:$P$21)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acu'!$AA$9:$AA$10,'viaj entrados lugar residen acu'!$AA$13:$AA$21)</c:f>
              <c:numCache>
                <c:formatCode>0.0%</c:formatCode>
                <c:ptCount val="11"/>
                <c:pt idx="0">
                  <c:v>1</c:v>
                </c:pt>
                <c:pt idx="1">
                  <c:v>0.62601431409627306</c:v>
                </c:pt>
                <c:pt idx="2">
                  <c:v>0.37398568590372694</c:v>
                </c:pt>
                <c:pt idx="3">
                  <c:v>5.3761639179452807E-2</c:v>
                </c:pt>
                <c:pt idx="4">
                  <c:v>7.2049213682169613E-2</c:v>
                </c:pt>
                <c:pt idx="5">
                  <c:v>6.5873566795126501E-2</c:v>
                </c:pt>
                <c:pt idx="6">
                  <c:v>1.6779567704717908E-2</c:v>
                </c:pt>
                <c:pt idx="7">
                  <c:v>1.5295497522560261E-2</c:v>
                </c:pt>
                <c:pt idx="8">
                  <c:v>4.2607176197429208E-3</c:v>
                </c:pt>
                <c:pt idx="9">
                  <c:v>6.7501256672331663E-3</c:v>
                </c:pt>
                <c:pt idx="10">
                  <c:v>0.13921535773272375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9-87FC-49F0-8CB9-80DA939660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5567582691781662E-2"/>
          <c:y val="0.30968384591023873"/>
          <c:w val="0.95795330741250462"/>
          <c:h val="0.513800248653128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 hot'!$V$7</c:f>
              <c:strCache>
                <c:ptCount val="1"/>
                <c:pt idx="0">
                  <c:v>acumulado septiembre 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F19C-49CC-9805-02DC990C9387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F19C-49CC-9805-02DC990C9387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F19C-49CC-9805-02DC990C9387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F19C-49CC-9805-02DC990C9387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F19C-49CC-9805-02DC990C9387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F19C-49CC-9805-02DC990C9387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F19C-49CC-9805-02DC990C9387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F19C-49CC-9805-02DC990C938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 hot'!$P$9:$P$10,'viaj entrados lugar residen hot'!$P$13:$P$21)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hot'!$V$9:$V$10,'viaj entrados lugar residen hot'!$V$13:$V$21)</c:f>
              <c:numCache>
                <c:formatCode>#,##0</c:formatCode>
                <c:ptCount val="11"/>
                <c:pt idx="0">
                  <c:v>41777</c:v>
                </c:pt>
                <c:pt idx="1">
                  <c:v>26153</c:v>
                </c:pt>
                <c:pt idx="2">
                  <c:v>15624</c:v>
                </c:pt>
                <c:pt idx="3">
                  <c:v>2246</c:v>
                </c:pt>
                <c:pt idx="4">
                  <c:v>3010</c:v>
                </c:pt>
                <c:pt idx="5">
                  <c:v>2752</c:v>
                </c:pt>
                <c:pt idx="6">
                  <c:v>701</c:v>
                </c:pt>
                <c:pt idx="7">
                  <c:v>639</c:v>
                </c:pt>
                <c:pt idx="8">
                  <c:v>178</c:v>
                </c:pt>
                <c:pt idx="9">
                  <c:v>282</c:v>
                </c:pt>
                <c:pt idx="10">
                  <c:v>5816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19C-49CC-9805-02DC990C9387}"/>
            </c:ext>
          </c:extLst>
        </c:ser>
        <c:ser>
          <c:idx val="1"/>
          <c:order val="1"/>
          <c:tx>
            <c:strRef>
              <c:f>'viaj entrados lugar residen hot'!$W$7</c:f>
              <c:strCache>
                <c:ptCount val="1"/>
                <c:pt idx="0">
                  <c:v>var. 24/23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5.2363979562220593E-3"/>
                  <c:y val="0.6221344512387079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19C-49CC-9805-02DC990C9387}"/>
                </c:ext>
              </c:extLst>
            </c:dLbl>
            <c:dLbl>
              <c:idx val="1"/>
              <c:layout>
                <c:manualLayout>
                  <c:x val="-2.517346429548335E-3"/>
                  <c:y val="0.4778697775560009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19C-49CC-9805-02DC990C9387}"/>
                </c:ext>
              </c:extLst>
            </c:dLbl>
            <c:dLbl>
              <c:idx val="2"/>
              <c:layout>
                <c:manualLayout>
                  <c:x val="-3.7759152420983179E-3"/>
                  <c:y val="-0.2746243185767192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19C-49CC-9805-02DC990C9387}"/>
                </c:ext>
              </c:extLst>
            </c:dLbl>
            <c:dLbl>
              <c:idx val="3"/>
              <c:layout>
                <c:manualLayout>
                  <c:x val="-7.7536399835462094E-3"/>
                  <c:y val="-0.114374425001386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19C-49CC-9805-02DC990C9387}"/>
                </c:ext>
              </c:extLst>
            </c:dLbl>
            <c:dLbl>
              <c:idx val="4"/>
              <c:layout>
                <c:manualLayout>
                  <c:x val="-2.517346429548335E-3"/>
                  <c:y val="-0.109375989655428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19C-49CC-9805-02DC990C9387}"/>
                </c:ext>
              </c:extLst>
            </c:dLbl>
            <c:dLbl>
              <c:idx val="5"/>
              <c:layout>
                <c:manualLayout>
                  <c:x val="-3.977724741447892E-3"/>
                  <c:y val="0.2208550998794323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19C-49CC-9805-02DC990C9387}"/>
                </c:ext>
              </c:extLst>
            </c:dLbl>
            <c:dLbl>
              <c:idx val="6"/>
              <c:layout>
                <c:manualLayout>
                  <c:x val="-2.5173064820641915E-3"/>
                  <c:y val="-0.1249537680338978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19C-49CC-9805-02DC990C9387}"/>
                </c:ext>
              </c:extLst>
            </c:dLbl>
            <c:dLbl>
              <c:idx val="7"/>
              <c:layout>
                <c:manualLayout>
                  <c:x val="-2.5845814619234646E-3"/>
                  <c:y val="-0.1202592157183360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19C-49CC-9805-02DC990C9387}"/>
                </c:ext>
              </c:extLst>
            </c:dLbl>
            <c:dLbl>
              <c:idx val="8"/>
              <c:layout>
                <c:manualLayout>
                  <c:x val="-3.775959723096287E-3"/>
                  <c:y val="-0.1100049748683375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19C-49CC-9805-02DC990C9387}"/>
                </c:ext>
              </c:extLst>
            </c:dLbl>
            <c:dLbl>
              <c:idx val="9"/>
              <c:layout>
                <c:manualLayout>
                  <c:x val="-3.7086802097230907E-3"/>
                  <c:y val="-0.1054082525398611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19C-49CC-9805-02DC990C9387}"/>
                </c:ext>
              </c:extLst>
            </c:dLbl>
            <c:dLbl>
              <c:idx val="10"/>
              <c:layout>
                <c:manualLayout>
                  <c:x val="-2.6518164942985947E-3"/>
                  <c:y val="-0.1652731378502499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19C-49CC-9805-02DC990C9387}"/>
                </c:ext>
              </c:extLst>
            </c:dLbl>
            <c:spPr>
              <a:noFill/>
              <a:ln>
                <a:solidFill>
                  <a:srgbClr val="58B6C0"/>
                </a:solidFill>
              </a:ln>
              <a:effectLst/>
            </c:spPr>
            <c:txPr>
              <a:bodyPr rot="-540000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residen hot'!$P$9:$P$10,'viaj entrados lugar residen hot'!$P$13:$P$21)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hot'!$W$9:$W$10,'viaj entrados lugar residen hot'!$W$13:$W$21)</c:f>
              <c:numCache>
                <c:formatCode>0.0%</c:formatCode>
                <c:ptCount val="11"/>
                <c:pt idx="0">
                  <c:v>-5.4583719930299424E-2</c:v>
                </c:pt>
                <c:pt idx="1">
                  <c:v>-0.12414601473543196</c:v>
                </c:pt>
                <c:pt idx="2">
                  <c:v>9.0376160234489467E-2</c:v>
                </c:pt>
                <c:pt idx="3">
                  <c:v>0.11298315163528239</c:v>
                </c:pt>
                <c:pt idx="4">
                  <c:v>0.16261104673619164</c:v>
                </c:pt>
                <c:pt idx="5">
                  <c:v>-3.0644593166607947E-2</c:v>
                </c:pt>
                <c:pt idx="6">
                  <c:v>8.5139318885449011E-2</c:v>
                </c:pt>
                <c:pt idx="7">
                  <c:v>0.5</c:v>
                </c:pt>
                <c:pt idx="8">
                  <c:v>0.679245283018868</c:v>
                </c:pt>
                <c:pt idx="9">
                  <c:v>0.48421052631578942</c:v>
                </c:pt>
                <c:pt idx="10">
                  <c:v>5.4578422484134137E-2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F19C-49CC-9805-02DC990C9387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8-F19C-49CC-9805-02DC990C9387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F19C-49CC-9805-02DC990C9387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F19C-49CC-9805-02DC990C9387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F19C-49CC-9805-02DC990C9387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F19C-49CC-9805-02DC990C9387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F19C-49CC-9805-02DC990C9387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F19C-49CC-9805-02DC990C9387}"/>
              </c:ext>
            </c:extLst>
          </c:dPt>
          <c:dLbls>
            <c:dLbl>
              <c:idx val="0"/>
              <c:layout>
                <c:manualLayout>
                  <c:x val="-1.2224352027595595E-2"/>
                  <c:y val="6.38548001048740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19C-49CC-9805-02DC990C9387}"/>
                </c:ext>
              </c:extLst>
            </c:dLbl>
            <c:dLbl>
              <c:idx val="1"/>
              <c:layout>
                <c:manualLayout>
                  <c:x val="-1.0472795912444119E-2"/>
                  <c:y val="5.828989421435102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F19C-49CC-9805-02DC990C9387}"/>
                </c:ext>
              </c:extLst>
            </c:dLbl>
            <c:dLbl>
              <c:idx val="2"/>
              <c:layout>
                <c:manualLayout>
                  <c:x val="-9.0795482306955059E-3"/>
                  <c:y val="6.056912058924965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F19C-49CC-9805-02DC990C9387}"/>
                </c:ext>
              </c:extLst>
            </c:dLbl>
            <c:dLbl>
              <c:idx val="3"/>
              <c:layout>
                <c:manualLayout>
                  <c:x val="-6.3527709394321421E-3"/>
                  <c:y val="6.246982285109089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19C-49CC-9805-02DC990C9387}"/>
                </c:ext>
              </c:extLst>
            </c:dLbl>
            <c:dLbl>
              <c:idx val="4"/>
              <c:layout>
                <c:manualLayout>
                  <c:x val="-1.3869000265181649E-2"/>
                  <c:y val="6.4449838507028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19C-49CC-9805-02DC990C9387}"/>
                </c:ext>
              </c:extLst>
            </c:dLbl>
            <c:dLbl>
              <c:idx val="5"/>
              <c:layout>
                <c:manualLayout>
                  <c:x val="-1.1079059628286321E-2"/>
                  <c:y val="6.422016796772583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19C-49CC-9805-02DC990C9387}"/>
                </c:ext>
              </c:extLst>
            </c:dLbl>
            <c:dLbl>
              <c:idx val="6"/>
              <c:layout>
                <c:manualLayout>
                  <c:x val="-9.5354727437113318E-3"/>
                  <c:y val="6.58006095102773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F19C-49CC-9805-02DC990C9387}"/>
                </c:ext>
              </c:extLst>
            </c:dLbl>
            <c:dLbl>
              <c:idx val="7"/>
              <c:layout>
                <c:manualLayout>
                  <c:x val="-8.7662371559163697E-3"/>
                  <c:y val="6.296205455521058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F19C-49CC-9805-02DC990C9387}"/>
                </c:ext>
              </c:extLst>
            </c:dLbl>
            <c:dLbl>
              <c:idx val="8"/>
              <c:layout>
                <c:manualLayout>
                  <c:x val="-7.955449482895784E-3"/>
                  <c:y val="6.20001447187520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F19C-49CC-9805-02DC990C9387}"/>
                </c:ext>
              </c:extLst>
            </c:dLbl>
            <c:dLbl>
              <c:idx val="9"/>
              <c:layout>
                <c:manualLayout>
                  <c:x val="-9.2813577300451776E-3"/>
                  <c:y val="6.438875591678842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F19C-49CC-9805-02DC990C9387}"/>
                </c:ext>
              </c:extLst>
            </c:dLbl>
            <c:dLbl>
              <c:idx val="10"/>
              <c:layout>
                <c:manualLayout>
                  <c:x val="-8.9088505941530578E-3"/>
                  <c:y val="6.574159433078392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F19C-49CC-9805-02DC990C9387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residen hot'!$P$9:$P$10,'viaj entrados lugar residen hot'!$P$13:$P$21)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hot'!$AA$9:$AA$10,'viaj entrados lugar residen hot'!$AA$13:$AA$21)</c:f>
              <c:numCache>
                <c:formatCode>0.0%</c:formatCode>
                <c:ptCount val="11"/>
                <c:pt idx="0">
                  <c:v>1</c:v>
                </c:pt>
                <c:pt idx="1">
                  <c:v>0.62601431409627306</c:v>
                </c:pt>
                <c:pt idx="2">
                  <c:v>0.37398568590372694</c:v>
                </c:pt>
                <c:pt idx="3">
                  <c:v>5.3761639179452807E-2</c:v>
                </c:pt>
                <c:pt idx="4">
                  <c:v>7.2049213682169613E-2</c:v>
                </c:pt>
                <c:pt idx="5">
                  <c:v>6.5873566795126501E-2</c:v>
                </c:pt>
                <c:pt idx="6">
                  <c:v>1.6779567704717908E-2</c:v>
                </c:pt>
                <c:pt idx="7">
                  <c:v>1.5295497522560261E-2</c:v>
                </c:pt>
                <c:pt idx="8">
                  <c:v>4.2607176197429208E-3</c:v>
                </c:pt>
                <c:pt idx="9">
                  <c:v>6.7501256672331663E-3</c:v>
                </c:pt>
                <c:pt idx="10">
                  <c:v>0.13921535773272375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9-F19C-49CC-9805-02DC990C93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8.3307754788407989E-3"/>
          <c:y val="0.29297540814916934"/>
          <c:w val="0.95795330741250462"/>
          <c:h val="0.513800248653128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aloj lugar residen mes'!$Q$8</c:f>
              <c:strCache>
                <c:ptCount val="1"/>
                <c:pt idx="0">
                  <c:v>septiembre 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2C22-4729-BCD6-3D81059509D6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2C22-4729-BCD6-3D81059509D6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2C22-4729-BCD6-3D81059509D6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2C22-4729-BCD6-3D81059509D6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2C22-4729-BCD6-3D81059509D6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2C22-4729-BCD6-3D81059509D6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2C22-4729-BCD6-3D81059509D6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2C22-4729-BCD6-3D81059509D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aloj lugar residen mes'!$L$10,'viaj aloj lugar residen mes'!$L$11,'viaj aloj lugar residen mes'!$L$14:$L$22)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 lugar residen mes'!$Q$10,'viaj aloj lugar residen mes'!$Q$11,'viaj aloj lugar residen mes'!$Q$14:$Q$22)</c:f>
              <c:numCache>
                <c:formatCode>#,##0</c:formatCode>
                <c:ptCount val="11"/>
                <c:pt idx="0">
                  <c:v>5250</c:v>
                </c:pt>
                <c:pt idx="1">
                  <c:v>4146</c:v>
                </c:pt>
                <c:pt idx="2">
                  <c:v>1104</c:v>
                </c:pt>
                <c:pt idx="3">
                  <c:v>134</c:v>
                </c:pt>
                <c:pt idx="4">
                  <c:v>258</c:v>
                </c:pt>
                <c:pt idx="5">
                  <c:v>166</c:v>
                </c:pt>
                <c:pt idx="6">
                  <c:v>36</c:v>
                </c:pt>
                <c:pt idx="7">
                  <c:v>46</c:v>
                </c:pt>
                <c:pt idx="8">
                  <c:v>13</c:v>
                </c:pt>
                <c:pt idx="9">
                  <c:v>10</c:v>
                </c:pt>
                <c:pt idx="10">
                  <c:v>441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C22-4729-BCD6-3D81059509D6}"/>
            </c:ext>
          </c:extLst>
        </c:ser>
        <c:ser>
          <c:idx val="1"/>
          <c:order val="1"/>
          <c:tx>
            <c:strRef>
              <c:f>'viaj aloj lugar residen mes'!$R$8</c:f>
              <c:strCache>
                <c:ptCount val="1"/>
                <c:pt idx="0">
                  <c:v>var. 24/23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7.88821445052066E-3"/>
                  <c:y val="-0.4868019317134230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C22-4729-BCD6-3D81059509D6}"/>
                </c:ext>
              </c:extLst>
            </c:dLbl>
            <c:dLbl>
              <c:idx val="1"/>
              <c:layout>
                <c:manualLayout>
                  <c:x val="-9.1468876652948221E-3"/>
                  <c:y val="-0.4097397599736123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C22-4729-BCD6-3D81059509D6}"/>
                </c:ext>
              </c:extLst>
            </c:dLbl>
            <c:dLbl>
              <c:idx val="2"/>
              <c:layout>
                <c:manualLayout>
                  <c:x val="-1.1731364724994125E-2"/>
                  <c:y val="0.2863871339390847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C22-4729-BCD6-3D81059509D6}"/>
                </c:ext>
              </c:extLst>
            </c:dLbl>
            <c:dLbl>
              <c:idx val="3"/>
              <c:layout>
                <c:manualLayout>
                  <c:x val="-7.7536399835462094E-3"/>
                  <c:y val="0.181367178726719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C22-4729-BCD6-3D81059509D6}"/>
                </c:ext>
              </c:extLst>
            </c:dLbl>
            <c:dLbl>
              <c:idx val="4"/>
              <c:layout>
                <c:manualLayout>
                  <c:x val="-6.4950711709962751E-3"/>
                  <c:y val="-8.073276554716374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C22-4729-BCD6-3D81059509D6}"/>
                </c:ext>
              </c:extLst>
            </c:dLbl>
            <c:dLbl>
              <c:idx val="5"/>
              <c:layout>
                <c:manualLayout>
                  <c:x val="-6.6295412357464866E-3"/>
                  <c:y val="0.2136943408389741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C22-4729-BCD6-3D81059509D6}"/>
                </c:ext>
              </c:extLst>
            </c:dLbl>
            <c:dLbl>
              <c:idx val="6"/>
              <c:layout>
                <c:manualLayout>
                  <c:x val="-5.1691629238469292E-3"/>
                  <c:y val="0.1996675227626622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C22-4729-BCD6-3D81059509D6}"/>
                </c:ext>
              </c:extLst>
            </c:dLbl>
            <c:dLbl>
              <c:idx val="7"/>
              <c:layout>
                <c:manualLayout>
                  <c:x val="-3.9104897090727619E-3"/>
                  <c:y val="-0.1011638582771138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C22-4729-BCD6-3D81059509D6}"/>
                </c:ext>
              </c:extLst>
            </c:dLbl>
            <c:dLbl>
              <c:idx val="8"/>
              <c:layout>
                <c:manualLayout>
                  <c:x val="-3.7759152420983179E-3"/>
                  <c:y val="-6.704049211893625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C22-4729-BCD6-3D81059509D6}"/>
                </c:ext>
              </c:extLst>
            </c:dLbl>
            <c:dLbl>
              <c:idx val="9"/>
              <c:layout>
                <c:manualLayout>
                  <c:x val="-6.360496704021782E-3"/>
                  <c:y val="0.1762484576645964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C22-4729-BCD6-3D81059509D6}"/>
                </c:ext>
              </c:extLst>
            </c:dLbl>
            <c:dLbl>
              <c:idx val="10"/>
              <c:layout>
                <c:manualLayout>
                  <c:x val="-3.9777247414480863E-3"/>
                  <c:y val="0.2046996005198598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C22-4729-BCD6-3D81059509D6}"/>
                </c:ext>
              </c:extLst>
            </c:dLbl>
            <c:spPr>
              <a:noFill/>
              <a:ln>
                <a:solidFill>
                  <a:srgbClr val="58B6C0"/>
                </a:solidFill>
              </a:ln>
              <a:effectLst/>
            </c:spPr>
            <c:txPr>
              <a:bodyPr rot="-540000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aloj lugar residen mes'!$L$10,'viaj aloj lugar residen mes'!$L$11,'viaj aloj lugar residen mes'!$L$14:$L$22)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 lugar residen mes'!$R$10,'viaj aloj lugar residen mes'!$R$11,'viaj aloj lugar residen mes'!$R$14:$R$22)</c:f>
              <c:numCache>
                <c:formatCode>0.0%</c:formatCode>
                <c:ptCount val="11"/>
                <c:pt idx="0">
                  <c:v>0.10853040540540548</c:v>
                </c:pt>
                <c:pt idx="1">
                  <c:v>0.19826589595375732</c:v>
                </c:pt>
                <c:pt idx="2">
                  <c:v>-0.13479623824451414</c:v>
                </c:pt>
                <c:pt idx="3">
                  <c:v>-0.19760479041916168</c:v>
                </c:pt>
                <c:pt idx="4">
                  <c:v>3.8910505836575737E-3</c:v>
                </c:pt>
                <c:pt idx="5">
                  <c:v>-0.2589285714285714</c:v>
                </c:pt>
                <c:pt idx="6">
                  <c:v>-0.18181818181818177</c:v>
                </c:pt>
                <c:pt idx="7">
                  <c:v>2.2222222222222143E-2</c:v>
                </c:pt>
                <c:pt idx="8">
                  <c:v>2.25</c:v>
                </c:pt>
                <c:pt idx="9">
                  <c:v>-0.2857142857142857</c:v>
                </c:pt>
                <c:pt idx="10">
                  <c:v>-0.15355086372360849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2C22-4729-BCD6-3D81059509D6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8-2C22-4729-BCD6-3D81059509D6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2C22-4729-BCD6-3D81059509D6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2C22-4729-BCD6-3D81059509D6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2C22-4729-BCD6-3D81059509D6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2C22-4729-BCD6-3D81059509D6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2C22-4729-BCD6-3D81059509D6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2C22-4729-BCD6-3D81059509D6}"/>
              </c:ext>
            </c:extLst>
          </c:dPt>
          <c:dLbls>
            <c:dLbl>
              <c:idx val="0"/>
              <c:layout>
                <c:manualLayout>
                  <c:x val="-1.2224352027595595E-2"/>
                  <c:y val="6.38548001048740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C22-4729-BCD6-3D81059509D6}"/>
                </c:ext>
              </c:extLst>
            </c:dLbl>
            <c:dLbl>
              <c:idx val="1"/>
              <c:layout>
                <c:manualLayout>
                  <c:x val="-1.0472795912444119E-2"/>
                  <c:y val="5.828989421435102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2C22-4729-BCD6-3D81059509D6}"/>
                </c:ext>
              </c:extLst>
            </c:dLbl>
            <c:dLbl>
              <c:idx val="2"/>
              <c:layout>
                <c:manualLayout>
                  <c:x val="-9.0795482306955059E-3"/>
                  <c:y val="6.056912058924965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2C22-4729-BCD6-3D81059509D6}"/>
                </c:ext>
              </c:extLst>
            </c:dLbl>
            <c:dLbl>
              <c:idx val="3"/>
              <c:layout>
                <c:manualLayout>
                  <c:x val="-6.3527709394321421E-3"/>
                  <c:y val="6.246982285109089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C22-4729-BCD6-3D81059509D6}"/>
                </c:ext>
              </c:extLst>
            </c:dLbl>
            <c:dLbl>
              <c:idx val="4"/>
              <c:layout>
                <c:manualLayout>
                  <c:x val="-1.3869000265181649E-2"/>
                  <c:y val="6.4449838507028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C22-4729-BCD6-3D81059509D6}"/>
                </c:ext>
              </c:extLst>
            </c:dLbl>
            <c:dLbl>
              <c:idx val="5"/>
              <c:layout>
                <c:manualLayout>
                  <c:x val="-1.1079059628286321E-2"/>
                  <c:y val="6.422016796772583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C22-4729-BCD6-3D81059509D6}"/>
                </c:ext>
              </c:extLst>
            </c:dLbl>
            <c:dLbl>
              <c:idx val="6"/>
              <c:layout>
                <c:manualLayout>
                  <c:x val="-9.5354727437113318E-3"/>
                  <c:y val="6.58006095102773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2C22-4729-BCD6-3D81059509D6}"/>
                </c:ext>
              </c:extLst>
            </c:dLbl>
            <c:dLbl>
              <c:idx val="7"/>
              <c:layout>
                <c:manualLayout>
                  <c:x val="-8.7662371559163697E-3"/>
                  <c:y val="6.296205455521058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2C22-4729-BCD6-3D81059509D6}"/>
                </c:ext>
              </c:extLst>
            </c:dLbl>
            <c:dLbl>
              <c:idx val="8"/>
              <c:layout>
                <c:manualLayout>
                  <c:x val="-7.955449482895784E-3"/>
                  <c:y val="6.20001447187520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2C22-4729-BCD6-3D81059509D6}"/>
                </c:ext>
              </c:extLst>
            </c:dLbl>
            <c:dLbl>
              <c:idx val="9"/>
              <c:layout>
                <c:manualLayout>
                  <c:x val="-9.2813577300451776E-3"/>
                  <c:y val="6.438875591678842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2C22-4729-BCD6-3D81059509D6}"/>
                </c:ext>
              </c:extLst>
            </c:dLbl>
            <c:dLbl>
              <c:idx val="10"/>
              <c:layout>
                <c:manualLayout>
                  <c:x val="-8.9088505941530578E-3"/>
                  <c:y val="6.574159433078392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2C22-4729-BCD6-3D81059509D6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aloj lugar residen mes'!$L$10,'viaj aloj lugar residen mes'!$L$11,'viaj aloj lugar residen mes'!$L$14:$L$22)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 lugar residen mes'!$T$10:$T$11,'viaj aloj lugar residen mes'!$T$14:$T$22)</c:f>
              <c:numCache>
                <c:formatCode>0.0%</c:formatCode>
                <c:ptCount val="11"/>
                <c:pt idx="0">
                  <c:v>1</c:v>
                </c:pt>
                <c:pt idx="1">
                  <c:v>0.7897142857142857</c:v>
                </c:pt>
                <c:pt idx="2">
                  <c:v>0.2102857142857143</c:v>
                </c:pt>
                <c:pt idx="3">
                  <c:v>2.5523809523809525E-2</c:v>
                </c:pt>
                <c:pt idx="4">
                  <c:v>4.9142857142857141E-2</c:v>
                </c:pt>
                <c:pt idx="5">
                  <c:v>3.1619047619047616E-2</c:v>
                </c:pt>
                <c:pt idx="6">
                  <c:v>6.8571428571428568E-3</c:v>
                </c:pt>
                <c:pt idx="7">
                  <c:v>8.7619047619047624E-3</c:v>
                </c:pt>
                <c:pt idx="8">
                  <c:v>2.476190476190476E-3</c:v>
                </c:pt>
                <c:pt idx="9">
                  <c:v>1.9047619047619048E-3</c:v>
                </c:pt>
                <c:pt idx="10">
                  <c:v>8.4000000000000005E-2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9-2C22-4729-BCD6-3D81059509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5567582691781662E-2"/>
          <c:y val="0.30968384591023873"/>
          <c:w val="0.95795330741250462"/>
          <c:h val="0.513800248653128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alojados lugar residen acu'!$W$7</c:f>
              <c:strCache>
                <c:ptCount val="1"/>
                <c:pt idx="0">
                  <c:v>acumulado septiembre 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0806-4BAE-A78A-30F844745435}"/>
              </c:ext>
            </c:extLst>
          </c:dPt>
          <c:dPt>
            <c:idx val="4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0806-4BAE-A78A-30F844745435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0806-4BAE-A78A-30F844745435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806-4BAE-A78A-30F844745435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0806-4BAE-A78A-30F844745435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806-4BAE-A78A-30F844745435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0806-4BAE-A78A-30F844745435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0806-4BAE-A78A-30F84474543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'viaj alojados lugar residen acu'!$Q$9:$Q$21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alojados lugar residen acu'!$W$9:$W$21</c:f>
              <c:numCache>
                <c:formatCode>#,##0</c:formatCode>
                <c:ptCount val="13"/>
                <c:pt idx="0">
                  <c:v>43855</c:v>
                </c:pt>
                <c:pt idx="1">
                  <c:v>26797</c:v>
                </c:pt>
                <c:pt idx="2">
                  <c:v>8305</c:v>
                </c:pt>
                <c:pt idx="3">
                  <c:v>18492</c:v>
                </c:pt>
                <c:pt idx="4">
                  <c:v>17058</c:v>
                </c:pt>
                <c:pt idx="5">
                  <c:v>2464</c:v>
                </c:pt>
                <c:pt idx="6">
                  <c:v>3490</c:v>
                </c:pt>
                <c:pt idx="7">
                  <c:v>2887</c:v>
                </c:pt>
                <c:pt idx="8">
                  <c:v>784</c:v>
                </c:pt>
                <c:pt idx="9">
                  <c:v>685</c:v>
                </c:pt>
                <c:pt idx="10">
                  <c:v>192</c:v>
                </c:pt>
                <c:pt idx="11">
                  <c:v>323</c:v>
                </c:pt>
                <c:pt idx="12">
                  <c:v>6233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806-4BAE-A78A-30F844745435}"/>
            </c:ext>
          </c:extLst>
        </c:ser>
        <c:ser>
          <c:idx val="1"/>
          <c:order val="1"/>
          <c:tx>
            <c:strRef>
              <c:f>'viaj alojados lugar residen acu'!$X$7</c:f>
              <c:strCache>
                <c:ptCount val="1"/>
                <c:pt idx="0">
                  <c:v>var. 24/23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6.5623062033713627E-3"/>
                  <c:y val="0.6172576172339360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806-4BAE-A78A-30F844745435}"/>
                </c:ext>
              </c:extLst>
            </c:dLbl>
            <c:dLbl>
              <c:idx val="1"/>
              <c:layout>
                <c:manualLayout>
                  <c:x val="-6.4950711709962266E-3"/>
                  <c:y val="0.4706060238710762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806-4BAE-A78A-30F844745435}"/>
                </c:ext>
              </c:extLst>
            </c:dLbl>
            <c:dLbl>
              <c:idx val="2"/>
              <c:layout>
                <c:manualLayout>
                  <c:x val="-7.955449482895784E-3"/>
                  <c:y val="0.2744957632175677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5D4-485D-9EE4-9E36B8F14AA7}"/>
                </c:ext>
              </c:extLst>
            </c:dLbl>
            <c:dLbl>
              <c:idx val="3"/>
              <c:layout>
                <c:manualLayout>
                  <c:x val="-5.3036329885971893E-3"/>
                  <c:y val="0.3819071488244420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5D4-485D-9EE4-9E36B8F14AA7}"/>
                </c:ext>
              </c:extLst>
            </c:dLbl>
            <c:dLbl>
              <c:idx val="4"/>
              <c:layout>
                <c:manualLayout>
                  <c:x val="-2.4500069949490205E-3"/>
                  <c:y val="-0.2626897201759554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806-4BAE-A78A-30F844745435}"/>
                </c:ext>
              </c:extLst>
            </c:dLbl>
            <c:dLbl>
              <c:idx val="5"/>
              <c:layout>
                <c:manualLayout>
                  <c:x val="-3.7759152420983664E-3"/>
                  <c:y val="-0.1263090234021499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806-4BAE-A78A-30F844745435}"/>
                </c:ext>
              </c:extLst>
            </c:dLbl>
            <c:dLbl>
              <c:idx val="6"/>
              <c:layout>
                <c:manualLayout>
                  <c:x val="-6.4950711709962266E-3"/>
                  <c:y val="-0.1284713470966505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806-4BAE-A78A-30F844745435}"/>
                </c:ext>
              </c:extLst>
            </c:dLbl>
            <c:dLbl>
              <c:idx val="7"/>
              <c:layout>
                <c:manualLayout>
                  <c:x val="-6.6295412357465838E-3"/>
                  <c:y val="0.2471112163611127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806-4BAE-A78A-30F844745435}"/>
                </c:ext>
              </c:extLst>
            </c:dLbl>
            <c:dLbl>
              <c:idx val="8"/>
              <c:layout>
                <c:manualLayout>
                  <c:x val="-2.5173064820641915E-3"/>
                  <c:y val="-0.1249537680338978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806-4BAE-A78A-30F844745435}"/>
                </c:ext>
              </c:extLst>
            </c:dLbl>
            <c:dLbl>
              <c:idx val="9"/>
              <c:layout>
                <c:manualLayout>
                  <c:x val="-2.5845814619234646E-3"/>
                  <c:y val="-0.1202592157183360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806-4BAE-A78A-30F844745435}"/>
                </c:ext>
              </c:extLst>
            </c:dLbl>
            <c:dLbl>
              <c:idx val="10"/>
              <c:layout>
                <c:manualLayout>
                  <c:x val="-3.775959723096287E-3"/>
                  <c:y val="-0.1100049748683375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806-4BAE-A78A-30F844745435}"/>
                </c:ext>
              </c:extLst>
            </c:dLbl>
            <c:dLbl>
              <c:idx val="11"/>
              <c:layout>
                <c:manualLayout>
                  <c:x val="-3.7086802097230907E-3"/>
                  <c:y val="-0.1054082525398611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806-4BAE-A78A-30F844745435}"/>
                </c:ext>
              </c:extLst>
            </c:dLbl>
            <c:dLbl>
              <c:idx val="12"/>
              <c:layout>
                <c:manualLayout>
                  <c:x val="-2.6518164942985947E-3"/>
                  <c:y val="-0.2010769330525414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806-4BAE-A78A-30F844745435}"/>
                </c:ext>
              </c:extLst>
            </c:dLbl>
            <c:spPr>
              <a:noFill/>
              <a:ln>
                <a:solidFill>
                  <a:srgbClr val="58B6C0"/>
                </a:solidFill>
              </a:ln>
              <a:effectLst/>
            </c:spPr>
            <c:txPr>
              <a:bodyPr rot="-540000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'viaj alojados lugar residen acu'!$Q$9:$Q$21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alojados lugar residen acu'!$X$9:$X$21</c:f>
              <c:numCache>
                <c:formatCode>0.0%</c:formatCode>
                <c:ptCount val="13"/>
                <c:pt idx="0">
                  <c:v>-5.3625377643504502E-2</c:v>
                </c:pt>
                <c:pt idx="1">
                  <c:v>-0.1269344801746326</c:v>
                </c:pt>
                <c:pt idx="2">
                  <c:v>-0.1445199835187474</c:v>
                </c:pt>
                <c:pt idx="3">
                  <c:v>-0.11879914224446031</c:v>
                </c:pt>
                <c:pt idx="4">
                  <c:v>9.0177030740717035E-2</c:v>
                </c:pt>
                <c:pt idx="5">
                  <c:v>8.8339222614840951E-2</c:v>
                </c:pt>
                <c:pt idx="6">
                  <c:v>0.14463758609380117</c:v>
                </c:pt>
                <c:pt idx="7">
                  <c:v>-1.1639849366655297E-2</c:v>
                </c:pt>
                <c:pt idx="8">
                  <c:v>8.287292817679548E-2</c:v>
                </c:pt>
                <c:pt idx="9">
                  <c:v>0.51884700665188466</c:v>
                </c:pt>
                <c:pt idx="10">
                  <c:v>0.76146788990825698</c:v>
                </c:pt>
                <c:pt idx="11">
                  <c:v>0.59113300492610832</c:v>
                </c:pt>
                <c:pt idx="12">
                  <c:v>5.1805602429969566E-2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0806-4BAE-A78A-30F844745435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8-0806-4BAE-A78A-30F844745435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0806-4BAE-A78A-30F844745435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0806-4BAE-A78A-30F844745435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0806-4BAE-A78A-30F844745435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0806-4BAE-A78A-30F844745435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0806-4BAE-A78A-30F844745435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0806-4BAE-A78A-30F844745435}"/>
              </c:ext>
            </c:extLst>
          </c:dPt>
          <c:dLbls>
            <c:dLbl>
              <c:idx val="0"/>
              <c:layout>
                <c:manualLayout>
                  <c:x val="-1.2224352027595595E-2"/>
                  <c:y val="6.38548001048740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806-4BAE-A78A-30F844745435}"/>
                </c:ext>
              </c:extLst>
            </c:dLbl>
            <c:dLbl>
              <c:idx val="1"/>
              <c:layout>
                <c:manualLayout>
                  <c:x val="-1.0472795912444119E-2"/>
                  <c:y val="5.828989421435102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0806-4BAE-A78A-30F844745435}"/>
                </c:ext>
              </c:extLst>
            </c:dLbl>
            <c:dLbl>
              <c:idx val="2"/>
              <c:layout>
                <c:manualLayout>
                  <c:x val="-6.6295412357464866E-3"/>
                  <c:y val="5.728776384154988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5D4-485D-9EE4-9E36B8F14AA7}"/>
                </c:ext>
              </c:extLst>
            </c:dLbl>
            <c:dLbl>
              <c:idx val="3"/>
              <c:layout>
                <c:manualLayout>
                  <c:x val="-3.977724741447892E-3"/>
                  <c:y val="5.729001919872797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5D4-485D-9EE4-9E36B8F14AA7}"/>
                </c:ext>
              </c:extLst>
            </c:dLbl>
            <c:dLbl>
              <c:idx val="4"/>
              <c:layout>
                <c:manualLayout>
                  <c:x val="-9.0795482306955059E-3"/>
                  <c:y val="6.056912058924965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0806-4BAE-A78A-30F844745435}"/>
                </c:ext>
              </c:extLst>
            </c:dLbl>
            <c:dLbl>
              <c:idx val="5"/>
              <c:layout>
                <c:manualLayout>
                  <c:x val="-6.3527709394321421E-3"/>
                  <c:y val="6.246982285109089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806-4BAE-A78A-30F844745435}"/>
                </c:ext>
              </c:extLst>
            </c:dLbl>
            <c:dLbl>
              <c:idx val="6"/>
              <c:layout>
                <c:manualLayout>
                  <c:x val="-1.3869000265181649E-2"/>
                  <c:y val="6.4449838507028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806-4BAE-A78A-30F844745435}"/>
                </c:ext>
              </c:extLst>
            </c:dLbl>
            <c:dLbl>
              <c:idx val="7"/>
              <c:layout>
                <c:manualLayout>
                  <c:x val="-1.1079059628286321E-2"/>
                  <c:y val="6.422016796772583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806-4BAE-A78A-30F844745435}"/>
                </c:ext>
              </c:extLst>
            </c:dLbl>
            <c:dLbl>
              <c:idx val="8"/>
              <c:layout>
                <c:manualLayout>
                  <c:x val="-9.5354727437113318E-3"/>
                  <c:y val="6.58006095102773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0806-4BAE-A78A-30F844745435}"/>
                </c:ext>
              </c:extLst>
            </c:dLbl>
            <c:dLbl>
              <c:idx val="9"/>
              <c:layout>
                <c:manualLayout>
                  <c:x val="-8.7662371559163697E-3"/>
                  <c:y val="6.296205455521058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0806-4BAE-A78A-30F844745435}"/>
                </c:ext>
              </c:extLst>
            </c:dLbl>
            <c:dLbl>
              <c:idx val="10"/>
              <c:layout>
                <c:manualLayout>
                  <c:x val="-7.955449482895784E-3"/>
                  <c:y val="6.20001447187520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0806-4BAE-A78A-30F844745435}"/>
                </c:ext>
              </c:extLst>
            </c:dLbl>
            <c:dLbl>
              <c:idx val="11"/>
              <c:layout>
                <c:manualLayout>
                  <c:x val="-9.2813577300451776E-3"/>
                  <c:y val="6.438875591678842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0806-4BAE-A78A-30F844745435}"/>
                </c:ext>
              </c:extLst>
            </c:dLbl>
            <c:dLbl>
              <c:idx val="12"/>
              <c:layout>
                <c:manualLayout>
                  <c:x val="-8.9088505941530578E-3"/>
                  <c:y val="6.574159433078392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0806-4BAE-A78A-30F844745435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'viaj alojados lugar residen acu'!$Q$9:$Q$21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alojados lugar residen acu'!$AB$9:$AB$21</c:f>
              <c:numCache>
                <c:formatCode>0.0%</c:formatCode>
                <c:ptCount val="13"/>
                <c:pt idx="0">
                  <c:v>1</c:v>
                </c:pt>
                <c:pt idx="1">
                  <c:v>0.6110363698552046</c:v>
                </c:pt>
                <c:pt idx="2">
                  <c:v>0.18937407365180708</c:v>
                </c:pt>
                <c:pt idx="3">
                  <c:v>0.42166229620339757</c:v>
                </c:pt>
                <c:pt idx="4">
                  <c:v>0.38896363014479535</c:v>
                </c:pt>
                <c:pt idx="5">
                  <c:v>5.6185155626496411E-2</c:v>
                </c:pt>
                <c:pt idx="6">
                  <c:v>7.9580435526165769E-2</c:v>
                </c:pt>
                <c:pt idx="7">
                  <c:v>6.5830578041272375E-2</c:v>
                </c:pt>
                <c:pt idx="8">
                  <c:v>1.7877094972067038E-2</c:v>
                </c:pt>
                <c:pt idx="9">
                  <c:v>1.561965568350245E-2</c:v>
                </c:pt>
                <c:pt idx="10">
                  <c:v>4.3780640747919279E-3</c:v>
                </c:pt>
                <c:pt idx="11">
                  <c:v>7.3651807091551702E-3</c:v>
                </c:pt>
                <c:pt idx="12">
                  <c:v>0.1421274655113442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9-0806-4BAE-A78A-30F8447454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128-4D11-872C-9922BABE978B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TF'!$C$9:$C$21</c:f>
              <c:numCache>
                <c:formatCode>#,##0</c:formatCode>
                <c:ptCount val="13"/>
                <c:pt idx="0">
                  <c:v>12429</c:v>
                </c:pt>
                <c:pt idx="1">
                  <c:v>13453</c:v>
                </c:pt>
                <c:pt idx="2">
                  <c:v>13930</c:v>
                </c:pt>
                <c:pt idx="3">
                  <c:v>12265</c:v>
                </c:pt>
                <c:pt idx="4">
                  <c:v>11342</c:v>
                </c:pt>
                <c:pt idx="5">
                  <c:v>8525</c:v>
                </c:pt>
                <c:pt idx="6">
                  <c:v>9185</c:v>
                </c:pt>
                <c:pt idx="7">
                  <c:v>9176</c:v>
                </c:pt>
                <c:pt idx="8">
                  <c:v>8003</c:v>
                </c:pt>
                <c:pt idx="9">
                  <c:v>10636</c:v>
                </c:pt>
                <c:pt idx="10">
                  <c:v>14162</c:v>
                </c:pt>
                <c:pt idx="11">
                  <c:v>13020</c:v>
                </c:pt>
                <c:pt idx="12">
                  <c:v>136126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128-4D11-872C-9922BABE978B}"/>
            </c:ext>
          </c:extLst>
        </c:ser>
        <c:ser>
          <c:idx val="5"/>
          <c:order val="1"/>
          <c:tx>
            <c:strRef>
              <c:f>'Pernoctaciones evol mensu TF'!$I$7:$J$7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128-4D11-872C-9922BABE978B}"/>
              </c:ext>
            </c:extLst>
          </c:dPt>
          <c:val>
            <c:numRef>
              <c:f>'Pernoctaciones evol mensu TF'!$I$9:$I$21</c:f>
              <c:numCache>
                <c:formatCode>#,##0</c:formatCode>
                <c:ptCount val="13"/>
                <c:pt idx="0">
                  <c:v>11400</c:v>
                </c:pt>
                <c:pt idx="1">
                  <c:v>11383</c:v>
                </c:pt>
                <c:pt idx="2">
                  <c:v>12710</c:v>
                </c:pt>
                <c:pt idx="3">
                  <c:v>12193</c:v>
                </c:pt>
                <c:pt idx="4">
                  <c:v>10085</c:v>
                </c:pt>
                <c:pt idx="5">
                  <c:v>11277</c:v>
                </c:pt>
                <c:pt idx="6">
                  <c:v>10710</c:v>
                </c:pt>
                <c:pt idx="7">
                  <c:v>10270</c:v>
                </c:pt>
                <c:pt idx="8">
                  <c:v>10967</c:v>
                </c:pt>
                <c:pt idx="9">
                  <c:v>11595</c:v>
                </c:pt>
                <c:pt idx="10">
                  <c:v>13053</c:v>
                </c:pt>
                <c:pt idx="11">
                  <c:v>12114</c:v>
                </c:pt>
                <c:pt idx="12">
                  <c:v>137757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128-4D11-872C-9922BABE978B}"/>
            </c:ext>
          </c:extLst>
        </c:ser>
        <c:ser>
          <c:idx val="0"/>
          <c:order val="2"/>
          <c:tx>
            <c:strRef>
              <c:f>'Pernoctaciones evol mensu TF'!$K$7:$L$7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128-4D11-872C-9922BABE978B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TF'!$K$9:$K$21</c:f>
              <c:numCache>
                <c:formatCode>#,##0</c:formatCode>
                <c:ptCount val="13"/>
                <c:pt idx="0">
                  <c:v>14353</c:v>
                </c:pt>
                <c:pt idx="1">
                  <c:v>14251</c:v>
                </c:pt>
                <c:pt idx="2">
                  <c:v>15603</c:v>
                </c:pt>
                <c:pt idx="3">
                  <c:v>12703</c:v>
                </c:pt>
                <c:pt idx="4">
                  <c:v>12793</c:v>
                </c:pt>
                <c:pt idx="5">
                  <c:v>10373</c:v>
                </c:pt>
                <c:pt idx="6">
                  <c:v>9594</c:v>
                </c:pt>
                <c:pt idx="7">
                  <c:v>11871</c:v>
                </c:pt>
                <c:pt idx="8">
                  <c:v>10606</c:v>
                </c:pt>
                <c:pt idx="9">
                  <c:v>11107</c:v>
                </c:pt>
                <c:pt idx="10">
                  <c:v>13216</c:v>
                </c:pt>
                <c:pt idx="11">
                  <c:v>11864</c:v>
                </c:pt>
                <c:pt idx="12">
                  <c:v>148334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128-4D11-872C-9922BABE978B}"/>
            </c:ext>
          </c:extLst>
        </c:ser>
        <c:ser>
          <c:idx val="1"/>
          <c:order val="3"/>
          <c:tx>
            <c:strRef>
              <c:f>'Pernoctaciones evol mensu TF'!$M$7:$N$7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7128-4D11-872C-9922BABE978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7128-4D11-872C-9922BABE978B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TF'!$M$9:$M$21</c:f>
              <c:numCache>
                <c:formatCode>#,##0</c:formatCode>
                <c:ptCount val="13"/>
                <c:pt idx="0">
                  <c:v>14581</c:v>
                </c:pt>
                <c:pt idx="1">
                  <c:v>15138</c:v>
                </c:pt>
                <c:pt idx="2">
                  <c:v>15292</c:v>
                </c:pt>
                <c:pt idx="3">
                  <c:v>13439</c:v>
                </c:pt>
                <c:pt idx="4">
                  <c:v>12513</c:v>
                </c:pt>
                <c:pt idx="5">
                  <c:v>10115</c:v>
                </c:pt>
                <c:pt idx="6">
                  <c:v>10140</c:v>
                </c:pt>
                <c:pt idx="7">
                  <c:v>9259</c:v>
                </c:pt>
                <c:pt idx="8">
                  <c:v>11345</c:v>
                </c:pt>
                <c:pt idx="12">
                  <c:v>111822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128-4D11-872C-9922BABE97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128-4D11-872C-9922BABE978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128-4D11-872C-9922BABE978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128-4D11-872C-9922BABE978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128-4D11-872C-9922BABE978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128-4D11-872C-9922BABE978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128-4D11-872C-9922BABE978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128-4D11-872C-9922BABE978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128-4D11-872C-9922BABE978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128-4D11-872C-9922BABE978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128-4D11-872C-9922BABE978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128-4D11-872C-9922BABE978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128-4D11-872C-9922BABE978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128-4D11-872C-9922BABE978B}"/>
              </c:ext>
            </c:extLst>
          </c:dPt>
          <c:cat>
            <c:strRef>
              <c:f>'Pernoctaciones evol mensu TF'!$B$9:$B$20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TF'!$N$9:$N$21</c:f>
              <c:numCache>
                <c:formatCode>0.0%</c:formatCode>
                <c:ptCount val="13"/>
                <c:pt idx="0">
                  <c:v>1.5885180798439258E-2</c:v>
                </c:pt>
                <c:pt idx="1">
                  <c:v>6.2241246228334823E-2</c:v>
                </c:pt>
                <c:pt idx="2">
                  <c:v>-1.9932064346599998E-2</c:v>
                </c:pt>
                <c:pt idx="3">
                  <c:v>5.793906951113903E-2</c:v>
                </c:pt>
                <c:pt idx="4">
                  <c:v>-2.1886969436410553E-2</c:v>
                </c:pt>
                <c:pt idx="5">
                  <c:v>-2.4872264532922017E-2</c:v>
                </c:pt>
                <c:pt idx="6">
                  <c:v>5.6910569105691033E-2</c:v>
                </c:pt>
                <c:pt idx="7">
                  <c:v>-0.22003201078257939</c:v>
                </c:pt>
                <c:pt idx="8">
                  <c:v>6.9677541014520061E-2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-2.8979821127627092E-3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7128-4D11-872C-9922BABE978B}"/>
            </c:ext>
          </c:extLst>
        </c:ser>
        <c:ser>
          <c:idx val="4"/>
          <c:order val="5"/>
          <c:tx>
            <c:strRef>
              <c:f>'Pernoctaciones evol mensu TF'!$O$8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'Pernoctaciones evol mensu TF'!$O$9:$O$21</c:f>
              <c:numCache>
                <c:formatCode>0.0%</c:formatCode>
                <c:ptCount val="13"/>
                <c:pt idx="0">
                  <c:v>0.17314345482339699</c:v>
                </c:pt>
                <c:pt idx="1">
                  <c:v>0.12525087341113506</c:v>
                </c:pt>
                <c:pt idx="2">
                  <c:v>9.7774587221823417E-2</c:v>
                </c:pt>
                <c:pt idx="3">
                  <c:v>9.5719527109661584E-2</c:v>
                </c:pt>
                <c:pt idx="4">
                  <c:v>0.10324457767589501</c:v>
                </c:pt>
                <c:pt idx="5">
                  <c:v>0.18651026392961878</c:v>
                </c:pt>
                <c:pt idx="6">
                  <c:v>0.10397387044093631</c:v>
                </c:pt>
                <c:pt idx="7">
                  <c:v>9.045335658238951E-3</c:v>
                </c:pt>
                <c:pt idx="8">
                  <c:v>0.41759340247407217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0.13746592342433983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7128-4D11-872C-9922BABE97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CDF-4AD7-9132-343CB92BCCDA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TF'!$C$31:$C$43</c:f>
              <c:numCache>
                <c:formatCode>#,##0</c:formatCode>
                <c:ptCount val="13"/>
                <c:pt idx="0">
                  <c:v>5236</c:v>
                </c:pt>
                <c:pt idx="1">
                  <c:v>5498</c:v>
                </c:pt>
                <c:pt idx="2">
                  <c:v>5600</c:v>
                </c:pt>
                <c:pt idx="3">
                  <c:v>6291</c:v>
                </c:pt>
                <c:pt idx="4">
                  <c:v>6968</c:v>
                </c:pt>
                <c:pt idx="5">
                  <c:v>6053</c:v>
                </c:pt>
                <c:pt idx="6">
                  <c:v>6343</c:v>
                </c:pt>
                <c:pt idx="7">
                  <c:v>6302</c:v>
                </c:pt>
                <c:pt idx="8">
                  <c:v>5204</c:v>
                </c:pt>
                <c:pt idx="9">
                  <c:v>5938</c:v>
                </c:pt>
                <c:pt idx="10">
                  <c:v>6593</c:v>
                </c:pt>
                <c:pt idx="11">
                  <c:v>6906</c:v>
                </c:pt>
                <c:pt idx="12">
                  <c:v>72932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CDF-4AD7-9132-343CB92BCCDA}"/>
            </c:ext>
          </c:extLst>
        </c:ser>
        <c:ser>
          <c:idx val="5"/>
          <c:order val="1"/>
          <c:tx>
            <c:strRef>
              <c:f>'Pernoctaciones evol mensu TF'!$I$29:$J$29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CDF-4AD7-9132-343CB92BCCDA}"/>
              </c:ext>
            </c:extLst>
          </c:dPt>
          <c:val>
            <c:numRef>
              <c:f>'Pernoctaciones evol mensu TF'!$I$31:$I$43</c:f>
              <c:numCache>
                <c:formatCode>#,##0</c:formatCode>
                <c:ptCount val="13"/>
                <c:pt idx="0">
                  <c:v>4881</c:v>
                </c:pt>
                <c:pt idx="1">
                  <c:v>4475</c:v>
                </c:pt>
                <c:pt idx="2">
                  <c:v>5439</c:v>
                </c:pt>
                <c:pt idx="3">
                  <c:v>5937</c:v>
                </c:pt>
                <c:pt idx="4">
                  <c:v>5218</c:v>
                </c:pt>
                <c:pt idx="5">
                  <c:v>7954</c:v>
                </c:pt>
                <c:pt idx="6">
                  <c:v>6763</c:v>
                </c:pt>
                <c:pt idx="7">
                  <c:v>6043</c:v>
                </c:pt>
                <c:pt idx="8">
                  <c:v>6733</c:v>
                </c:pt>
                <c:pt idx="9">
                  <c:v>5470</c:v>
                </c:pt>
                <c:pt idx="10">
                  <c:v>5918</c:v>
                </c:pt>
                <c:pt idx="11">
                  <c:v>6120</c:v>
                </c:pt>
                <c:pt idx="12">
                  <c:v>70951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CDF-4AD7-9132-343CB92BCCDA}"/>
            </c:ext>
          </c:extLst>
        </c:ser>
        <c:ser>
          <c:idx val="0"/>
          <c:order val="2"/>
          <c:tx>
            <c:strRef>
              <c:f>'Pernoctaciones evol mensu TF'!$K$29:$L$29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CDF-4AD7-9132-343CB92BCCDA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TF'!$K$31:$K$43</c:f>
              <c:numCache>
                <c:formatCode>#,##0</c:formatCode>
                <c:ptCount val="13"/>
                <c:pt idx="0">
                  <c:v>5640</c:v>
                </c:pt>
                <c:pt idx="1">
                  <c:v>5737</c:v>
                </c:pt>
                <c:pt idx="2">
                  <c:v>6448</c:v>
                </c:pt>
                <c:pt idx="3">
                  <c:v>6231</c:v>
                </c:pt>
                <c:pt idx="4">
                  <c:v>7187</c:v>
                </c:pt>
                <c:pt idx="5">
                  <c:v>6546</c:v>
                </c:pt>
                <c:pt idx="6">
                  <c:v>6308</c:v>
                </c:pt>
                <c:pt idx="7">
                  <c:v>7150</c:v>
                </c:pt>
                <c:pt idx="8">
                  <c:v>6420</c:v>
                </c:pt>
                <c:pt idx="9">
                  <c:v>5517</c:v>
                </c:pt>
                <c:pt idx="10">
                  <c:v>4448</c:v>
                </c:pt>
                <c:pt idx="11">
                  <c:v>4800</c:v>
                </c:pt>
                <c:pt idx="12">
                  <c:v>72432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CDF-4AD7-9132-343CB92BCCDA}"/>
            </c:ext>
          </c:extLst>
        </c:ser>
        <c:ser>
          <c:idx val="1"/>
          <c:order val="3"/>
          <c:tx>
            <c:strRef>
              <c:f>'Pernoctaciones evol mensu TF'!$M$29:$N$29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6CDF-4AD7-9132-343CB92BCCD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6CDF-4AD7-9132-343CB92BCCDA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TF'!$M$31:$M$43</c:f>
              <c:numCache>
                <c:formatCode>#,##0</c:formatCode>
                <c:ptCount val="13"/>
                <c:pt idx="0">
                  <c:v>3830</c:v>
                </c:pt>
                <c:pt idx="1">
                  <c:v>4983</c:v>
                </c:pt>
                <c:pt idx="2">
                  <c:v>5213</c:v>
                </c:pt>
                <c:pt idx="3">
                  <c:v>5955</c:v>
                </c:pt>
                <c:pt idx="4">
                  <c:v>6735</c:v>
                </c:pt>
                <c:pt idx="5">
                  <c:v>6147</c:v>
                </c:pt>
                <c:pt idx="6">
                  <c:v>6741</c:v>
                </c:pt>
                <c:pt idx="7">
                  <c:v>4695</c:v>
                </c:pt>
                <c:pt idx="8">
                  <c:v>7407</c:v>
                </c:pt>
                <c:pt idx="12">
                  <c:v>51706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CDF-4AD7-9132-343CB92BCC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TF'!$N$30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CDF-4AD7-9132-343CB92BCCD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CDF-4AD7-9132-343CB92BCCD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CDF-4AD7-9132-343CB92BCCD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CDF-4AD7-9132-343CB92BCCD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CDF-4AD7-9132-343CB92BCCD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CDF-4AD7-9132-343CB92BCCD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CDF-4AD7-9132-343CB92BCCD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CDF-4AD7-9132-343CB92BCCD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CDF-4AD7-9132-343CB92BCCD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CDF-4AD7-9132-343CB92BCCD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CDF-4AD7-9132-343CB92BCCD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CDF-4AD7-9132-343CB92BCCD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CDF-4AD7-9132-343CB92BCCDA}"/>
              </c:ext>
            </c:extLst>
          </c:dPt>
          <c:cat>
            <c:strRef>
              <c:f>'Pernoctaciones evol mensu TF'!$B$31:$B$42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TF'!$N$31:$N$43</c:f>
              <c:numCache>
                <c:formatCode>0.0%</c:formatCode>
                <c:ptCount val="13"/>
                <c:pt idx="0">
                  <c:v>-0.32092198581560283</c:v>
                </c:pt>
                <c:pt idx="1">
                  <c:v>-0.13142757538783334</c:v>
                </c:pt>
                <c:pt idx="2">
                  <c:v>-0.19153225806451613</c:v>
                </c:pt>
                <c:pt idx="3">
                  <c:v>-4.4294655753490564E-2</c:v>
                </c:pt>
                <c:pt idx="4">
                  <c:v>-6.2891331570891884E-2</c:v>
                </c:pt>
                <c:pt idx="5">
                  <c:v>-6.0953253895508652E-2</c:v>
                </c:pt>
                <c:pt idx="6">
                  <c:v>6.8642993024730536E-2</c:v>
                </c:pt>
                <c:pt idx="7">
                  <c:v>-0.3433566433566434</c:v>
                </c:pt>
                <c:pt idx="8">
                  <c:v>0.1537383177570093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-0.10336934468586889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6CDF-4AD7-9132-343CB92BCCDA}"/>
            </c:ext>
          </c:extLst>
        </c:ser>
        <c:ser>
          <c:idx val="4"/>
          <c:order val="5"/>
          <c:tx>
            <c:strRef>
              <c:f>'Pernoctaciones evol mensu TF'!$O$30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TF'!$O$31:$O$43</c:f>
              <c:numCache>
                <c:formatCode>0.0%</c:formatCode>
                <c:ptCount val="13"/>
                <c:pt idx="0">
                  <c:v>-0.26852559205500381</c:v>
                </c:pt>
                <c:pt idx="1">
                  <c:v>-9.3670425609312491E-2</c:v>
                </c:pt>
                <c:pt idx="2">
                  <c:v>-6.9107142857142811E-2</c:v>
                </c:pt>
                <c:pt idx="3">
                  <c:v>-5.3409632808774421E-2</c:v>
                </c:pt>
                <c:pt idx="4">
                  <c:v>-3.3438576349024141E-2</c:v>
                </c:pt>
                <c:pt idx="5">
                  <c:v>1.5529489509334304E-2</c:v>
                </c:pt>
                <c:pt idx="6">
                  <c:v>6.2746334542014726E-2</c:v>
                </c:pt>
                <c:pt idx="7">
                  <c:v>-0.25499841320215799</c:v>
                </c:pt>
                <c:pt idx="8">
                  <c:v>0.42332820906994617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-3.3442377792317068E-2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6CDF-4AD7-9132-343CB92BCC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4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BDF-4BF3-8DE1-E02F7CA71C1F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TF'!$C$53:$C$65</c:f>
              <c:numCache>
                <c:formatCode>#,##0</c:formatCode>
                <c:ptCount val="13"/>
                <c:pt idx="0">
                  <c:v>1303</c:v>
                </c:pt>
                <c:pt idx="1">
                  <c:v>1468</c:v>
                </c:pt>
                <c:pt idx="2">
                  <c:v>1577</c:v>
                </c:pt>
                <c:pt idx="3">
                  <c:v>1537</c:v>
                </c:pt>
                <c:pt idx="4">
                  <c:v>1595</c:v>
                </c:pt>
                <c:pt idx="5">
                  <c:v>1453</c:v>
                </c:pt>
                <c:pt idx="6">
                  <c:v>1611</c:v>
                </c:pt>
                <c:pt idx="7">
                  <c:v>1412</c:v>
                </c:pt>
                <c:pt idx="8">
                  <c:v>1392</c:v>
                </c:pt>
                <c:pt idx="9">
                  <c:v>1473</c:v>
                </c:pt>
                <c:pt idx="10">
                  <c:v>1743</c:v>
                </c:pt>
                <c:pt idx="11">
                  <c:v>1402</c:v>
                </c:pt>
                <c:pt idx="12">
                  <c:v>17966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BDF-4BF3-8DE1-E02F7CA71C1F}"/>
            </c:ext>
          </c:extLst>
        </c:ser>
        <c:ser>
          <c:idx val="5"/>
          <c:order val="1"/>
          <c:tx>
            <c:strRef>
              <c:f>'Viajeros entr evol mensu TF'!$I$51:$J$51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BDF-4BF3-8DE1-E02F7CA71C1F}"/>
              </c:ext>
            </c:extLst>
          </c:dPt>
          <c:val>
            <c:numRef>
              <c:f>'Viajeros entr evol mensu TF'!$I$53:$I$65</c:f>
              <c:numCache>
                <c:formatCode>#,##0</c:formatCode>
                <c:ptCount val="13"/>
                <c:pt idx="0">
                  <c:v>1039</c:v>
                </c:pt>
                <c:pt idx="1">
                  <c:v>1131</c:v>
                </c:pt>
                <c:pt idx="2">
                  <c:v>1299</c:v>
                </c:pt>
                <c:pt idx="3">
                  <c:v>1248</c:v>
                </c:pt>
                <c:pt idx="4">
                  <c:v>1437</c:v>
                </c:pt>
                <c:pt idx="5">
                  <c:v>1729</c:v>
                </c:pt>
                <c:pt idx="6">
                  <c:v>1593</c:v>
                </c:pt>
                <c:pt idx="7">
                  <c:v>1587</c:v>
                </c:pt>
                <c:pt idx="8">
                  <c:v>1832</c:v>
                </c:pt>
                <c:pt idx="9">
                  <c:v>1484</c:v>
                </c:pt>
                <c:pt idx="10">
                  <c:v>1596</c:v>
                </c:pt>
                <c:pt idx="11">
                  <c:v>1545</c:v>
                </c:pt>
                <c:pt idx="12">
                  <c:v>17520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BDF-4BF3-8DE1-E02F7CA71C1F}"/>
            </c:ext>
          </c:extLst>
        </c:ser>
        <c:ser>
          <c:idx val="0"/>
          <c:order val="2"/>
          <c:tx>
            <c:strRef>
              <c:f>'Viajeros entr evol mensu TF'!$K$51:$L$51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BDF-4BF3-8DE1-E02F7CA71C1F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TF'!$K$53:$K$65</c:f>
              <c:numCache>
                <c:formatCode>#,##0</c:formatCode>
                <c:ptCount val="13"/>
                <c:pt idx="0">
                  <c:v>1557</c:v>
                </c:pt>
                <c:pt idx="1">
                  <c:v>2612</c:v>
                </c:pt>
                <c:pt idx="2">
                  <c:v>2794</c:v>
                </c:pt>
                <c:pt idx="3">
                  <c:v>2342</c:v>
                </c:pt>
                <c:pt idx="4">
                  <c:v>2194</c:v>
                </c:pt>
                <c:pt idx="5">
                  <c:v>2466</c:v>
                </c:pt>
                <c:pt idx="6">
                  <c:v>1977</c:v>
                </c:pt>
                <c:pt idx="7">
                  <c:v>1933</c:v>
                </c:pt>
                <c:pt idx="8">
                  <c:v>2450</c:v>
                </c:pt>
                <c:pt idx="9">
                  <c:v>2164</c:v>
                </c:pt>
                <c:pt idx="10">
                  <c:v>1784</c:v>
                </c:pt>
                <c:pt idx="11">
                  <c:v>1425</c:v>
                </c:pt>
                <c:pt idx="12">
                  <c:v>25698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BDF-4BF3-8DE1-E02F7CA71C1F}"/>
            </c:ext>
          </c:extLst>
        </c:ser>
        <c:ser>
          <c:idx val="1"/>
          <c:order val="3"/>
          <c:tx>
            <c:strRef>
              <c:f>'Viajeros entr evol mensu TF'!$M$51:$N$51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5BDF-4BF3-8DE1-E02F7CA71C1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5BDF-4BF3-8DE1-E02F7CA71C1F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TF'!$M$53:$M$65</c:f>
              <c:numCache>
                <c:formatCode>#,##0</c:formatCode>
                <c:ptCount val="13"/>
                <c:pt idx="0">
                  <c:v>1445</c:v>
                </c:pt>
                <c:pt idx="1">
                  <c:v>1852</c:v>
                </c:pt>
                <c:pt idx="2">
                  <c:v>1883</c:v>
                </c:pt>
                <c:pt idx="3">
                  <c:v>2557</c:v>
                </c:pt>
                <c:pt idx="4">
                  <c:v>2203</c:v>
                </c:pt>
                <c:pt idx="5">
                  <c:v>2292</c:v>
                </c:pt>
                <c:pt idx="6">
                  <c:v>1831</c:v>
                </c:pt>
                <c:pt idx="7">
                  <c:v>1542</c:v>
                </c:pt>
                <c:pt idx="8">
                  <c:v>2346</c:v>
                </c:pt>
                <c:pt idx="12">
                  <c:v>17951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5BDF-4BF3-8DE1-E02F7CA71C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TF'!$N$52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BDF-4BF3-8DE1-E02F7CA71C1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BDF-4BF3-8DE1-E02F7CA71C1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BDF-4BF3-8DE1-E02F7CA71C1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BDF-4BF3-8DE1-E02F7CA71C1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BDF-4BF3-8DE1-E02F7CA71C1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BDF-4BF3-8DE1-E02F7CA71C1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BDF-4BF3-8DE1-E02F7CA71C1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BDF-4BF3-8DE1-E02F7CA71C1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BDF-4BF3-8DE1-E02F7CA71C1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BDF-4BF3-8DE1-E02F7CA71C1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BDF-4BF3-8DE1-E02F7CA71C1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BDF-4BF3-8DE1-E02F7CA71C1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BDF-4BF3-8DE1-E02F7CA71C1F}"/>
              </c:ext>
            </c:extLst>
          </c:dPt>
          <c:cat>
            <c:strRef>
              <c:f>'Viajeros entr evol mensu TF'!$B$53:$B$64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TF'!$N$53:$N$65</c:f>
              <c:numCache>
                <c:formatCode>0.0%</c:formatCode>
                <c:ptCount val="13"/>
                <c:pt idx="0">
                  <c:v>-7.1933204881181712E-2</c:v>
                </c:pt>
                <c:pt idx="1">
                  <c:v>-0.29096477794793263</c:v>
                </c:pt>
                <c:pt idx="2">
                  <c:v>-0.32605583392984971</c:v>
                </c:pt>
                <c:pt idx="3">
                  <c:v>9.1801878736122999E-2</c:v>
                </c:pt>
                <c:pt idx="4">
                  <c:v>4.1020966271649861E-3</c:v>
                </c:pt>
                <c:pt idx="5">
                  <c:v>-7.0559610705596132E-2</c:v>
                </c:pt>
                <c:pt idx="6">
                  <c:v>-7.384926656550328E-2</c:v>
                </c:pt>
                <c:pt idx="7">
                  <c:v>-0.20227625452664255</c:v>
                </c:pt>
                <c:pt idx="8">
                  <c:v>-4.2448979591836689E-2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-0.11680196801968024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5BDF-4BF3-8DE1-E02F7CA71C1F}"/>
            </c:ext>
          </c:extLst>
        </c:ser>
        <c:ser>
          <c:idx val="4"/>
          <c:order val="5"/>
          <c:tx>
            <c:strRef>
              <c:f>'Viajeros entr evol mensu TF'!$O$52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TF'!$O$53:$O$65</c:f>
              <c:numCache>
                <c:formatCode>0.0%</c:formatCode>
                <c:ptCount val="13"/>
                <c:pt idx="0">
                  <c:v>0.10897927858787404</c:v>
                </c:pt>
                <c:pt idx="1">
                  <c:v>0.26158038147138973</c:v>
                </c:pt>
                <c:pt idx="2">
                  <c:v>0.19403931515535833</c:v>
                </c:pt>
                <c:pt idx="3">
                  <c:v>0.66363044892648015</c:v>
                </c:pt>
                <c:pt idx="4">
                  <c:v>0.38119122257053295</c:v>
                </c:pt>
                <c:pt idx="5">
                  <c:v>0.57742601514108749</c:v>
                </c:pt>
                <c:pt idx="6">
                  <c:v>0.1365611421477344</c:v>
                </c:pt>
                <c:pt idx="7">
                  <c:v>9.2067988668555145E-2</c:v>
                </c:pt>
                <c:pt idx="8">
                  <c:v>0.68534482758620685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0.34484566976326048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5BDF-4BF3-8DE1-E02F7CA71C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BFE-41AA-A77B-E92F391C222C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TF'!$C$53:$C$65</c:f>
              <c:numCache>
                <c:formatCode>#,##0</c:formatCode>
                <c:ptCount val="13"/>
                <c:pt idx="0">
                  <c:v>2840</c:v>
                </c:pt>
                <c:pt idx="1">
                  <c:v>3192</c:v>
                </c:pt>
                <c:pt idx="2">
                  <c:v>3298</c:v>
                </c:pt>
                <c:pt idx="3">
                  <c:v>4148</c:v>
                </c:pt>
                <c:pt idx="4">
                  <c:v>4380</c:v>
                </c:pt>
                <c:pt idx="5">
                  <c:v>3283</c:v>
                </c:pt>
                <c:pt idx="6">
                  <c:v>3523</c:v>
                </c:pt>
                <c:pt idx="7">
                  <c:v>3416</c:v>
                </c:pt>
                <c:pt idx="8">
                  <c:v>2893</c:v>
                </c:pt>
                <c:pt idx="9">
                  <c:v>2880</c:v>
                </c:pt>
                <c:pt idx="10">
                  <c:v>3283</c:v>
                </c:pt>
                <c:pt idx="11">
                  <c:v>2793</c:v>
                </c:pt>
                <c:pt idx="12">
                  <c:v>39929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BFE-41AA-A77B-E92F391C222C}"/>
            </c:ext>
          </c:extLst>
        </c:ser>
        <c:ser>
          <c:idx val="5"/>
          <c:order val="1"/>
          <c:tx>
            <c:strRef>
              <c:f>'Pernoctaciones evol mensu TF'!$I$51:$J$51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BFE-41AA-A77B-E92F391C222C}"/>
              </c:ext>
            </c:extLst>
          </c:dPt>
          <c:val>
            <c:numRef>
              <c:f>'Pernoctaciones evol mensu TF'!$I$53:$I$65</c:f>
              <c:numCache>
                <c:formatCode>#,##0</c:formatCode>
                <c:ptCount val="13"/>
                <c:pt idx="0">
                  <c:v>2810</c:v>
                </c:pt>
                <c:pt idx="1">
                  <c:v>2634</c:v>
                </c:pt>
                <c:pt idx="2">
                  <c:v>2645</c:v>
                </c:pt>
                <c:pt idx="3">
                  <c:v>3480</c:v>
                </c:pt>
                <c:pt idx="4">
                  <c:v>3533</c:v>
                </c:pt>
                <c:pt idx="5">
                  <c:v>3726</c:v>
                </c:pt>
                <c:pt idx="6">
                  <c:v>3912</c:v>
                </c:pt>
                <c:pt idx="7">
                  <c:v>3999</c:v>
                </c:pt>
                <c:pt idx="8">
                  <c:v>3921</c:v>
                </c:pt>
                <c:pt idx="9">
                  <c:v>3593</c:v>
                </c:pt>
                <c:pt idx="10">
                  <c:v>3349</c:v>
                </c:pt>
                <c:pt idx="11">
                  <c:v>3121</c:v>
                </c:pt>
                <c:pt idx="12">
                  <c:v>40723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BFE-41AA-A77B-E92F391C222C}"/>
            </c:ext>
          </c:extLst>
        </c:ser>
        <c:ser>
          <c:idx val="0"/>
          <c:order val="2"/>
          <c:tx>
            <c:strRef>
              <c:f>'Pernoctaciones evol mensu TF'!$K$51:$L$51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BFE-41AA-A77B-E92F391C222C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TF'!$K$53:$K$65</c:f>
              <c:numCache>
                <c:formatCode>#,##0</c:formatCode>
                <c:ptCount val="13"/>
                <c:pt idx="0">
                  <c:v>3391</c:v>
                </c:pt>
                <c:pt idx="1">
                  <c:v>4989</c:v>
                </c:pt>
                <c:pt idx="2">
                  <c:v>5342</c:v>
                </c:pt>
                <c:pt idx="3">
                  <c:v>4282</c:v>
                </c:pt>
                <c:pt idx="4">
                  <c:v>5072</c:v>
                </c:pt>
                <c:pt idx="5">
                  <c:v>5380</c:v>
                </c:pt>
                <c:pt idx="6">
                  <c:v>4305</c:v>
                </c:pt>
                <c:pt idx="7">
                  <c:v>4444</c:v>
                </c:pt>
                <c:pt idx="8">
                  <c:v>4892</c:v>
                </c:pt>
                <c:pt idx="9">
                  <c:v>4470</c:v>
                </c:pt>
                <c:pt idx="10">
                  <c:v>3373</c:v>
                </c:pt>
                <c:pt idx="11">
                  <c:v>2886</c:v>
                </c:pt>
                <c:pt idx="12">
                  <c:v>52826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BFE-41AA-A77B-E92F391C222C}"/>
            </c:ext>
          </c:extLst>
        </c:ser>
        <c:ser>
          <c:idx val="1"/>
          <c:order val="3"/>
          <c:tx>
            <c:strRef>
              <c:f>'Pernoctaciones evol mensu TF'!$M$51:$N$51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9BFE-41AA-A77B-E92F391C222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9BFE-41AA-A77B-E92F391C222C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TF'!$M$53:$M$65</c:f>
              <c:numCache>
                <c:formatCode>#,##0</c:formatCode>
                <c:ptCount val="13"/>
                <c:pt idx="0">
                  <c:v>2615</c:v>
                </c:pt>
                <c:pt idx="1">
                  <c:v>3734</c:v>
                </c:pt>
                <c:pt idx="2">
                  <c:v>3989</c:v>
                </c:pt>
                <c:pt idx="3">
                  <c:v>4847</c:v>
                </c:pt>
                <c:pt idx="4">
                  <c:v>4477</c:v>
                </c:pt>
                <c:pt idx="5">
                  <c:v>4983</c:v>
                </c:pt>
                <c:pt idx="6">
                  <c:v>4074</c:v>
                </c:pt>
                <c:pt idx="7">
                  <c:v>3603</c:v>
                </c:pt>
                <c:pt idx="8">
                  <c:v>4736</c:v>
                </c:pt>
                <c:pt idx="12">
                  <c:v>37058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BFE-41AA-A77B-E92F391C22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TF'!$N$52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BFE-41AA-A77B-E92F391C222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BFE-41AA-A77B-E92F391C222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BFE-41AA-A77B-E92F391C222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BFE-41AA-A77B-E92F391C222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BFE-41AA-A77B-E92F391C222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BFE-41AA-A77B-E92F391C222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BFE-41AA-A77B-E92F391C222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BFE-41AA-A77B-E92F391C222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BFE-41AA-A77B-E92F391C222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BFE-41AA-A77B-E92F391C222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BFE-41AA-A77B-E92F391C222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BFE-41AA-A77B-E92F391C222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BFE-41AA-A77B-E92F391C222C}"/>
              </c:ext>
            </c:extLst>
          </c:dPt>
          <c:cat>
            <c:strRef>
              <c:f>'Pernoctaciones evol mensu TF'!$B$53:$B$64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TF'!$N$53:$N$65</c:f>
              <c:numCache>
                <c:formatCode>0.0%</c:formatCode>
                <c:ptCount val="13"/>
                <c:pt idx="0">
                  <c:v>-0.22884104983780595</c:v>
                </c:pt>
                <c:pt idx="1">
                  <c:v>-0.25155341751854077</c:v>
                </c:pt>
                <c:pt idx="2">
                  <c:v>-0.2532759266192437</c:v>
                </c:pt>
                <c:pt idx="3">
                  <c:v>0.13194768799626333</c:v>
                </c:pt>
                <c:pt idx="4">
                  <c:v>-0.11731072555205047</c:v>
                </c:pt>
                <c:pt idx="5">
                  <c:v>-7.3791821561338344E-2</c:v>
                </c:pt>
                <c:pt idx="6">
                  <c:v>-5.3658536585365901E-2</c:v>
                </c:pt>
                <c:pt idx="7">
                  <c:v>-0.1892439243924392</c:v>
                </c:pt>
                <c:pt idx="8">
                  <c:v>-3.1888798037612465E-2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-0.11969974107418579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9BFE-41AA-A77B-E92F391C222C}"/>
            </c:ext>
          </c:extLst>
        </c:ser>
        <c:ser>
          <c:idx val="4"/>
          <c:order val="5"/>
          <c:tx>
            <c:strRef>
              <c:f>'Pernoctaciones evol mensu TF'!$O$52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TF'!$O$53:$O$65</c:f>
              <c:numCache>
                <c:formatCode>0.0%</c:formatCode>
                <c:ptCount val="13"/>
                <c:pt idx="0">
                  <c:v>-7.9225352112676006E-2</c:v>
                </c:pt>
                <c:pt idx="1">
                  <c:v>0.16979949874686717</c:v>
                </c:pt>
                <c:pt idx="2">
                  <c:v>0.20952092177077009</c:v>
                </c:pt>
                <c:pt idx="3">
                  <c:v>0.16851494696239144</c:v>
                </c:pt>
                <c:pt idx="4">
                  <c:v>2.2146118721461105E-2</c:v>
                </c:pt>
                <c:pt idx="5">
                  <c:v>0.51781906792567778</c:v>
                </c:pt>
                <c:pt idx="6">
                  <c:v>0.15640079477717861</c:v>
                </c:pt>
                <c:pt idx="7">
                  <c:v>5.4742388758782123E-2</c:v>
                </c:pt>
                <c:pt idx="8">
                  <c:v>0.63705496024887664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0.19646143415232631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9BFE-41AA-A77B-E92F391C22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TF'!$C$73:$D$73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3EF-433A-A22C-1E6FCEA019B4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TF'!$C$75:$C$87</c:f>
              <c:numCache>
                <c:formatCode>#,##0</c:formatCode>
                <c:ptCount val="13"/>
                <c:pt idx="0">
                  <c:v>2396</c:v>
                </c:pt>
                <c:pt idx="1">
                  <c:v>2306</c:v>
                </c:pt>
                <c:pt idx="2">
                  <c:v>2302</c:v>
                </c:pt>
                <c:pt idx="3">
                  <c:v>2143</c:v>
                </c:pt>
                <c:pt idx="4">
                  <c:v>2588</c:v>
                </c:pt>
                <c:pt idx="5">
                  <c:v>2770</c:v>
                </c:pt>
                <c:pt idx="6">
                  <c:v>2820</c:v>
                </c:pt>
                <c:pt idx="7">
                  <c:v>2886</c:v>
                </c:pt>
                <c:pt idx="8">
                  <c:v>2311</c:v>
                </c:pt>
                <c:pt idx="9">
                  <c:v>3058</c:v>
                </c:pt>
                <c:pt idx="10">
                  <c:v>3310</c:v>
                </c:pt>
                <c:pt idx="11">
                  <c:v>4113</c:v>
                </c:pt>
                <c:pt idx="12">
                  <c:v>33003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3EF-433A-A22C-1E6FCEA019B4}"/>
            </c:ext>
          </c:extLst>
        </c:ser>
        <c:ser>
          <c:idx val="5"/>
          <c:order val="1"/>
          <c:tx>
            <c:strRef>
              <c:f>'Pernoctaciones evol mensu TF'!$I$73:$J$73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3EF-433A-A22C-1E6FCEA019B4}"/>
              </c:ext>
            </c:extLst>
          </c:dPt>
          <c:val>
            <c:numRef>
              <c:f>'Pernoctaciones evol mensu TF'!$I$75:$I$87</c:f>
              <c:numCache>
                <c:formatCode>#,##0</c:formatCode>
                <c:ptCount val="13"/>
                <c:pt idx="0">
                  <c:v>2071</c:v>
                </c:pt>
                <c:pt idx="1">
                  <c:v>1841</c:v>
                </c:pt>
                <c:pt idx="2">
                  <c:v>2794</c:v>
                </c:pt>
                <c:pt idx="3">
                  <c:v>2457</c:v>
                </c:pt>
                <c:pt idx="4">
                  <c:v>1685</c:v>
                </c:pt>
                <c:pt idx="5">
                  <c:v>4228</c:v>
                </c:pt>
                <c:pt idx="6">
                  <c:v>2851</c:v>
                </c:pt>
                <c:pt idx="7">
                  <c:v>2044</c:v>
                </c:pt>
                <c:pt idx="8">
                  <c:v>2812</c:v>
                </c:pt>
                <c:pt idx="9">
                  <c:v>1877</c:v>
                </c:pt>
                <c:pt idx="10">
                  <c:v>2569</c:v>
                </c:pt>
                <c:pt idx="11">
                  <c:v>2999</c:v>
                </c:pt>
                <c:pt idx="12">
                  <c:v>30228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3EF-433A-A22C-1E6FCEA019B4}"/>
            </c:ext>
          </c:extLst>
        </c:ser>
        <c:ser>
          <c:idx val="0"/>
          <c:order val="2"/>
          <c:tx>
            <c:strRef>
              <c:f>'Pernoctaciones evol mensu TF'!$K$73:$L$73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3EF-433A-A22C-1E6FCEA019B4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TF'!$K$75:$K$87</c:f>
              <c:numCache>
                <c:formatCode>#,##0</c:formatCode>
                <c:ptCount val="13"/>
                <c:pt idx="0">
                  <c:v>2249</c:v>
                </c:pt>
                <c:pt idx="1">
                  <c:v>748</c:v>
                </c:pt>
                <c:pt idx="2">
                  <c:v>1106</c:v>
                </c:pt>
                <c:pt idx="3">
                  <c:v>1949</c:v>
                </c:pt>
                <c:pt idx="4">
                  <c:v>2115</c:v>
                </c:pt>
                <c:pt idx="5">
                  <c:v>1166</c:v>
                </c:pt>
                <c:pt idx="6">
                  <c:v>2003</c:v>
                </c:pt>
                <c:pt idx="7">
                  <c:v>2706</c:v>
                </c:pt>
                <c:pt idx="8">
                  <c:v>1528</c:v>
                </c:pt>
                <c:pt idx="9">
                  <c:v>1047</c:v>
                </c:pt>
                <c:pt idx="10">
                  <c:v>1075</c:v>
                </c:pt>
                <c:pt idx="11">
                  <c:v>1914</c:v>
                </c:pt>
                <c:pt idx="12">
                  <c:v>19606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3EF-433A-A22C-1E6FCEA019B4}"/>
            </c:ext>
          </c:extLst>
        </c:ser>
        <c:ser>
          <c:idx val="1"/>
          <c:order val="3"/>
          <c:tx>
            <c:strRef>
              <c:f>'Pernoctaciones evol mensu TF'!$M$73:$N$73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F3EF-433A-A22C-1E6FCEA019B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F3EF-433A-A22C-1E6FCEA019B4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TF'!$M$75:$M$87</c:f>
              <c:numCache>
                <c:formatCode>#,##0</c:formatCode>
                <c:ptCount val="13"/>
                <c:pt idx="0">
                  <c:v>1215</c:v>
                </c:pt>
                <c:pt idx="1">
                  <c:v>1249</c:v>
                </c:pt>
                <c:pt idx="2">
                  <c:v>1224</c:v>
                </c:pt>
                <c:pt idx="3">
                  <c:v>1108</c:v>
                </c:pt>
                <c:pt idx="4">
                  <c:v>2258</c:v>
                </c:pt>
                <c:pt idx="5">
                  <c:v>1164</c:v>
                </c:pt>
                <c:pt idx="6">
                  <c:v>2667</c:v>
                </c:pt>
                <c:pt idx="7">
                  <c:v>1092</c:v>
                </c:pt>
                <c:pt idx="8">
                  <c:v>2671</c:v>
                </c:pt>
                <c:pt idx="12">
                  <c:v>14648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3EF-433A-A22C-1E6FCEA019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TF'!$N$74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3EF-433A-A22C-1E6FCEA019B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3EF-433A-A22C-1E6FCEA019B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3EF-433A-A22C-1E6FCEA019B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3EF-433A-A22C-1E6FCEA019B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3EF-433A-A22C-1E6FCEA019B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3EF-433A-A22C-1E6FCEA019B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3EF-433A-A22C-1E6FCEA019B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3EF-433A-A22C-1E6FCEA019B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3EF-433A-A22C-1E6FCEA019B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3EF-433A-A22C-1E6FCEA019B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3EF-433A-A22C-1E6FCEA019B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3EF-433A-A22C-1E6FCEA019B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3EF-433A-A22C-1E6FCEA019B4}"/>
              </c:ext>
            </c:extLst>
          </c:dPt>
          <c:cat>
            <c:strRef>
              <c:f>'Pernoctaciones evol mensu TF'!$B$75:$B$86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TF'!$N$75:$N$87</c:f>
              <c:numCache>
                <c:formatCode>0.0%</c:formatCode>
                <c:ptCount val="13"/>
                <c:pt idx="0">
                  <c:v>-0.45975989328590483</c:v>
                </c:pt>
                <c:pt idx="1">
                  <c:v>0.66978609625668439</c:v>
                </c:pt>
                <c:pt idx="2">
                  <c:v>0.10669077757685352</c:v>
                </c:pt>
                <c:pt idx="3">
                  <c:v>-0.43150333504361216</c:v>
                </c:pt>
                <c:pt idx="4">
                  <c:v>6.7612293144208024E-2</c:v>
                </c:pt>
                <c:pt idx="5">
                  <c:v>-1.7152658662092923E-3</c:v>
                </c:pt>
                <c:pt idx="6">
                  <c:v>0.33150274588117834</c:v>
                </c:pt>
                <c:pt idx="7">
                  <c:v>-0.59645232815964522</c:v>
                </c:pt>
                <c:pt idx="8">
                  <c:v>0.74803664921465973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-5.9216441875401427E-2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F3EF-433A-A22C-1E6FCEA019B4}"/>
            </c:ext>
          </c:extLst>
        </c:ser>
        <c:ser>
          <c:idx val="4"/>
          <c:order val="5"/>
          <c:tx>
            <c:strRef>
              <c:f>'Pernoctaciones evol mensu TF'!$O$74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TF'!$O$75:$O$87</c:f>
              <c:numCache>
                <c:formatCode>0.0%</c:formatCode>
                <c:ptCount val="13"/>
                <c:pt idx="0">
                  <c:v>-0.49290484140233726</c:v>
                </c:pt>
                <c:pt idx="1">
                  <c:v>-0.45836947094535996</c:v>
                </c:pt>
                <c:pt idx="2">
                  <c:v>-0.46828844483058207</c:v>
                </c:pt>
                <c:pt idx="3">
                  <c:v>-0.48296780214652357</c:v>
                </c:pt>
                <c:pt idx="4">
                  <c:v>-0.12751159196290573</c:v>
                </c:pt>
                <c:pt idx="5">
                  <c:v>-0.57978339350180508</c:v>
                </c:pt>
                <c:pt idx="6">
                  <c:v>-5.4255319148936221E-2</c:v>
                </c:pt>
                <c:pt idx="7">
                  <c:v>-0.6216216216216216</c:v>
                </c:pt>
                <c:pt idx="8">
                  <c:v>0.15577672003461696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-0.34961371103809613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F3EF-433A-A22C-1E6FCEA019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TF'!$C$95:$D$95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ABA-46B4-BBDB-A33691FD546B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TF'!$C$97:$C$109</c:f>
              <c:numCache>
                <c:formatCode>#,##0</c:formatCode>
                <c:ptCount val="13"/>
                <c:pt idx="0">
                  <c:v>7193</c:v>
                </c:pt>
                <c:pt idx="1">
                  <c:v>7955</c:v>
                </c:pt>
                <c:pt idx="2">
                  <c:v>8330</c:v>
                </c:pt>
                <c:pt idx="3">
                  <c:v>5974</c:v>
                </c:pt>
                <c:pt idx="4">
                  <c:v>4374</c:v>
                </c:pt>
                <c:pt idx="5">
                  <c:v>2472</c:v>
                </c:pt>
                <c:pt idx="6">
                  <c:v>2842</c:v>
                </c:pt>
                <c:pt idx="7">
                  <c:v>2874</c:v>
                </c:pt>
                <c:pt idx="8">
                  <c:v>2799</c:v>
                </c:pt>
                <c:pt idx="9">
                  <c:v>4698</c:v>
                </c:pt>
                <c:pt idx="10">
                  <c:v>7569</c:v>
                </c:pt>
                <c:pt idx="11">
                  <c:v>6114</c:v>
                </c:pt>
                <c:pt idx="12">
                  <c:v>63194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ABA-46B4-BBDB-A33691FD546B}"/>
            </c:ext>
          </c:extLst>
        </c:ser>
        <c:ser>
          <c:idx val="5"/>
          <c:order val="1"/>
          <c:tx>
            <c:strRef>
              <c:f>'Pernoctaciones evol mensu TF'!$I$95:$J$95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ABA-46B4-BBDB-A33691FD546B}"/>
              </c:ext>
            </c:extLst>
          </c:dPt>
          <c:val>
            <c:numRef>
              <c:f>'Pernoctaciones evol mensu TF'!$I$97:$I$109</c:f>
              <c:numCache>
                <c:formatCode>#,##0</c:formatCode>
                <c:ptCount val="13"/>
                <c:pt idx="0">
                  <c:v>6519</c:v>
                </c:pt>
                <c:pt idx="1">
                  <c:v>6908</c:v>
                </c:pt>
                <c:pt idx="2">
                  <c:v>7271</c:v>
                </c:pt>
                <c:pt idx="3">
                  <c:v>6256</c:v>
                </c:pt>
                <c:pt idx="4">
                  <c:v>4867</c:v>
                </c:pt>
                <c:pt idx="5">
                  <c:v>3323</c:v>
                </c:pt>
                <c:pt idx="6">
                  <c:v>3947</c:v>
                </c:pt>
                <c:pt idx="7">
                  <c:v>4227</c:v>
                </c:pt>
                <c:pt idx="8">
                  <c:v>4234</c:v>
                </c:pt>
                <c:pt idx="9">
                  <c:v>6125</c:v>
                </c:pt>
                <c:pt idx="10">
                  <c:v>7135</c:v>
                </c:pt>
                <c:pt idx="11">
                  <c:v>5994</c:v>
                </c:pt>
                <c:pt idx="12">
                  <c:v>66806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ABA-46B4-BBDB-A33691FD546B}"/>
            </c:ext>
          </c:extLst>
        </c:ser>
        <c:ser>
          <c:idx val="0"/>
          <c:order val="2"/>
          <c:tx>
            <c:strRef>
              <c:f>'Pernoctaciones evol mensu TF'!$K$95:$L$95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ABA-46B4-BBDB-A33691FD546B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TF'!$K$97:$K$109</c:f>
              <c:numCache>
                <c:formatCode>#,##0</c:formatCode>
                <c:ptCount val="13"/>
                <c:pt idx="0">
                  <c:v>8713</c:v>
                </c:pt>
                <c:pt idx="1">
                  <c:v>8514</c:v>
                </c:pt>
                <c:pt idx="2">
                  <c:v>9155</c:v>
                </c:pt>
                <c:pt idx="3">
                  <c:v>6472</c:v>
                </c:pt>
                <c:pt idx="4">
                  <c:v>5606</c:v>
                </c:pt>
                <c:pt idx="5">
                  <c:v>3827</c:v>
                </c:pt>
                <c:pt idx="6">
                  <c:v>3286</c:v>
                </c:pt>
                <c:pt idx="7">
                  <c:v>4721</c:v>
                </c:pt>
                <c:pt idx="8">
                  <c:v>4186</c:v>
                </c:pt>
                <c:pt idx="9">
                  <c:v>5590</c:v>
                </c:pt>
                <c:pt idx="10">
                  <c:v>8768</c:v>
                </c:pt>
                <c:pt idx="11">
                  <c:v>7064</c:v>
                </c:pt>
                <c:pt idx="12">
                  <c:v>75902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ABA-46B4-BBDB-A33691FD546B}"/>
            </c:ext>
          </c:extLst>
        </c:ser>
        <c:ser>
          <c:idx val="1"/>
          <c:order val="3"/>
          <c:tx>
            <c:strRef>
              <c:f>'Pernoctaciones evol mensu TF'!$M$95:$N$95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6ABA-46B4-BBDB-A33691FD546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6ABA-46B4-BBDB-A33691FD546B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TF'!$M$97:$M$109</c:f>
              <c:numCache>
                <c:formatCode>#,##0</c:formatCode>
                <c:ptCount val="13"/>
                <c:pt idx="0">
                  <c:v>10751</c:v>
                </c:pt>
                <c:pt idx="1">
                  <c:v>10155</c:v>
                </c:pt>
                <c:pt idx="2">
                  <c:v>10079</c:v>
                </c:pt>
                <c:pt idx="3">
                  <c:v>7484</c:v>
                </c:pt>
                <c:pt idx="4">
                  <c:v>5778</c:v>
                </c:pt>
                <c:pt idx="5">
                  <c:v>3968</c:v>
                </c:pt>
                <c:pt idx="6">
                  <c:v>3399</c:v>
                </c:pt>
                <c:pt idx="7">
                  <c:v>4564</c:v>
                </c:pt>
                <c:pt idx="8">
                  <c:v>3938</c:v>
                </c:pt>
                <c:pt idx="12">
                  <c:v>60116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ABA-46B4-BBDB-A33691FD54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TF'!$N$96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ABA-46B4-BBDB-A33691FD546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ABA-46B4-BBDB-A33691FD546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ABA-46B4-BBDB-A33691FD546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ABA-46B4-BBDB-A33691FD546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ABA-46B4-BBDB-A33691FD546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ABA-46B4-BBDB-A33691FD546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ABA-46B4-BBDB-A33691FD546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ABA-46B4-BBDB-A33691FD546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ABA-46B4-BBDB-A33691FD546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ABA-46B4-BBDB-A33691FD546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ABA-46B4-BBDB-A33691FD546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ABA-46B4-BBDB-A33691FD546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ABA-46B4-BBDB-A33691FD546B}"/>
              </c:ext>
            </c:extLst>
          </c:dPt>
          <c:cat>
            <c:strRef>
              <c:f>'Pernoctaciones evol mensu TF'!$B$97:$B$108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TF'!$N$97:$N$109</c:f>
              <c:numCache>
                <c:formatCode>0.0%</c:formatCode>
                <c:ptCount val="13"/>
                <c:pt idx="0">
                  <c:v>0.23390336279123147</c:v>
                </c:pt>
                <c:pt idx="1">
                  <c:v>0.19274136715997181</c:v>
                </c:pt>
                <c:pt idx="2">
                  <c:v>0.10092845439650455</c:v>
                </c:pt>
                <c:pt idx="3">
                  <c:v>0.15636588380716931</c:v>
                </c:pt>
                <c:pt idx="4">
                  <c:v>3.068141277203007E-2</c:v>
                </c:pt>
                <c:pt idx="5">
                  <c:v>3.684348053305464E-2</c:v>
                </c:pt>
                <c:pt idx="6">
                  <c:v>3.438831405964704E-2</c:v>
                </c:pt>
                <c:pt idx="7">
                  <c:v>-3.325566617242115E-2</c:v>
                </c:pt>
                <c:pt idx="8">
                  <c:v>-5.9245102723363585E-2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0.10345080763582959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6ABA-46B4-BBDB-A33691FD546B}"/>
            </c:ext>
          </c:extLst>
        </c:ser>
        <c:ser>
          <c:idx val="4"/>
          <c:order val="5"/>
          <c:tx>
            <c:strRef>
              <c:f>'Pernoctaciones evol mensu TF'!$O$96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TF'!$O$97:$O$109</c:f>
              <c:numCache>
                <c:formatCode>0.0%</c:formatCode>
                <c:ptCount val="13"/>
                <c:pt idx="0">
                  <c:v>0.49464757403030735</c:v>
                </c:pt>
                <c:pt idx="1">
                  <c:v>0.27655562539283474</c:v>
                </c:pt>
                <c:pt idx="2">
                  <c:v>0.20996398559423768</c:v>
                </c:pt>
                <c:pt idx="3">
                  <c:v>0.25276196853029798</c:v>
                </c:pt>
                <c:pt idx="4">
                  <c:v>0.32098765432098775</c:v>
                </c:pt>
                <c:pt idx="5">
                  <c:v>0.60517799352750812</c:v>
                </c:pt>
                <c:pt idx="6">
                  <c:v>0.19598874032371572</c:v>
                </c:pt>
                <c:pt idx="7">
                  <c:v>0.58803061934585954</c:v>
                </c:pt>
                <c:pt idx="8">
                  <c:v>0.40693104680242942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0.34148572958739654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6ABA-46B4-BBDB-A33691FD54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TF'!$C$117:$D$117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B72-4B5D-9E42-059758EE5556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TF'!$C$119:$C$131</c:f>
              <c:numCache>
                <c:formatCode>#,##0</c:formatCode>
                <c:ptCount val="13"/>
                <c:pt idx="0">
                  <c:v>1359</c:v>
                </c:pt>
                <c:pt idx="1">
                  <c:v>1613</c:v>
                </c:pt>
                <c:pt idx="2">
                  <c:v>1121</c:v>
                </c:pt>
                <c:pt idx="3">
                  <c:v>616</c:v>
                </c:pt>
                <c:pt idx="4">
                  <c:v>420</c:v>
                </c:pt>
                <c:pt idx="5">
                  <c:v>198</c:v>
                </c:pt>
                <c:pt idx="6">
                  <c:v>319</c:v>
                </c:pt>
                <c:pt idx="7">
                  <c:v>223</c:v>
                </c:pt>
                <c:pt idx="8">
                  <c:v>369</c:v>
                </c:pt>
                <c:pt idx="9">
                  <c:v>312</c:v>
                </c:pt>
                <c:pt idx="10">
                  <c:v>765</c:v>
                </c:pt>
                <c:pt idx="11">
                  <c:v>767</c:v>
                </c:pt>
                <c:pt idx="12">
                  <c:v>8082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B72-4B5D-9E42-059758EE5556}"/>
            </c:ext>
          </c:extLst>
        </c:ser>
        <c:ser>
          <c:idx val="5"/>
          <c:order val="1"/>
          <c:tx>
            <c:strRef>
              <c:f>'Pernoctaciones evol mensu TF'!$I$117:$J$117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B72-4B5D-9E42-059758EE5556}"/>
              </c:ext>
            </c:extLst>
          </c:dPt>
          <c:val>
            <c:numRef>
              <c:f>'Pernoctaciones evol mensu TF'!$I$119:$I$131</c:f>
              <c:numCache>
                <c:formatCode>#,##0</c:formatCode>
                <c:ptCount val="13"/>
                <c:pt idx="0">
                  <c:v>1082</c:v>
                </c:pt>
                <c:pt idx="1">
                  <c:v>1253</c:v>
                </c:pt>
                <c:pt idx="2">
                  <c:v>1088</c:v>
                </c:pt>
                <c:pt idx="3">
                  <c:v>541</c:v>
                </c:pt>
                <c:pt idx="4">
                  <c:v>524</c:v>
                </c:pt>
                <c:pt idx="5">
                  <c:v>530</c:v>
                </c:pt>
                <c:pt idx="6">
                  <c:v>456</c:v>
                </c:pt>
                <c:pt idx="7">
                  <c:v>482</c:v>
                </c:pt>
                <c:pt idx="8">
                  <c:v>722</c:v>
                </c:pt>
                <c:pt idx="9">
                  <c:v>676</c:v>
                </c:pt>
                <c:pt idx="10">
                  <c:v>947</c:v>
                </c:pt>
                <c:pt idx="11">
                  <c:v>948</c:v>
                </c:pt>
                <c:pt idx="12">
                  <c:v>9249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B72-4B5D-9E42-059758EE5556}"/>
            </c:ext>
          </c:extLst>
        </c:ser>
        <c:ser>
          <c:idx val="0"/>
          <c:order val="2"/>
          <c:tx>
            <c:strRef>
              <c:f>'Pernoctaciones evol mensu TF'!$K$117:$L$117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B72-4B5D-9E42-059758EE5556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TF'!$K$119:$K$131</c:f>
              <c:numCache>
                <c:formatCode>#,##0</c:formatCode>
                <c:ptCount val="13"/>
                <c:pt idx="0">
                  <c:v>1714</c:v>
                </c:pt>
                <c:pt idx="1">
                  <c:v>1744</c:v>
                </c:pt>
                <c:pt idx="2">
                  <c:v>1558</c:v>
                </c:pt>
                <c:pt idx="3">
                  <c:v>682</c:v>
                </c:pt>
                <c:pt idx="4">
                  <c:v>550</c:v>
                </c:pt>
                <c:pt idx="5">
                  <c:v>510</c:v>
                </c:pt>
                <c:pt idx="6">
                  <c:v>444</c:v>
                </c:pt>
                <c:pt idx="7">
                  <c:v>571</c:v>
                </c:pt>
                <c:pt idx="8">
                  <c:v>664</c:v>
                </c:pt>
                <c:pt idx="9">
                  <c:v>658</c:v>
                </c:pt>
                <c:pt idx="10">
                  <c:v>849</c:v>
                </c:pt>
                <c:pt idx="11">
                  <c:v>1233</c:v>
                </c:pt>
                <c:pt idx="12">
                  <c:v>11177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B72-4B5D-9E42-059758EE5556}"/>
            </c:ext>
          </c:extLst>
        </c:ser>
        <c:ser>
          <c:idx val="1"/>
          <c:order val="3"/>
          <c:tx>
            <c:strRef>
              <c:f>'Pernoctaciones evol mensu TF'!$M$117:$N$117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B72-4B5D-9E42-059758EE555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1B72-4B5D-9E42-059758EE5556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TF'!$M$119:$M$131</c:f>
              <c:numCache>
                <c:formatCode>#,##0</c:formatCode>
                <c:ptCount val="13"/>
                <c:pt idx="0">
                  <c:v>1480</c:v>
                </c:pt>
                <c:pt idx="1">
                  <c:v>2068</c:v>
                </c:pt>
                <c:pt idx="2">
                  <c:v>1890</c:v>
                </c:pt>
                <c:pt idx="3">
                  <c:v>1379</c:v>
                </c:pt>
                <c:pt idx="4">
                  <c:v>732</c:v>
                </c:pt>
                <c:pt idx="5">
                  <c:v>471</c:v>
                </c:pt>
                <c:pt idx="6">
                  <c:v>401</c:v>
                </c:pt>
                <c:pt idx="7">
                  <c:v>572</c:v>
                </c:pt>
                <c:pt idx="8">
                  <c:v>519</c:v>
                </c:pt>
                <c:pt idx="12">
                  <c:v>9512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B72-4B5D-9E42-059758EE55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TF'!$N$118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B72-4B5D-9E42-059758EE555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B72-4B5D-9E42-059758EE555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B72-4B5D-9E42-059758EE555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B72-4B5D-9E42-059758EE555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B72-4B5D-9E42-059758EE555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B72-4B5D-9E42-059758EE555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B72-4B5D-9E42-059758EE555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B72-4B5D-9E42-059758EE555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B72-4B5D-9E42-059758EE555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B72-4B5D-9E42-059758EE555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B72-4B5D-9E42-059758EE555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B72-4B5D-9E42-059758EE555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B72-4B5D-9E42-059758EE5556}"/>
              </c:ext>
            </c:extLst>
          </c:dPt>
          <c:cat>
            <c:strRef>
              <c:f>'Pernoctaciones evol mensu TF'!$B$119:$B$130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TF'!$N$119:$N$131</c:f>
              <c:numCache>
                <c:formatCode>0.0%</c:formatCode>
                <c:ptCount val="13"/>
                <c:pt idx="0">
                  <c:v>-0.13652275379229872</c:v>
                </c:pt>
                <c:pt idx="1">
                  <c:v>0.18577981651376141</c:v>
                </c:pt>
                <c:pt idx="2">
                  <c:v>0.21309370988446719</c:v>
                </c:pt>
                <c:pt idx="3">
                  <c:v>1.0219941348973607</c:v>
                </c:pt>
                <c:pt idx="4">
                  <c:v>0.33090909090909082</c:v>
                </c:pt>
                <c:pt idx="5">
                  <c:v>-7.6470588235294068E-2</c:v>
                </c:pt>
                <c:pt idx="6">
                  <c:v>-9.6846846846846857E-2</c:v>
                </c:pt>
                <c:pt idx="7">
                  <c:v>1.7513134851139256E-3</c:v>
                </c:pt>
                <c:pt idx="8">
                  <c:v>-0.21837349397590367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0.12741495792343249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1B72-4B5D-9E42-059758EE5556}"/>
            </c:ext>
          </c:extLst>
        </c:ser>
        <c:ser>
          <c:idx val="4"/>
          <c:order val="5"/>
          <c:tx>
            <c:strRef>
              <c:f>'Pernoctaciones evol mensu TF'!$O$118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TF'!$O$119:$O$131</c:f>
              <c:numCache>
                <c:formatCode>0.0%</c:formatCode>
                <c:ptCount val="13"/>
                <c:pt idx="0">
                  <c:v>8.9036055923473079E-2</c:v>
                </c:pt>
                <c:pt idx="1">
                  <c:v>0.28208307501549901</c:v>
                </c:pt>
                <c:pt idx="2">
                  <c:v>0.68599464763603923</c:v>
                </c:pt>
                <c:pt idx="3">
                  <c:v>1.2386363636363638</c:v>
                </c:pt>
                <c:pt idx="4">
                  <c:v>0.74285714285714288</c:v>
                </c:pt>
                <c:pt idx="5">
                  <c:v>1.3787878787878789</c:v>
                </c:pt>
                <c:pt idx="6">
                  <c:v>0.25705329153605017</c:v>
                </c:pt>
                <c:pt idx="7">
                  <c:v>1.5650224215246635</c:v>
                </c:pt>
                <c:pt idx="8">
                  <c:v>0.4065040650406504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0.52484770759858934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1B72-4B5D-9E42-059758EE55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8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TF'!$C$139:$D$139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0F9-4573-AE42-81D21DA584E3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TF'!$C$141:$C$153</c:f>
              <c:numCache>
                <c:formatCode>#,##0</c:formatCode>
                <c:ptCount val="13"/>
                <c:pt idx="0">
                  <c:v>2478</c:v>
                </c:pt>
                <c:pt idx="1">
                  <c:v>2866</c:v>
                </c:pt>
                <c:pt idx="2">
                  <c:v>3115</c:v>
                </c:pt>
                <c:pt idx="3">
                  <c:v>2355</c:v>
                </c:pt>
                <c:pt idx="4">
                  <c:v>1669</c:v>
                </c:pt>
                <c:pt idx="5">
                  <c:v>365</c:v>
                </c:pt>
                <c:pt idx="6">
                  <c:v>235</c:v>
                </c:pt>
                <c:pt idx="7">
                  <c:v>549</c:v>
                </c:pt>
                <c:pt idx="8">
                  <c:v>592</c:v>
                </c:pt>
                <c:pt idx="9">
                  <c:v>1681</c:v>
                </c:pt>
                <c:pt idx="10">
                  <c:v>3204</c:v>
                </c:pt>
                <c:pt idx="11">
                  <c:v>2257</c:v>
                </c:pt>
                <c:pt idx="12">
                  <c:v>21366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0F9-4573-AE42-81D21DA584E3}"/>
            </c:ext>
          </c:extLst>
        </c:ser>
        <c:ser>
          <c:idx val="5"/>
          <c:order val="1"/>
          <c:tx>
            <c:strRef>
              <c:f>'Pernoctaciones evol mensu TF'!$I$139:$J$139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0F9-4573-AE42-81D21DA584E3}"/>
              </c:ext>
            </c:extLst>
          </c:dPt>
          <c:val>
            <c:numRef>
              <c:f>'Pernoctaciones evol mensu TF'!$I$141:$I$153</c:f>
              <c:numCache>
                <c:formatCode>#,##0</c:formatCode>
                <c:ptCount val="13"/>
                <c:pt idx="0">
                  <c:v>1768</c:v>
                </c:pt>
                <c:pt idx="1">
                  <c:v>2351</c:v>
                </c:pt>
                <c:pt idx="2">
                  <c:v>2524</c:v>
                </c:pt>
                <c:pt idx="3">
                  <c:v>2322</c:v>
                </c:pt>
                <c:pt idx="4">
                  <c:v>1417</c:v>
                </c:pt>
                <c:pt idx="5">
                  <c:v>894</c:v>
                </c:pt>
                <c:pt idx="6">
                  <c:v>945</c:v>
                </c:pt>
                <c:pt idx="7">
                  <c:v>1073</c:v>
                </c:pt>
                <c:pt idx="8">
                  <c:v>1386</c:v>
                </c:pt>
                <c:pt idx="9">
                  <c:v>2114</c:v>
                </c:pt>
                <c:pt idx="10">
                  <c:v>2423</c:v>
                </c:pt>
                <c:pt idx="11">
                  <c:v>1833</c:v>
                </c:pt>
                <c:pt idx="12">
                  <c:v>21050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0F9-4573-AE42-81D21DA584E3}"/>
            </c:ext>
          </c:extLst>
        </c:ser>
        <c:ser>
          <c:idx val="0"/>
          <c:order val="2"/>
          <c:tx>
            <c:strRef>
              <c:f>'Pernoctaciones evol mensu TF'!$K$139:$L$139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0F9-4573-AE42-81D21DA584E3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TF'!$K$141:$K$153</c:f>
              <c:numCache>
                <c:formatCode>#,##0</c:formatCode>
                <c:ptCount val="13"/>
                <c:pt idx="0">
                  <c:v>2687</c:v>
                </c:pt>
                <c:pt idx="1">
                  <c:v>2836</c:v>
                </c:pt>
                <c:pt idx="2">
                  <c:v>2988</c:v>
                </c:pt>
                <c:pt idx="3">
                  <c:v>2380</c:v>
                </c:pt>
                <c:pt idx="4">
                  <c:v>1273</c:v>
                </c:pt>
                <c:pt idx="5">
                  <c:v>831</c:v>
                </c:pt>
                <c:pt idx="6">
                  <c:v>427</c:v>
                </c:pt>
                <c:pt idx="7">
                  <c:v>1227</c:v>
                </c:pt>
                <c:pt idx="8">
                  <c:v>1288</c:v>
                </c:pt>
                <c:pt idx="9">
                  <c:v>1758</c:v>
                </c:pt>
                <c:pt idx="10">
                  <c:v>2908</c:v>
                </c:pt>
                <c:pt idx="11">
                  <c:v>2036</c:v>
                </c:pt>
                <c:pt idx="12">
                  <c:v>22639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0F9-4573-AE42-81D21DA584E3}"/>
            </c:ext>
          </c:extLst>
        </c:ser>
        <c:ser>
          <c:idx val="1"/>
          <c:order val="3"/>
          <c:tx>
            <c:strRef>
              <c:f>'Pernoctaciones evol mensu TF'!$M$139:$N$139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0F9-4573-AE42-81D21DA584E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10F9-4573-AE42-81D21DA584E3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TF'!$M$141:$M$153</c:f>
              <c:numCache>
                <c:formatCode>#,##0</c:formatCode>
                <c:ptCount val="13"/>
                <c:pt idx="0">
                  <c:v>3551</c:v>
                </c:pt>
                <c:pt idx="1">
                  <c:v>3116</c:v>
                </c:pt>
                <c:pt idx="2">
                  <c:v>3366</c:v>
                </c:pt>
                <c:pt idx="3">
                  <c:v>2313</c:v>
                </c:pt>
                <c:pt idx="4">
                  <c:v>1592</c:v>
                </c:pt>
                <c:pt idx="5">
                  <c:v>1011</c:v>
                </c:pt>
                <c:pt idx="6">
                  <c:v>454</c:v>
                </c:pt>
                <c:pt idx="7">
                  <c:v>1129</c:v>
                </c:pt>
                <c:pt idx="8">
                  <c:v>1311</c:v>
                </c:pt>
                <c:pt idx="12">
                  <c:v>17843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0F9-4573-AE42-81D21DA584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TF'!$N$140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0F9-4573-AE42-81D21DA584E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0F9-4573-AE42-81D21DA584E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0F9-4573-AE42-81D21DA584E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0F9-4573-AE42-81D21DA584E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0F9-4573-AE42-81D21DA584E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0F9-4573-AE42-81D21DA584E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0F9-4573-AE42-81D21DA584E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0F9-4573-AE42-81D21DA584E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0F9-4573-AE42-81D21DA584E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0F9-4573-AE42-81D21DA584E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0F9-4573-AE42-81D21DA584E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0F9-4573-AE42-81D21DA584E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0F9-4573-AE42-81D21DA584E3}"/>
              </c:ext>
            </c:extLst>
          </c:dPt>
          <c:cat>
            <c:strRef>
              <c:f>'Pernoctaciones evol mensu TF'!$B$141:$B$152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TF'!$N$141:$N$153</c:f>
              <c:numCache>
                <c:formatCode>0.0%</c:formatCode>
                <c:ptCount val="13"/>
                <c:pt idx="0">
                  <c:v>0.32154819501302567</c:v>
                </c:pt>
                <c:pt idx="1">
                  <c:v>9.8730606488011352E-2</c:v>
                </c:pt>
                <c:pt idx="2">
                  <c:v>0.12650602409638556</c:v>
                </c:pt>
                <c:pt idx="3">
                  <c:v>-2.8151260504201692E-2</c:v>
                </c:pt>
                <c:pt idx="4">
                  <c:v>0.25058915946582871</c:v>
                </c:pt>
                <c:pt idx="5">
                  <c:v>0.21660649819494582</c:v>
                </c:pt>
                <c:pt idx="6">
                  <c:v>6.3231850117096089E-2</c:v>
                </c:pt>
                <c:pt idx="7">
                  <c:v>-7.9869600651996775E-2</c:v>
                </c:pt>
                <c:pt idx="8">
                  <c:v>1.7857142857142794E-2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0.11959590889125926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10F9-4573-AE42-81D21DA584E3}"/>
            </c:ext>
          </c:extLst>
        </c:ser>
        <c:ser>
          <c:idx val="4"/>
          <c:order val="5"/>
          <c:tx>
            <c:strRef>
              <c:f>'Pernoctaciones evol mensu TF'!$O$140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TF'!$O$141:$O$153</c:f>
              <c:numCache>
                <c:formatCode>0.0%</c:formatCode>
                <c:ptCount val="13"/>
                <c:pt idx="0">
                  <c:v>0.4330104923325262</c:v>
                </c:pt>
                <c:pt idx="1">
                  <c:v>8.7229588276343417E-2</c:v>
                </c:pt>
                <c:pt idx="2">
                  <c:v>8.0577849117174916E-2</c:v>
                </c:pt>
                <c:pt idx="3">
                  <c:v>-1.7834394904458595E-2</c:v>
                </c:pt>
                <c:pt idx="4">
                  <c:v>-4.6135410425404477E-2</c:v>
                </c:pt>
                <c:pt idx="5">
                  <c:v>1.7698630136986302</c:v>
                </c:pt>
                <c:pt idx="6">
                  <c:v>0.93191489361702118</c:v>
                </c:pt>
                <c:pt idx="7">
                  <c:v>1.0564663023679417</c:v>
                </c:pt>
                <c:pt idx="8">
                  <c:v>1.2145270270270272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0.25442913385826782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10F9-4573-AE42-81D21DA584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TF'!$C$161:$D$161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062-4016-9345-C9AE98B40406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TF'!$C$163:$C$175</c:f>
              <c:numCache>
                <c:formatCode>#,##0</c:formatCode>
                <c:ptCount val="13"/>
                <c:pt idx="0">
                  <c:v>720</c:v>
                </c:pt>
                <c:pt idx="1">
                  <c:v>948</c:v>
                </c:pt>
                <c:pt idx="2">
                  <c:v>1044</c:v>
                </c:pt>
                <c:pt idx="3">
                  <c:v>826</c:v>
                </c:pt>
                <c:pt idx="4">
                  <c:v>715</c:v>
                </c:pt>
                <c:pt idx="5">
                  <c:v>429</c:v>
                </c:pt>
                <c:pt idx="6">
                  <c:v>548</c:v>
                </c:pt>
                <c:pt idx="7">
                  <c:v>723</c:v>
                </c:pt>
                <c:pt idx="8">
                  <c:v>504</c:v>
                </c:pt>
                <c:pt idx="9">
                  <c:v>638</c:v>
                </c:pt>
                <c:pt idx="10">
                  <c:v>727</c:v>
                </c:pt>
                <c:pt idx="11">
                  <c:v>835</c:v>
                </c:pt>
                <c:pt idx="12">
                  <c:v>8657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062-4016-9345-C9AE98B40406}"/>
            </c:ext>
          </c:extLst>
        </c:ser>
        <c:ser>
          <c:idx val="5"/>
          <c:order val="1"/>
          <c:tx>
            <c:strRef>
              <c:f>'Pernoctaciones evol mensu TF'!$I$161:$J$161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062-4016-9345-C9AE98B40406}"/>
              </c:ext>
            </c:extLst>
          </c:dPt>
          <c:val>
            <c:numRef>
              <c:f>'Pernoctaciones evol mensu TF'!$I$163:$I$175</c:f>
              <c:numCache>
                <c:formatCode>#,##0</c:formatCode>
                <c:ptCount val="13"/>
                <c:pt idx="0">
                  <c:v>771</c:v>
                </c:pt>
                <c:pt idx="1">
                  <c:v>863</c:v>
                </c:pt>
                <c:pt idx="2">
                  <c:v>945</c:v>
                </c:pt>
                <c:pt idx="3">
                  <c:v>745</c:v>
                </c:pt>
                <c:pt idx="4">
                  <c:v>572</c:v>
                </c:pt>
                <c:pt idx="5">
                  <c:v>278</c:v>
                </c:pt>
                <c:pt idx="6">
                  <c:v>580</c:v>
                </c:pt>
                <c:pt idx="7">
                  <c:v>860</c:v>
                </c:pt>
                <c:pt idx="8">
                  <c:v>390</c:v>
                </c:pt>
                <c:pt idx="9">
                  <c:v>484</c:v>
                </c:pt>
                <c:pt idx="10">
                  <c:v>676</c:v>
                </c:pt>
                <c:pt idx="11">
                  <c:v>717</c:v>
                </c:pt>
                <c:pt idx="12">
                  <c:v>7881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062-4016-9345-C9AE98B40406}"/>
            </c:ext>
          </c:extLst>
        </c:ser>
        <c:ser>
          <c:idx val="0"/>
          <c:order val="2"/>
          <c:tx>
            <c:strRef>
              <c:f>'Pernoctaciones evol mensu TF'!$K$161:$L$161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062-4016-9345-C9AE98B40406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TF'!$K$163:$K$175</c:f>
              <c:numCache>
                <c:formatCode>#,##0</c:formatCode>
                <c:ptCount val="13"/>
                <c:pt idx="0">
                  <c:v>1006</c:v>
                </c:pt>
                <c:pt idx="1">
                  <c:v>1019</c:v>
                </c:pt>
                <c:pt idx="2">
                  <c:v>1138</c:v>
                </c:pt>
                <c:pt idx="3">
                  <c:v>650</c:v>
                </c:pt>
                <c:pt idx="4">
                  <c:v>732</c:v>
                </c:pt>
                <c:pt idx="5">
                  <c:v>374</c:v>
                </c:pt>
                <c:pt idx="6">
                  <c:v>379</c:v>
                </c:pt>
                <c:pt idx="7">
                  <c:v>734</c:v>
                </c:pt>
                <c:pt idx="8">
                  <c:v>486</c:v>
                </c:pt>
                <c:pt idx="9">
                  <c:v>565</c:v>
                </c:pt>
                <c:pt idx="10">
                  <c:v>1140</c:v>
                </c:pt>
                <c:pt idx="11">
                  <c:v>679</c:v>
                </c:pt>
                <c:pt idx="12">
                  <c:v>8902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062-4016-9345-C9AE98B40406}"/>
            </c:ext>
          </c:extLst>
        </c:ser>
        <c:ser>
          <c:idx val="1"/>
          <c:order val="3"/>
          <c:tx>
            <c:strRef>
              <c:f>'Pernoctaciones evol mensu TF'!$M$161:$N$161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E062-4016-9345-C9AE98B4040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E062-4016-9345-C9AE98B40406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TF'!$M$163:$M$175</c:f>
              <c:numCache>
                <c:formatCode>#,##0</c:formatCode>
                <c:ptCount val="13"/>
                <c:pt idx="0">
                  <c:v>991</c:v>
                </c:pt>
                <c:pt idx="1">
                  <c:v>1220</c:v>
                </c:pt>
                <c:pt idx="2">
                  <c:v>1305</c:v>
                </c:pt>
                <c:pt idx="3">
                  <c:v>832</c:v>
                </c:pt>
                <c:pt idx="4">
                  <c:v>862</c:v>
                </c:pt>
                <c:pt idx="5">
                  <c:v>426</c:v>
                </c:pt>
                <c:pt idx="6">
                  <c:v>596</c:v>
                </c:pt>
                <c:pt idx="7">
                  <c:v>989</c:v>
                </c:pt>
                <c:pt idx="8">
                  <c:v>421</c:v>
                </c:pt>
                <c:pt idx="12">
                  <c:v>7642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062-4016-9345-C9AE98B404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TF'!$N$162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062-4016-9345-C9AE98B4040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062-4016-9345-C9AE98B4040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062-4016-9345-C9AE98B4040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062-4016-9345-C9AE98B4040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062-4016-9345-C9AE98B4040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062-4016-9345-C9AE98B4040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062-4016-9345-C9AE98B4040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062-4016-9345-C9AE98B4040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062-4016-9345-C9AE98B4040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062-4016-9345-C9AE98B4040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062-4016-9345-C9AE98B4040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062-4016-9345-C9AE98B4040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062-4016-9345-C9AE98B40406}"/>
              </c:ext>
            </c:extLst>
          </c:dPt>
          <c:cat>
            <c:strRef>
              <c:f>'Pernoctaciones evol mensu TF'!$B$163:$B$174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TF'!$N$163:$N$175</c:f>
              <c:numCache>
                <c:formatCode>0.0%</c:formatCode>
                <c:ptCount val="13"/>
                <c:pt idx="0">
                  <c:v>-1.491053677932408E-2</c:v>
                </c:pt>
                <c:pt idx="1">
                  <c:v>0.19725220804710508</c:v>
                </c:pt>
                <c:pt idx="2">
                  <c:v>0.14674868189806678</c:v>
                </c:pt>
                <c:pt idx="3">
                  <c:v>0.28000000000000003</c:v>
                </c:pt>
                <c:pt idx="4">
                  <c:v>0.17759562841530063</c:v>
                </c:pt>
                <c:pt idx="5">
                  <c:v>0.1390374331550801</c:v>
                </c:pt>
                <c:pt idx="6">
                  <c:v>0.57255936675461738</c:v>
                </c:pt>
                <c:pt idx="7">
                  <c:v>0.34741144414168934</c:v>
                </c:pt>
                <c:pt idx="8">
                  <c:v>-0.13374485596707819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0.17244553544031915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E062-4016-9345-C9AE98B40406}"/>
            </c:ext>
          </c:extLst>
        </c:ser>
        <c:ser>
          <c:idx val="4"/>
          <c:order val="5"/>
          <c:tx>
            <c:strRef>
              <c:f>'Pernoctaciones evol mensu TF'!$O$162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TF'!$O$163:$O$175</c:f>
              <c:numCache>
                <c:formatCode>0.0%</c:formatCode>
                <c:ptCount val="13"/>
                <c:pt idx="0">
                  <c:v>0.37638888888888888</c:v>
                </c:pt>
                <c:pt idx="1">
                  <c:v>0.28691983122362874</c:v>
                </c:pt>
                <c:pt idx="2">
                  <c:v>0.25</c:v>
                </c:pt>
                <c:pt idx="3">
                  <c:v>7.2639225181598821E-3</c:v>
                </c:pt>
                <c:pt idx="4">
                  <c:v>0.20559440559440567</c:v>
                </c:pt>
                <c:pt idx="5">
                  <c:v>-6.9930069930069783E-3</c:v>
                </c:pt>
                <c:pt idx="6">
                  <c:v>8.7591240875912302E-2</c:v>
                </c:pt>
                <c:pt idx="7">
                  <c:v>0.36791147994467499</c:v>
                </c:pt>
                <c:pt idx="8">
                  <c:v>-0.16468253968253965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0.1835217593309586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E062-4016-9345-C9AE98B404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TF'!$C$183:$D$183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378-4114-A325-44B87BF9C3B7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TF'!$C$185:$C$197</c:f>
              <c:numCache>
                <c:formatCode>#,##0</c:formatCode>
                <c:ptCount val="13"/>
                <c:pt idx="0">
                  <c:v>191</c:v>
                </c:pt>
                <c:pt idx="1">
                  <c:v>192</c:v>
                </c:pt>
                <c:pt idx="2">
                  <c:v>234</c:v>
                </c:pt>
                <c:pt idx="3">
                  <c:v>119</c:v>
                </c:pt>
                <c:pt idx="4">
                  <c:v>80</c:v>
                </c:pt>
                <c:pt idx="5">
                  <c:v>84</c:v>
                </c:pt>
                <c:pt idx="6">
                  <c:v>43</c:v>
                </c:pt>
                <c:pt idx="7">
                  <c:v>40</c:v>
                </c:pt>
                <c:pt idx="8">
                  <c:v>24</c:v>
                </c:pt>
                <c:pt idx="9">
                  <c:v>56</c:v>
                </c:pt>
                <c:pt idx="10">
                  <c:v>121</c:v>
                </c:pt>
                <c:pt idx="11">
                  <c:v>114</c:v>
                </c:pt>
                <c:pt idx="12">
                  <c:v>1298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378-4114-A325-44B87BF9C3B7}"/>
            </c:ext>
          </c:extLst>
        </c:ser>
        <c:ser>
          <c:idx val="5"/>
          <c:order val="1"/>
          <c:tx>
            <c:strRef>
              <c:f>'Pernoctaciones evol mensu TF'!$I$183:$J$183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378-4114-A325-44B87BF9C3B7}"/>
              </c:ext>
            </c:extLst>
          </c:dPt>
          <c:val>
            <c:numRef>
              <c:f>'Pernoctaciones evol mensu TF'!$I$185:$I$197</c:f>
              <c:numCache>
                <c:formatCode>#,##0</c:formatCode>
                <c:ptCount val="13"/>
                <c:pt idx="0">
                  <c:v>235</c:v>
                </c:pt>
                <c:pt idx="1">
                  <c:v>237</c:v>
                </c:pt>
                <c:pt idx="2">
                  <c:v>269</c:v>
                </c:pt>
                <c:pt idx="3">
                  <c:v>157</c:v>
                </c:pt>
                <c:pt idx="4">
                  <c:v>104</c:v>
                </c:pt>
                <c:pt idx="5">
                  <c:v>70</c:v>
                </c:pt>
                <c:pt idx="6">
                  <c:v>209</c:v>
                </c:pt>
                <c:pt idx="7">
                  <c:v>142</c:v>
                </c:pt>
                <c:pt idx="8">
                  <c:v>117</c:v>
                </c:pt>
                <c:pt idx="9">
                  <c:v>83</c:v>
                </c:pt>
                <c:pt idx="10">
                  <c:v>157</c:v>
                </c:pt>
                <c:pt idx="11">
                  <c:v>112</c:v>
                </c:pt>
                <c:pt idx="12">
                  <c:v>1892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378-4114-A325-44B87BF9C3B7}"/>
            </c:ext>
          </c:extLst>
        </c:ser>
        <c:ser>
          <c:idx val="0"/>
          <c:order val="2"/>
          <c:tx>
            <c:strRef>
              <c:f>'Pernoctaciones evol mensu TF'!$K$183:$L$183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378-4114-A325-44B87BF9C3B7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TF'!$K$185:$K$197</c:f>
              <c:numCache>
                <c:formatCode>#,##0</c:formatCode>
                <c:ptCount val="13"/>
                <c:pt idx="0">
                  <c:v>204</c:v>
                </c:pt>
                <c:pt idx="1">
                  <c:v>99</c:v>
                </c:pt>
                <c:pt idx="2">
                  <c:v>302</c:v>
                </c:pt>
                <c:pt idx="3">
                  <c:v>114</c:v>
                </c:pt>
                <c:pt idx="4">
                  <c:v>83</c:v>
                </c:pt>
                <c:pt idx="5">
                  <c:v>73</c:v>
                </c:pt>
                <c:pt idx="6">
                  <c:v>111</c:v>
                </c:pt>
                <c:pt idx="7">
                  <c:v>117</c:v>
                </c:pt>
                <c:pt idx="8">
                  <c:v>120</c:v>
                </c:pt>
                <c:pt idx="9">
                  <c:v>116</c:v>
                </c:pt>
                <c:pt idx="10">
                  <c:v>311</c:v>
                </c:pt>
                <c:pt idx="11">
                  <c:v>162</c:v>
                </c:pt>
                <c:pt idx="12">
                  <c:v>1812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378-4114-A325-44B87BF9C3B7}"/>
            </c:ext>
          </c:extLst>
        </c:ser>
        <c:ser>
          <c:idx val="1"/>
          <c:order val="3"/>
          <c:tx>
            <c:strRef>
              <c:f>'Pernoctaciones evol mensu TF'!$M$183:$N$183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D378-4114-A325-44B87BF9C3B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D378-4114-A325-44B87BF9C3B7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TF'!$M$185:$M$197</c:f>
              <c:numCache>
                <c:formatCode>#,##0</c:formatCode>
                <c:ptCount val="13"/>
                <c:pt idx="0">
                  <c:v>391</c:v>
                </c:pt>
                <c:pt idx="1">
                  <c:v>311</c:v>
                </c:pt>
                <c:pt idx="2">
                  <c:v>283</c:v>
                </c:pt>
                <c:pt idx="3">
                  <c:v>234</c:v>
                </c:pt>
                <c:pt idx="4">
                  <c:v>66</c:v>
                </c:pt>
                <c:pt idx="5">
                  <c:v>55</c:v>
                </c:pt>
                <c:pt idx="6">
                  <c:v>59</c:v>
                </c:pt>
                <c:pt idx="7">
                  <c:v>136</c:v>
                </c:pt>
                <c:pt idx="8">
                  <c:v>158</c:v>
                </c:pt>
                <c:pt idx="12">
                  <c:v>1693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378-4114-A325-44B87BF9C3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TF'!$N$184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378-4114-A325-44B87BF9C3B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378-4114-A325-44B87BF9C3B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378-4114-A325-44B87BF9C3B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378-4114-A325-44B87BF9C3B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378-4114-A325-44B87BF9C3B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378-4114-A325-44B87BF9C3B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378-4114-A325-44B87BF9C3B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378-4114-A325-44B87BF9C3B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378-4114-A325-44B87BF9C3B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378-4114-A325-44B87BF9C3B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378-4114-A325-44B87BF9C3B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378-4114-A325-44B87BF9C3B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378-4114-A325-44B87BF9C3B7}"/>
              </c:ext>
            </c:extLst>
          </c:dPt>
          <c:cat>
            <c:strRef>
              <c:f>'Pernoctaciones evol mensu TF'!$B$185:$B$196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TF'!$N$185:$N$197</c:f>
              <c:numCache>
                <c:formatCode>0.0%</c:formatCode>
                <c:ptCount val="13"/>
                <c:pt idx="0">
                  <c:v>0.91666666666666674</c:v>
                </c:pt>
                <c:pt idx="1">
                  <c:v>2.1414141414141414</c:v>
                </c:pt>
                <c:pt idx="2">
                  <c:v>-6.29139072847682E-2</c:v>
                </c:pt>
                <c:pt idx="3">
                  <c:v>1.0526315789473686</c:v>
                </c:pt>
                <c:pt idx="4">
                  <c:v>-0.20481927710843373</c:v>
                </c:pt>
                <c:pt idx="5">
                  <c:v>-0.24657534246575341</c:v>
                </c:pt>
                <c:pt idx="6">
                  <c:v>-0.46846846846846846</c:v>
                </c:pt>
                <c:pt idx="7">
                  <c:v>0.16239316239316248</c:v>
                </c:pt>
                <c:pt idx="8">
                  <c:v>0.31666666666666665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0.3843008994276369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D378-4114-A325-44B87BF9C3B7}"/>
            </c:ext>
          </c:extLst>
        </c:ser>
        <c:ser>
          <c:idx val="4"/>
          <c:order val="5"/>
          <c:tx>
            <c:strRef>
              <c:f>'Pernoctaciones evol mensu TF'!$O$184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TF'!$O$185:$O$197</c:f>
              <c:numCache>
                <c:formatCode>0.0%</c:formatCode>
                <c:ptCount val="13"/>
                <c:pt idx="0">
                  <c:v>1.0471204188481678</c:v>
                </c:pt>
                <c:pt idx="1">
                  <c:v>0.61979166666666674</c:v>
                </c:pt>
                <c:pt idx="2">
                  <c:v>0.20940170940170932</c:v>
                </c:pt>
                <c:pt idx="3">
                  <c:v>0.96638655462184864</c:v>
                </c:pt>
                <c:pt idx="4">
                  <c:v>-0.17500000000000004</c:v>
                </c:pt>
                <c:pt idx="5">
                  <c:v>-0.34523809523809523</c:v>
                </c:pt>
                <c:pt idx="6">
                  <c:v>0.37209302325581395</c:v>
                </c:pt>
                <c:pt idx="7">
                  <c:v>2.4</c:v>
                </c:pt>
                <c:pt idx="8">
                  <c:v>5.583333333333333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0.68123138033763664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D378-4114-A325-44B87BF9C3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TF'!$C$205:$D$205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31F-4A76-A0F2-C13F2D0FDAA0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TF'!$C$207:$C$219</c:f>
              <c:numCache>
                <c:formatCode>#,##0</c:formatCode>
                <c:ptCount val="13"/>
                <c:pt idx="0">
                  <c:v>273</c:v>
                </c:pt>
                <c:pt idx="1">
                  <c:v>211</c:v>
                </c:pt>
                <c:pt idx="2">
                  <c:v>272</c:v>
                </c:pt>
                <c:pt idx="3">
                  <c:v>128</c:v>
                </c:pt>
                <c:pt idx="4">
                  <c:v>98</c:v>
                </c:pt>
                <c:pt idx="5">
                  <c:v>161</c:v>
                </c:pt>
                <c:pt idx="6">
                  <c:v>180</c:v>
                </c:pt>
                <c:pt idx="7">
                  <c:v>291</c:v>
                </c:pt>
                <c:pt idx="8">
                  <c:v>116</c:v>
                </c:pt>
                <c:pt idx="9">
                  <c:v>243</c:v>
                </c:pt>
                <c:pt idx="10">
                  <c:v>220</c:v>
                </c:pt>
                <c:pt idx="11">
                  <c:v>197</c:v>
                </c:pt>
                <c:pt idx="12">
                  <c:v>2390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31F-4A76-A0F2-C13F2D0FDAA0}"/>
            </c:ext>
          </c:extLst>
        </c:ser>
        <c:ser>
          <c:idx val="5"/>
          <c:order val="1"/>
          <c:tx>
            <c:strRef>
              <c:f>'Pernoctaciones evol mensu TF'!$I$205:$J$205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31F-4A76-A0F2-C13F2D0FDAA0}"/>
              </c:ext>
            </c:extLst>
          </c:dPt>
          <c:val>
            <c:numRef>
              <c:f>'Pernoctaciones evol mensu TF'!$I$207:$I$219</c:f>
              <c:numCache>
                <c:formatCode>#,##0</c:formatCode>
                <c:ptCount val="13"/>
                <c:pt idx="0">
                  <c:v>500</c:v>
                </c:pt>
                <c:pt idx="1">
                  <c:v>376</c:v>
                </c:pt>
                <c:pt idx="2">
                  <c:v>467</c:v>
                </c:pt>
                <c:pt idx="3">
                  <c:v>402</c:v>
                </c:pt>
                <c:pt idx="4">
                  <c:v>372</c:v>
                </c:pt>
                <c:pt idx="5">
                  <c:v>448</c:v>
                </c:pt>
                <c:pt idx="6">
                  <c:v>155</c:v>
                </c:pt>
                <c:pt idx="7">
                  <c:v>383</c:v>
                </c:pt>
                <c:pt idx="8">
                  <c:v>333</c:v>
                </c:pt>
                <c:pt idx="9">
                  <c:v>458</c:v>
                </c:pt>
                <c:pt idx="10">
                  <c:v>713</c:v>
                </c:pt>
                <c:pt idx="11">
                  <c:v>374</c:v>
                </c:pt>
                <c:pt idx="12">
                  <c:v>4981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31F-4A76-A0F2-C13F2D0FDAA0}"/>
            </c:ext>
          </c:extLst>
        </c:ser>
        <c:ser>
          <c:idx val="0"/>
          <c:order val="2"/>
          <c:tx>
            <c:strRef>
              <c:f>'Pernoctaciones evol mensu TF'!$K$205:$L$205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31F-4A76-A0F2-C13F2D0FDAA0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TF'!$K$207:$K$219</c:f>
              <c:numCache>
                <c:formatCode>#,##0</c:formatCode>
                <c:ptCount val="13"/>
                <c:pt idx="0">
                  <c:v>587</c:v>
                </c:pt>
                <c:pt idx="1">
                  <c:v>398</c:v>
                </c:pt>
                <c:pt idx="2">
                  <c:v>596</c:v>
                </c:pt>
                <c:pt idx="3">
                  <c:v>239</c:v>
                </c:pt>
                <c:pt idx="4">
                  <c:v>200</c:v>
                </c:pt>
                <c:pt idx="5">
                  <c:v>127</c:v>
                </c:pt>
                <c:pt idx="6">
                  <c:v>176</c:v>
                </c:pt>
                <c:pt idx="7">
                  <c:v>153</c:v>
                </c:pt>
                <c:pt idx="8">
                  <c:v>194</c:v>
                </c:pt>
                <c:pt idx="9">
                  <c:v>266</c:v>
                </c:pt>
                <c:pt idx="10">
                  <c:v>322</c:v>
                </c:pt>
                <c:pt idx="11">
                  <c:v>365</c:v>
                </c:pt>
                <c:pt idx="12">
                  <c:v>3623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31F-4A76-A0F2-C13F2D0FDAA0}"/>
            </c:ext>
          </c:extLst>
        </c:ser>
        <c:ser>
          <c:idx val="1"/>
          <c:order val="3"/>
          <c:tx>
            <c:strRef>
              <c:f>'Pernoctaciones evol mensu TF'!$M$205:$N$205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231F-4A76-A0F2-C13F2D0FDAA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231F-4A76-A0F2-C13F2D0FDAA0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TF'!$M$207:$M$219</c:f>
              <c:numCache>
                <c:formatCode>#,##0</c:formatCode>
                <c:ptCount val="13"/>
                <c:pt idx="0">
                  <c:v>618</c:v>
                </c:pt>
                <c:pt idx="1">
                  <c:v>524</c:v>
                </c:pt>
                <c:pt idx="2">
                  <c:v>525</c:v>
                </c:pt>
                <c:pt idx="3">
                  <c:v>478</c:v>
                </c:pt>
                <c:pt idx="4">
                  <c:v>229</c:v>
                </c:pt>
                <c:pt idx="5">
                  <c:v>314</c:v>
                </c:pt>
                <c:pt idx="6">
                  <c:v>134</c:v>
                </c:pt>
                <c:pt idx="7">
                  <c:v>219</c:v>
                </c:pt>
                <c:pt idx="8">
                  <c:v>121</c:v>
                </c:pt>
                <c:pt idx="12">
                  <c:v>3162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31F-4A76-A0F2-C13F2D0FDA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TF'!$N$206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31F-4A76-A0F2-C13F2D0FDAA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31F-4A76-A0F2-C13F2D0FDAA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31F-4A76-A0F2-C13F2D0FDAA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31F-4A76-A0F2-C13F2D0FDAA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31F-4A76-A0F2-C13F2D0FDAA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31F-4A76-A0F2-C13F2D0FDAA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31F-4A76-A0F2-C13F2D0FDAA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31F-4A76-A0F2-C13F2D0FDAA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31F-4A76-A0F2-C13F2D0FDAA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31F-4A76-A0F2-C13F2D0FDAA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31F-4A76-A0F2-C13F2D0FDAA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31F-4A76-A0F2-C13F2D0FDAA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31F-4A76-A0F2-C13F2D0FDAA0}"/>
              </c:ext>
            </c:extLst>
          </c:dPt>
          <c:cat>
            <c:strRef>
              <c:f>'Pernoctaciones evol mensu TF'!$B$207:$B$218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TF'!$N$207:$N$219</c:f>
              <c:numCache>
                <c:formatCode>0.0%</c:formatCode>
                <c:ptCount val="13"/>
                <c:pt idx="0">
                  <c:v>5.2810902896081702E-2</c:v>
                </c:pt>
                <c:pt idx="1">
                  <c:v>0.31658291457286425</c:v>
                </c:pt>
                <c:pt idx="2">
                  <c:v>-0.11912751677852351</c:v>
                </c:pt>
                <c:pt idx="3">
                  <c:v>1</c:v>
                </c:pt>
                <c:pt idx="4">
                  <c:v>0.14500000000000002</c:v>
                </c:pt>
                <c:pt idx="5">
                  <c:v>1.4724409448818898</c:v>
                </c:pt>
                <c:pt idx="6">
                  <c:v>-0.23863636363636365</c:v>
                </c:pt>
                <c:pt idx="7">
                  <c:v>0.43137254901960786</c:v>
                </c:pt>
                <c:pt idx="8">
                  <c:v>-0.37628865979381443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0.18426966292134828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231F-4A76-A0F2-C13F2D0FDAA0}"/>
            </c:ext>
          </c:extLst>
        </c:ser>
        <c:ser>
          <c:idx val="4"/>
          <c:order val="5"/>
          <c:tx>
            <c:strRef>
              <c:f>'Pernoctaciones evol mensu TF'!$O$206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TF'!$O$207:$O$219</c:f>
              <c:numCache>
                <c:formatCode>0.0%</c:formatCode>
                <c:ptCount val="13"/>
                <c:pt idx="0">
                  <c:v>1.2637362637362637</c:v>
                </c:pt>
                <c:pt idx="1">
                  <c:v>1.4834123222748814</c:v>
                </c:pt>
                <c:pt idx="2">
                  <c:v>0.93014705882352944</c:v>
                </c:pt>
                <c:pt idx="3">
                  <c:v>2.734375</c:v>
                </c:pt>
                <c:pt idx="4">
                  <c:v>1.3367346938775508</c:v>
                </c:pt>
                <c:pt idx="5">
                  <c:v>0.95031055900621109</c:v>
                </c:pt>
                <c:pt idx="6">
                  <c:v>-0.25555555555555554</c:v>
                </c:pt>
                <c:pt idx="7">
                  <c:v>-0.24742268041237114</c:v>
                </c:pt>
                <c:pt idx="8">
                  <c:v>4.31034482758621E-2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0.82774566473988442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231F-4A76-A0F2-C13F2D0FDA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TF'!$C$227:$D$227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F66-4F6C-A113-5AB88760D477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TF'!$C$229:$C$241</c:f>
              <c:numCache>
                <c:formatCode>#,##0</c:formatCode>
                <c:ptCount val="13"/>
                <c:pt idx="0">
                  <c:v>118</c:v>
                </c:pt>
                <c:pt idx="1">
                  <c:v>79</c:v>
                </c:pt>
                <c:pt idx="2">
                  <c:v>57</c:v>
                </c:pt>
                <c:pt idx="3">
                  <c:v>16</c:v>
                </c:pt>
                <c:pt idx="4">
                  <c:v>10</c:v>
                </c:pt>
                <c:pt idx="5">
                  <c:v>23</c:v>
                </c:pt>
                <c:pt idx="6">
                  <c:v>9</c:v>
                </c:pt>
                <c:pt idx="7">
                  <c:v>1</c:v>
                </c:pt>
                <c:pt idx="8">
                  <c:v>2</c:v>
                </c:pt>
                <c:pt idx="9">
                  <c:v>16</c:v>
                </c:pt>
                <c:pt idx="10">
                  <c:v>39</c:v>
                </c:pt>
                <c:pt idx="11">
                  <c:v>74</c:v>
                </c:pt>
                <c:pt idx="12">
                  <c:v>444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F66-4F6C-A113-5AB88760D477}"/>
            </c:ext>
          </c:extLst>
        </c:ser>
        <c:ser>
          <c:idx val="5"/>
          <c:order val="1"/>
          <c:tx>
            <c:strRef>
              <c:f>'Pernoctaciones evol mensu TF'!$I$227:$J$227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F66-4F6C-A113-5AB88760D477}"/>
              </c:ext>
            </c:extLst>
          </c:dPt>
          <c:val>
            <c:numRef>
              <c:f>'Pernoctaciones evol mensu TF'!$I$229:$I$241</c:f>
              <c:numCache>
                <c:formatCode>#,##0</c:formatCode>
                <c:ptCount val="13"/>
                <c:pt idx="0">
                  <c:v>202</c:v>
                </c:pt>
                <c:pt idx="1">
                  <c:v>191</c:v>
                </c:pt>
                <c:pt idx="2">
                  <c:v>85</c:v>
                </c:pt>
                <c:pt idx="3">
                  <c:v>17</c:v>
                </c:pt>
                <c:pt idx="4">
                  <c:v>21</c:v>
                </c:pt>
                <c:pt idx="5">
                  <c:v>7</c:v>
                </c:pt>
                <c:pt idx="6">
                  <c:v>17</c:v>
                </c:pt>
                <c:pt idx="7">
                  <c:v>63</c:v>
                </c:pt>
                <c:pt idx="8">
                  <c:v>27</c:v>
                </c:pt>
                <c:pt idx="9">
                  <c:v>46</c:v>
                </c:pt>
                <c:pt idx="10">
                  <c:v>40</c:v>
                </c:pt>
                <c:pt idx="11">
                  <c:v>101</c:v>
                </c:pt>
                <c:pt idx="12">
                  <c:v>817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F66-4F6C-A113-5AB88760D477}"/>
            </c:ext>
          </c:extLst>
        </c:ser>
        <c:ser>
          <c:idx val="0"/>
          <c:order val="2"/>
          <c:tx>
            <c:strRef>
              <c:f>'Pernoctaciones evol mensu TF'!$K$227:$L$227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F66-4F6C-A113-5AB88760D477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TF'!$K$229:$K$241</c:f>
              <c:numCache>
                <c:formatCode>#,##0</c:formatCode>
                <c:ptCount val="13"/>
                <c:pt idx="0">
                  <c:v>130</c:v>
                </c:pt>
                <c:pt idx="1">
                  <c:v>31</c:v>
                </c:pt>
                <c:pt idx="2">
                  <c:v>28</c:v>
                </c:pt>
                <c:pt idx="3">
                  <c:v>42</c:v>
                </c:pt>
                <c:pt idx="4">
                  <c:v>10</c:v>
                </c:pt>
                <c:pt idx="5">
                  <c:v>2</c:v>
                </c:pt>
                <c:pt idx="6">
                  <c:v>35</c:v>
                </c:pt>
                <c:pt idx="7">
                  <c:v>6</c:v>
                </c:pt>
                <c:pt idx="8">
                  <c:v>14</c:v>
                </c:pt>
                <c:pt idx="9">
                  <c:v>6</c:v>
                </c:pt>
                <c:pt idx="10">
                  <c:v>82</c:v>
                </c:pt>
                <c:pt idx="11">
                  <c:v>34</c:v>
                </c:pt>
                <c:pt idx="12">
                  <c:v>420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F66-4F6C-A113-5AB88760D477}"/>
            </c:ext>
          </c:extLst>
        </c:ser>
        <c:ser>
          <c:idx val="1"/>
          <c:order val="3"/>
          <c:tx>
            <c:strRef>
              <c:f>'Pernoctaciones evol mensu TF'!$M$227:$N$227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4F66-4F6C-A113-5AB88760D47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4F66-4F6C-A113-5AB88760D477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TF'!$M$229:$M$241</c:f>
              <c:numCache>
                <c:formatCode>#,##0</c:formatCode>
                <c:ptCount val="13"/>
                <c:pt idx="0">
                  <c:v>167</c:v>
                </c:pt>
                <c:pt idx="1">
                  <c:v>140</c:v>
                </c:pt>
                <c:pt idx="2">
                  <c:v>62</c:v>
                </c:pt>
                <c:pt idx="3">
                  <c:v>2</c:v>
                </c:pt>
                <c:pt idx="4">
                  <c:v>0</c:v>
                </c:pt>
                <c:pt idx="5">
                  <c:v>176</c:v>
                </c:pt>
                <c:pt idx="6">
                  <c:v>45</c:v>
                </c:pt>
                <c:pt idx="7">
                  <c:v>4</c:v>
                </c:pt>
                <c:pt idx="8">
                  <c:v>36</c:v>
                </c:pt>
                <c:pt idx="12">
                  <c:v>632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F66-4F6C-A113-5AB88760D4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TF'!$N$228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F66-4F6C-A113-5AB88760D47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F66-4F6C-A113-5AB88760D47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F66-4F6C-A113-5AB88760D47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F66-4F6C-A113-5AB88760D47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F66-4F6C-A113-5AB88760D47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F66-4F6C-A113-5AB88760D47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F66-4F6C-A113-5AB88760D47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F66-4F6C-A113-5AB88760D47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F66-4F6C-A113-5AB88760D47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F66-4F6C-A113-5AB88760D47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F66-4F6C-A113-5AB88760D47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F66-4F6C-A113-5AB88760D47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F66-4F6C-A113-5AB88760D477}"/>
              </c:ext>
            </c:extLst>
          </c:dPt>
          <c:cat>
            <c:strRef>
              <c:f>'Pernoctaciones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TF'!$N$229:$N$241</c:f>
              <c:numCache>
                <c:formatCode>0.0%</c:formatCode>
                <c:ptCount val="13"/>
                <c:pt idx="0">
                  <c:v>0.28461538461538471</c:v>
                </c:pt>
                <c:pt idx="1">
                  <c:v>3.5161290322580649</c:v>
                </c:pt>
                <c:pt idx="2">
                  <c:v>1.2142857142857144</c:v>
                </c:pt>
                <c:pt idx="3">
                  <c:v>-0.95238095238095233</c:v>
                </c:pt>
                <c:pt idx="4">
                  <c:v>-1</c:v>
                </c:pt>
                <c:pt idx="5">
                  <c:v>87</c:v>
                </c:pt>
                <c:pt idx="6">
                  <c:v>0.28571428571428581</c:v>
                </c:pt>
                <c:pt idx="7">
                  <c:v>-0.33333333333333337</c:v>
                </c:pt>
                <c:pt idx="8">
                  <c:v>1.5714285714285716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1.1208053691275168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4F66-4F6C-A113-5AB88760D477}"/>
            </c:ext>
          </c:extLst>
        </c:ser>
        <c:ser>
          <c:idx val="4"/>
          <c:order val="5"/>
          <c:tx>
            <c:strRef>
              <c:f>'Pernoctaciones evol mensu TF'!$O$228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TF'!$O$229:$O$241</c:f>
              <c:numCache>
                <c:formatCode>0.0%</c:formatCode>
                <c:ptCount val="13"/>
                <c:pt idx="0">
                  <c:v>0.4152542372881356</c:v>
                </c:pt>
                <c:pt idx="1">
                  <c:v>0.77215189873417711</c:v>
                </c:pt>
                <c:pt idx="2">
                  <c:v>8.7719298245614086E-2</c:v>
                </c:pt>
                <c:pt idx="3">
                  <c:v>-0.875</c:v>
                </c:pt>
                <c:pt idx="4">
                  <c:v>-1</c:v>
                </c:pt>
                <c:pt idx="5">
                  <c:v>6.6521739130434785</c:v>
                </c:pt>
                <c:pt idx="6">
                  <c:v>4</c:v>
                </c:pt>
                <c:pt idx="7">
                  <c:v>3</c:v>
                </c:pt>
                <c:pt idx="8">
                  <c:v>17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1.0063492063492063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4F66-4F6C-A113-5AB88760D4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TF'!$C$253:$D$253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840-4D33-B324-B5C258DDCA88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TF'!$C$255:$C$267</c:f>
              <c:numCache>
                <c:formatCode>#,##0</c:formatCode>
                <c:ptCount val="13"/>
                <c:pt idx="0">
                  <c:v>56</c:v>
                </c:pt>
                <c:pt idx="1">
                  <c:v>130</c:v>
                </c:pt>
                <c:pt idx="2">
                  <c:v>99</c:v>
                </c:pt>
                <c:pt idx="3">
                  <c:v>16</c:v>
                </c:pt>
                <c:pt idx="4">
                  <c:v>3</c:v>
                </c:pt>
                <c:pt idx="5">
                  <c:v>37</c:v>
                </c:pt>
                <c:pt idx="6">
                  <c:v>15</c:v>
                </c:pt>
                <c:pt idx="7">
                  <c:v>27</c:v>
                </c:pt>
                <c:pt idx="8">
                  <c:v>0</c:v>
                </c:pt>
                <c:pt idx="9">
                  <c:v>48</c:v>
                </c:pt>
                <c:pt idx="10">
                  <c:v>158</c:v>
                </c:pt>
                <c:pt idx="11">
                  <c:v>110</c:v>
                </c:pt>
                <c:pt idx="12">
                  <c:v>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840-4D33-B324-B5C258DDCA88}"/>
            </c:ext>
          </c:extLst>
        </c:ser>
        <c:ser>
          <c:idx val="5"/>
          <c:order val="1"/>
          <c:tx>
            <c:strRef>
              <c:f>'Pernoctaciones evol mensu TF'!$I$253:$J$253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840-4D33-B324-B5C258DDCA88}"/>
              </c:ext>
            </c:extLst>
          </c:dPt>
          <c:val>
            <c:numRef>
              <c:f>'Pernoctaciones evol mensu TF'!$I$255:$I$267</c:f>
              <c:numCache>
                <c:formatCode>#,##0</c:formatCode>
                <c:ptCount val="13"/>
                <c:pt idx="0">
                  <c:v>107</c:v>
                </c:pt>
                <c:pt idx="1">
                  <c:v>44</c:v>
                </c:pt>
                <c:pt idx="2">
                  <c:v>23</c:v>
                </c:pt>
                <c:pt idx="3">
                  <c:v>4</c:v>
                </c:pt>
                <c:pt idx="4">
                  <c:v>10</c:v>
                </c:pt>
                <c:pt idx="5">
                  <c:v>29</c:v>
                </c:pt>
                <c:pt idx="6">
                  <c:v>10</c:v>
                </c:pt>
                <c:pt idx="7">
                  <c:v>12</c:v>
                </c:pt>
                <c:pt idx="8">
                  <c:v>8</c:v>
                </c:pt>
                <c:pt idx="9">
                  <c:v>20</c:v>
                </c:pt>
                <c:pt idx="10">
                  <c:v>24</c:v>
                </c:pt>
                <c:pt idx="11">
                  <c:v>94</c:v>
                </c:pt>
                <c:pt idx="12">
                  <c:v>385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840-4D33-B324-B5C258DDCA88}"/>
            </c:ext>
          </c:extLst>
        </c:ser>
        <c:ser>
          <c:idx val="0"/>
          <c:order val="2"/>
          <c:tx>
            <c:strRef>
              <c:f>'Pernoctaciones evol mensu TF'!$K$253:$L$253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840-4D33-B324-B5C258DDCA88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TF'!$K$255:$K$267</c:f>
              <c:numCache>
                <c:formatCode>#,##0</c:formatCode>
                <c:ptCount val="13"/>
                <c:pt idx="0">
                  <c:v>236</c:v>
                </c:pt>
                <c:pt idx="1">
                  <c:v>59</c:v>
                </c:pt>
                <c:pt idx="2">
                  <c:v>105</c:v>
                </c:pt>
                <c:pt idx="3">
                  <c:v>66</c:v>
                </c:pt>
                <c:pt idx="4">
                  <c:v>63</c:v>
                </c:pt>
                <c:pt idx="5">
                  <c:v>48</c:v>
                </c:pt>
                <c:pt idx="6">
                  <c:v>29</c:v>
                </c:pt>
                <c:pt idx="7">
                  <c:v>34</c:v>
                </c:pt>
                <c:pt idx="8">
                  <c:v>40</c:v>
                </c:pt>
                <c:pt idx="9">
                  <c:v>26</c:v>
                </c:pt>
                <c:pt idx="10">
                  <c:v>97</c:v>
                </c:pt>
                <c:pt idx="11">
                  <c:v>147</c:v>
                </c:pt>
                <c:pt idx="12">
                  <c:v>950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840-4D33-B324-B5C258DDCA88}"/>
            </c:ext>
          </c:extLst>
        </c:ser>
        <c:ser>
          <c:idx val="1"/>
          <c:order val="3"/>
          <c:tx>
            <c:strRef>
              <c:f>'Pernoctaciones evol mensu TF'!$M$253:$N$253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840-4D33-B324-B5C258DDCA8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1840-4D33-B324-B5C258DDCA88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TF'!$M$255:$M$267</c:f>
              <c:numCache>
                <c:formatCode>#,##0</c:formatCode>
                <c:ptCount val="13"/>
                <c:pt idx="0">
                  <c:v>448</c:v>
                </c:pt>
                <c:pt idx="1">
                  <c:v>189</c:v>
                </c:pt>
                <c:pt idx="2">
                  <c:v>115</c:v>
                </c:pt>
                <c:pt idx="3">
                  <c:v>64</c:v>
                </c:pt>
                <c:pt idx="4">
                  <c:v>6</c:v>
                </c:pt>
                <c:pt idx="5">
                  <c:v>0</c:v>
                </c:pt>
                <c:pt idx="6">
                  <c:v>2</c:v>
                </c:pt>
                <c:pt idx="7">
                  <c:v>23</c:v>
                </c:pt>
                <c:pt idx="8">
                  <c:v>24</c:v>
                </c:pt>
                <c:pt idx="12">
                  <c:v>871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840-4D33-B324-B5C258DDCA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TF'!$N$254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840-4D33-B324-B5C258DDCA8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840-4D33-B324-B5C258DDCA8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840-4D33-B324-B5C258DDCA8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840-4D33-B324-B5C258DDCA8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840-4D33-B324-B5C258DDCA8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840-4D33-B324-B5C258DDCA8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840-4D33-B324-B5C258DDCA8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840-4D33-B324-B5C258DDCA8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840-4D33-B324-B5C258DDCA8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840-4D33-B324-B5C258DDCA8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840-4D33-B324-B5C258DDCA8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840-4D33-B324-B5C258DDCA8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840-4D33-B324-B5C258DDCA88}"/>
              </c:ext>
            </c:extLst>
          </c:dPt>
          <c:cat>
            <c:strRef>
              <c:f>'Pernoctaciones evol mensu TF'!$B$255:$B$266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TF'!$N$255:$N$267</c:f>
              <c:numCache>
                <c:formatCode>0.0%</c:formatCode>
                <c:ptCount val="13"/>
                <c:pt idx="0">
                  <c:v>0.89830508474576276</c:v>
                </c:pt>
                <c:pt idx="1">
                  <c:v>2.2033898305084745</c:v>
                </c:pt>
                <c:pt idx="2">
                  <c:v>9.5238095238095344E-2</c:v>
                </c:pt>
                <c:pt idx="3">
                  <c:v>-3.0303030303030276E-2</c:v>
                </c:pt>
                <c:pt idx="4">
                  <c:v>-0.90476190476190477</c:v>
                </c:pt>
                <c:pt idx="5">
                  <c:v>-1</c:v>
                </c:pt>
                <c:pt idx="6">
                  <c:v>-0.93103448275862066</c:v>
                </c:pt>
                <c:pt idx="7">
                  <c:v>-0.32352941176470584</c:v>
                </c:pt>
                <c:pt idx="8">
                  <c:v>-0.4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0.28088235294117636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1840-4D33-B324-B5C258DDCA88}"/>
            </c:ext>
          </c:extLst>
        </c:ser>
        <c:ser>
          <c:idx val="4"/>
          <c:order val="5"/>
          <c:tx>
            <c:strRef>
              <c:f>'Pernoctaciones evol mensu TF'!$O$254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TF'!$B$255:$B$266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TF'!$O$255:$O$267</c:f>
              <c:numCache>
                <c:formatCode>0.0%</c:formatCode>
                <c:ptCount val="13"/>
                <c:pt idx="0">
                  <c:v>7</c:v>
                </c:pt>
                <c:pt idx="1">
                  <c:v>0.45384615384615379</c:v>
                </c:pt>
                <c:pt idx="2">
                  <c:v>0.16161616161616155</c:v>
                </c:pt>
                <c:pt idx="3">
                  <c:v>3</c:v>
                </c:pt>
                <c:pt idx="4">
                  <c:v>1</c:v>
                </c:pt>
                <c:pt idx="5">
                  <c:v>-1</c:v>
                </c:pt>
                <c:pt idx="6">
                  <c:v>-0.8666666666666667</c:v>
                </c:pt>
                <c:pt idx="7">
                  <c:v>-0.14814814814814814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1.2741514360313317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1840-4D33-B324-B5C258DDCA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TF'!$C$73:$D$73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932-4B3F-81B7-88524D6FD02D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TF'!$C$75:$C$87</c:f>
              <c:numCache>
                <c:formatCode>#,##0</c:formatCode>
                <c:ptCount val="13"/>
                <c:pt idx="0">
                  <c:v>1402</c:v>
                </c:pt>
                <c:pt idx="1">
                  <c:v>1433</c:v>
                </c:pt>
                <c:pt idx="2">
                  <c:v>1398</c:v>
                </c:pt>
                <c:pt idx="3">
                  <c:v>1013</c:v>
                </c:pt>
                <c:pt idx="4">
                  <c:v>1329</c:v>
                </c:pt>
                <c:pt idx="5">
                  <c:v>1482</c:v>
                </c:pt>
                <c:pt idx="6">
                  <c:v>1775</c:v>
                </c:pt>
                <c:pt idx="7">
                  <c:v>1663</c:v>
                </c:pt>
                <c:pt idx="8">
                  <c:v>1415</c:v>
                </c:pt>
                <c:pt idx="9">
                  <c:v>1667</c:v>
                </c:pt>
                <c:pt idx="10">
                  <c:v>2000</c:v>
                </c:pt>
                <c:pt idx="11">
                  <c:v>2576</c:v>
                </c:pt>
                <c:pt idx="12">
                  <c:v>19153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932-4B3F-81B7-88524D6FD02D}"/>
            </c:ext>
          </c:extLst>
        </c:ser>
        <c:ser>
          <c:idx val="5"/>
          <c:order val="1"/>
          <c:tx>
            <c:strRef>
              <c:f>'Viajeros entr evol mensu TF'!$I$73:$J$73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932-4B3F-81B7-88524D6FD02D}"/>
              </c:ext>
            </c:extLst>
          </c:dPt>
          <c:val>
            <c:numRef>
              <c:f>'Viajeros entr evol mensu TF'!$I$75:$I$87</c:f>
              <c:numCache>
                <c:formatCode>#,##0</c:formatCode>
                <c:ptCount val="13"/>
                <c:pt idx="0">
                  <c:v>734</c:v>
                </c:pt>
                <c:pt idx="1">
                  <c:v>1122</c:v>
                </c:pt>
                <c:pt idx="2">
                  <c:v>1378</c:v>
                </c:pt>
                <c:pt idx="3">
                  <c:v>1381</c:v>
                </c:pt>
                <c:pt idx="4">
                  <c:v>1034</c:v>
                </c:pt>
                <c:pt idx="5">
                  <c:v>1851</c:v>
                </c:pt>
                <c:pt idx="6">
                  <c:v>1707</c:v>
                </c:pt>
                <c:pt idx="7">
                  <c:v>1007</c:v>
                </c:pt>
                <c:pt idx="8">
                  <c:v>1677</c:v>
                </c:pt>
                <c:pt idx="9">
                  <c:v>1024</c:v>
                </c:pt>
                <c:pt idx="10">
                  <c:v>1560</c:v>
                </c:pt>
                <c:pt idx="11">
                  <c:v>1814</c:v>
                </c:pt>
                <c:pt idx="12">
                  <c:v>16289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932-4B3F-81B7-88524D6FD02D}"/>
            </c:ext>
          </c:extLst>
        </c:ser>
        <c:ser>
          <c:idx val="0"/>
          <c:order val="2"/>
          <c:tx>
            <c:strRef>
              <c:f>'Viajeros entr evol mensu TF'!$K$73:$L$73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932-4B3F-81B7-88524D6FD02D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TF'!$K$75:$K$87</c:f>
              <c:numCache>
                <c:formatCode>#,##0</c:formatCode>
                <c:ptCount val="13"/>
                <c:pt idx="0">
                  <c:v>1485</c:v>
                </c:pt>
                <c:pt idx="1">
                  <c:v>489</c:v>
                </c:pt>
                <c:pt idx="2">
                  <c:v>627</c:v>
                </c:pt>
                <c:pt idx="3">
                  <c:v>1179</c:v>
                </c:pt>
                <c:pt idx="4">
                  <c:v>1357</c:v>
                </c:pt>
                <c:pt idx="5">
                  <c:v>818</c:v>
                </c:pt>
                <c:pt idx="6">
                  <c:v>1209</c:v>
                </c:pt>
                <c:pt idx="7">
                  <c:v>1439</c:v>
                </c:pt>
                <c:pt idx="8">
                  <c:v>932</c:v>
                </c:pt>
                <c:pt idx="9">
                  <c:v>661</c:v>
                </c:pt>
                <c:pt idx="10">
                  <c:v>671</c:v>
                </c:pt>
                <c:pt idx="11">
                  <c:v>1157</c:v>
                </c:pt>
                <c:pt idx="12">
                  <c:v>12024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932-4B3F-81B7-88524D6FD02D}"/>
            </c:ext>
          </c:extLst>
        </c:ser>
        <c:ser>
          <c:idx val="1"/>
          <c:order val="3"/>
          <c:tx>
            <c:strRef>
              <c:f>'Viajeros entr evol mensu TF'!$M$73:$N$73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C932-4B3F-81B7-88524D6FD02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C932-4B3F-81B7-88524D6FD02D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TF'!$M$75:$M$87</c:f>
              <c:numCache>
                <c:formatCode>#,##0</c:formatCode>
                <c:ptCount val="13"/>
                <c:pt idx="0">
                  <c:v>732</c:v>
                </c:pt>
                <c:pt idx="1">
                  <c:v>315</c:v>
                </c:pt>
                <c:pt idx="2">
                  <c:v>749</c:v>
                </c:pt>
                <c:pt idx="3">
                  <c:v>719</c:v>
                </c:pt>
                <c:pt idx="4">
                  <c:v>1433</c:v>
                </c:pt>
                <c:pt idx="5">
                  <c:v>716</c:v>
                </c:pt>
                <c:pt idx="6">
                  <c:v>1616</c:v>
                </c:pt>
                <c:pt idx="7">
                  <c:v>176</c:v>
                </c:pt>
                <c:pt idx="8">
                  <c:v>1746</c:v>
                </c:pt>
                <c:pt idx="12">
                  <c:v>8202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932-4B3F-81B7-88524D6FD0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TF'!$N$74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932-4B3F-81B7-88524D6FD02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932-4B3F-81B7-88524D6FD02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932-4B3F-81B7-88524D6FD02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932-4B3F-81B7-88524D6FD02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932-4B3F-81B7-88524D6FD02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932-4B3F-81B7-88524D6FD02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932-4B3F-81B7-88524D6FD02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932-4B3F-81B7-88524D6FD02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932-4B3F-81B7-88524D6FD02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932-4B3F-81B7-88524D6FD02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932-4B3F-81B7-88524D6FD02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932-4B3F-81B7-88524D6FD02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932-4B3F-81B7-88524D6FD02D}"/>
              </c:ext>
            </c:extLst>
          </c:dPt>
          <c:cat>
            <c:strRef>
              <c:f>'Viajeros entr evol mensu TF'!$B$75:$B$86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TF'!$N$75:$N$87</c:f>
              <c:numCache>
                <c:formatCode>0.0%</c:formatCode>
                <c:ptCount val="13"/>
                <c:pt idx="0">
                  <c:v>-0.50707070707070701</c:v>
                </c:pt>
                <c:pt idx="1">
                  <c:v>-0.35582822085889576</c:v>
                </c:pt>
                <c:pt idx="2">
                  <c:v>0.19457735247208929</c:v>
                </c:pt>
                <c:pt idx="3">
                  <c:v>-0.39016115351993219</c:v>
                </c:pt>
                <c:pt idx="4">
                  <c:v>5.6005895357406077E-2</c:v>
                </c:pt>
                <c:pt idx="5">
                  <c:v>-0.12469437652811732</c:v>
                </c:pt>
                <c:pt idx="6">
                  <c:v>0.33664185277088499</c:v>
                </c:pt>
                <c:pt idx="7">
                  <c:v>-0.87769284225156363</c:v>
                </c:pt>
                <c:pt idx="8">
                  <c:v>0.87339055793991416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-0.13980073413738858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C932-4B3F-81B7-88524D6FD02D}"/>
            </c:ext>
          </c:extLst>
        </c:ser>
        <c:ser>
          <c:idx val="4"/>
          <c:order val="5"/>
          <c:tx>
            <c:strRef>
              <c:f>'Viajeros entr evol mensu TF'!$O$74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TF'!$O$75:$O$87</c:f>
              <c:numCache>
                <c:formatCode>0.0%</c:formatCode>
                <c:ptCount val="13"/>
                <c:pt idx="0">
                  <c:v>-0.47788873038516411</c:v>
                </c:pt>
                <c:pt idx="1">
                  <c:v>-0.7801814375436148</c:v>
                </c:pt>
                <c:pt idx="2">
                  <c:v>-0.46423462088698142</c:v>
                </c:pt>
                <c:pt idx="3">
                  <c:v>-0.29022704837117475</c:v>
                </c:pt>
                <c:pt idx="4">
                  <c:v>7.825432656132425E-2</c:v>
                </c:pt>
                <c:pt idx="5">
                  <c:v>-0.51686909581646423</c:v>
                </c:pt>
                <c:pt idx="6">
                  <c:v>-8.9577464788732408E-2</c:v>
                </c:pt>
                <c:pt idx="7">
                  <c:v>-0.894167167769092</c:v>
                </c:pt>
                <c:pt idx="8">
                  <c:v>0.233922261484099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-0.36467854376452358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C932-4B3F-81B7-88524D6FD0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 evol mensu TF cat'!$C$7:$D$7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76F-477C-8CD5-A7608E70AAF2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cat'!$C$9:$C$21</c:f>
              <c:numCache>
                <c:formatCode>#,##0</c:formatCode>
                <c:ptCount val="13"/>
                <c:pt idx="0">
                  <c:v>12429</c:v>
                </c:pt>
                <c:pt idx="1">
                  <c:v>13453</c:v>
                </c:pt>
                <c:pt idx="2">
                  <c:v>13930</c:v>
                </c:pt>
                <c:pt idx="3">
                  <c:v>12265</c:v>
                </c:pt>
                <c:pt idx="4">
                  <c:v>11342</c:v>
                </c:pt>
                <c:pt idx="5">
                  <c:v>8525</c:v>
                </c:pt>
                <c:pt idx="6">
                  <c:v>9185</c:v>
                </c:pt>
                <c:pt idx="7">
                  <c:v>9176</c:v>
                </c:pt>
                <c:pt idx="8">
                  <c:v>8003</c:v>
                </c:pt>
                <c:pt idx="9">
                  <c:v>10636</c:v>
                </c:pt>
                <c:pt idx="10">
                  <c:v>14162</c:v>
                </c:pt>
                <c:pt idx="11">
                  <c:v>13020</c:v>
                </c:pt>
                <c:pt idx="12">
                  <c:v>136126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76F-477C-8CD5-A7608E70AAF2}"/>
            </c:ext>
          </c:extLst>
        </c:ser>
        <c:ser>
          <c:idx val="5"/>
          <c:order val="1"/>
          <c:tx>
            <c:strRef>
              <c:f>'Pernocta evol mensu TF cat'!$I$7:$J$7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76F-477C-8CD5-A7608E70AAF2}"/>
              </c:ext>
            </c:extLst>
          </c:dPt>
          <c:val>
            <c:numRef>
              <c:f>'Pernocta evol mensu TF cat'!$I$9:$I$21</c:f>
              <c:numCache>
                <c:formatCode>#,##0</c:formatCode>
                <c:ptCount val="13"/>
                <c:pt idx="0">
                  <c:v>11400</c:v>
                </c:pt>
                <c:pt idx="1">
                  <c:v>11383</c:v>
                </c:pt>
                <c:pt idx="2">
                  <c:v>12710</c:v>
                </c:pt>
                <c:pt idx="3">
                  <c:v>12193</c:v>
                </c:pt>
                <c:pt idx="4">
                  <c:v>10085</c:v>
                </c:pt>
                <c:pt idx="5">
                  <c:v>11277</c:v>
                </c:pt>
                <c:pt idx="6">
                  <c:v>10710</c:v>
                </c:pt>
                <c:pt idx="7">
                  <c:v>10270</c:v>
                </c:pt>
                <c:pt idx="8">
                  <c:v>10967</c:v>
                </c:pt>
                <c:pt idx="9">
                  <c:v>11595</c:v>
                </c:pt>
                <c:pt idx="10">
                  <c:v>13053</c:v>
                </c:pt>
                <c:pt idx="11">
                  <c:v>12114</c:v>
                </c:pt>
                <c:pt idx="12">
                  <c:v>137757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76F-477C-8CD5-A7608E70AAF2}"/>
            </c:ext>
          </c:extLst>
        </c:ser>
        <c:ser>
          <c:idx val="0"/>
          <c:order val="2"/>
          <c:tx>
            <c:strRef>
              <c:f>'Pernocta evol mensu TF cat'!$K$7:$L$7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76F-477C-8CD5-A7608E70AAF2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cat'!$K$9:$K$21</c:f>
              <c:numCache>
                <c:formatCode>#,##0</c:formatCode>
                <c:ptCount val="13"/>
                <c:pt idx="0">
                  <c:v>14353</c:v>
                </c:pt>
                <c:pt idx="1">
                  <c:v>14251</c:v>
                </c:pt>
                <c:pt idx="2">
                  <c:v>15603</c:v>
                </c:pt>
                <c:pt idx="3">
                  <c:v>12703</c:v>
                </c:pt>
                <c:pt idx="4">
                  <c:v>12793</c:v>
                </c:pt>
                <c:pt idx="5">
                  <c:v>10373</c:v>
                </c:pt>
                <c:pt idx="6">
                  <c:v>9594</c:v>
                </c:pt>
                <c:pt idx="7">
                  <c:v>11871</c:v>
                </c:pt>
                <c:pt idx="8">
                  <c:v>10606</c:v>
                </c:pt>
                <c:pt idx="9">
                  <c:v>11107</c:v>
                </c:pt>
                <c:pt idx="10">
                  <c:v>13216</c:v>
                </c:pt>
                <c:pt idx="11">
                  <c:v>11864</c:v>
                </c:pt>
                <c:pt idx="12">
                  <c:v>148334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76F-477C-8CD5-A7608E70AAF2}"/>
            </c:ext>
          </c:extLst>
        </c:ser>
        <c:ser>
          <c:idx val="1"/>
          <c:order val="3"/>
          <c:tx>
            <c:strRef>
              <c:f>'Pernocta evol mensu TF cat'!$M$7:$N$7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A76F-477C-8CD5-A7608E70AAF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A76F-477C-8CD5-A7608E70AAF2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cat'!$M$9:$M$21</c:f>
              <c:numCache>
                <c:formatCode>#,##0</c:formatCode>
                <c:ptCount val="13"/>
                <c:pt idx="0">
                  <c:v>14581</c:v>
                </c:pt>
                <c:pt idx="1">
                  <c:v>15138</c:v>
                </c:pt>
                <c:pt idx="2">
                  <c:v>15292</c:v>
                </c:pt>
                <c:pt idx="3">
                  <c:v>13439</c:v>
                </c:pt>
                <c:pt idx="4">
                  <c:v>12513</c:v>
                </c:pt>
                <c:pt idx="5">
                  <c:v>10115</c:v>
                </c:pt>
                <c:pt idx="6">
                  <c:v>10140</c:v>
                </c:pt>
                <c:pt idx="7">
                  <c:v>9259</c:v>
                </c:pt>
                <c:pt idx="8">
                  <c:v>11345</c:v>
                </c:pt>
                <c:pt idx="12">
                  <c:v>111822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76F-477C-8CD5-A7608E70AA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 evol mensu TF cat'!$N$8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76F-477C-8CD5-A7608E70AAF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76F-477C-8CD5-A7608E70AAF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76F-477C-8CD5-A7608E70AAF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76F-477C-8CD5-A7608E70AAF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76F-477C-8CD5-A7608E70AAF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76F-477C-8CD5-A7608E70AAF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76F-477C-8CD5-A7608E70AAF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76F-477C-8CD5-A7608E70AAF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76F-477C-8CD5-A7608E70AAF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76F-477C-8CD5-A7608E70AAF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76F-477C-8CD5-A7608E70AAF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76F-477C-8CD5-A7608E70AAF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76F-477C-8CD5-A7608E70AAF2}"/>
              </c:ext>
            </c:extLst>
          </c:dPt>
          <c:cat>
            <c:strRef>
              <c:f>'Pernocta evol mensu TF cat'!$B$9:$B$20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cat'!$N$9:$N$21</c:f>
              <c:numCache>
                <c:formatCode>0.0%</c:formatCode>
                <c:ptCount val="13"/>
                <c:pt idx="0">
                  <c:v>1.5885180798439258E-2</c:v>
                </c:pt>
                <c:pt idx="1">
                  <c:v>6.2241246228334823E-2</c:v>
                </c:pt>
                <c:pt idx="2">
                  <c:v>-1.9932064346599998E-2</c:v>
                </c:pt>
                <c:pt idx="3">
                  <c:v>5.793906951113903E-2</c:v>
                </c:pt>
                <c:pt idx="4">
                  <c:v>-2.1886969436410553E-2</c:v>
                </c:pt>
                <c:pt idx="5">
                  <c:v>-2.4872264532922017E-2</c:v>
                </c:pt>
                <c:pt idx="6">
                  <c:v>5.6910569105691033E-2</c:v>
                </c:pt>
                <c:pt idx="7">
                  <c:v>-0.22003201078257939</c:v>
                </c:pt>
                <c:pt idx="8">
                  <c:v>6.9677541014520061E-2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-2.8979821127627092E-3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A76F-477C-8CD5-A7608E70AAF2}"/>
            </c:ext>
          </c:extLst>
        </c:ser>
        <c:ser>
          <c:idx val="4"/>
          <c:order val="5"/>
          <c:tx>
            <c:strRef>
              <c:f>'Pernocta evol mensu TF cat'!$O$8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'Pernocta evol mensu TF cat'!$O$9:$O$21</c:f>
              <c:numCache>
                <c:formatCode>0.0%</c:formatCode>
                <c:ptCount val="13"/>
                <c:pt idx="0">
                  <c:v>0.17314345482339699</c:v>
                </c:pt>
                <c:pt idx="1">
                  <c:v>0.12525087341113506</c:v>
                </c:pt>
                <c:pt idx="2">
                  <c:v>9.7774587221823417E-2</c:v>
                </c:pt>
                <c:pt idx="3">
                  <c:v>9.5719527109661584E-2</c:v>
                </c:pt>
                <c:pt idx="4">
                  <c:v>0.10324457767589501</c:v>
                </c:pt>
                <c:pt idx="5">
                  <c:v>0.18651026392961878</c:v>
                </c:pt>
                <c:pt idx="6">
                  <c:v>0.10397387044093631</c:v>
                </c:pt>
                <c:pt idx="7">
                  <c:v>9.045335658238951E-3</c:v>
                </c:pt>
                <c:pt idx="8">
                  <c:v>0.41759340247407217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0.13746592342433983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A76F-477C-8CD5-A7608E70AA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5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3"/>
          <c:order val="0"/>
          <c:tx>
            <c:strRef>
              <c:f>'Pernocta evol mensu TF cat'!$C$29:$D$29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8B1-41AB-B615-EF5DA51D59B8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cat'!$C$31:$C$43</c:f>
              <c:numCache>
                <c:formatCode>#,##0</c:formatCode>
                <c:ptCount val="13"/>
                <c:pt idx="0">
                  <c:v>12429</c:v>
                </c:pt>
                <c:pt idx="1">
                  <c:v>13453</c:v>
                </c:pt>
                <c:pt idx="2">
                  <c:v>13930</c:v>
                </c:pt>
                <c:pt idx="3">
                  <c:v>12265</c:v>
                </c:pt>
                <c:pt idx="4">
                  <c:v>11342</c:v>
                </c:pt>
                <c:pt idx="5">
                  <c:v>8525</c:v>
                </c:pt>
                <c:pt idx="6">
                  <c:v>9185</c:v>
                </c:pt>
                <c:pt idx="7">
                  <c:v>9176</c:v>
                </c:pt>
                <c:pt idx="8">
                  <c:v>8003</c:v>
                </c:pt>
                <c:pt idx="9">
                  <c:v>10636</c:v>
                </c:pt>
                <c:pt idx="10">
                  <c:v>14162</c:v>
                </c:pt>
                <c:pt idx="11">
                  <c:v>13020</c:v>
                </c:pt>
                <c:pt idx="12">
                  <c:v>136126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8B1-41AB-B615-EF5DA51D59B8}"/>
            </c:ext>
          </c:extLst>
        </c:ser>
        <c:ser>
          <c:idx val="5"/>
          <c:order val="1"/>
          <c:tx>
            <c:strRef>
              <c:f>'Pernocta evol mensu TF cat'!$I$29:$J$29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8B1-41AB-B615-EF5DA51D59B8}"/>
              </c:ext>
            </c:extLst>
          </c:dPt>
          <c:val>
            <c:numRef>
              <c:f>'Pernocta evol mensu TF cat'!$I$31:$I$43</c:f>
              <c:numCache>
                <c:formatCode>#,##0</c:formatCode>
                <c:ptCount val="13"/>
                <c:pt idx="0">
                  <c:v>11400</c:v>
                </c:pt>
                <c:pt idx="1">
                  <c:v>11383</c:v>
                </c:pt>
                <c:pt idx="2">
                  <c:v>12710</c:v>
                </c:pt>
                <c:pt idx="3">
                  <c:v>12193</c:v>
                </c:pt>
                <c:pt idx="4">
                  <c:v>10085</c:v>
                </c:pt>
                <c:pt idx="5">
                  <c:v>11277</c:v>
                </c:pt>
                <c:pt idx="6">
                  <c:v>10710</c:v>
                </c:pt>
                <c:pt idx="7">
                  <c:v>10270</c:v>
                </c:pt>
                <c:pt idx="8">
                  <c:v>10967</c:v>
                </c:pt>
                <c:pt idx="9">
                  <c:v>11595</c:v>
                </c:pt>
                <c:pt idx="10">
                  <c:v>13053</c:v>
                </c:pt>
                <c:pt idx="11">
                  <c:v>12114</c:v>
                </c:pt>
                <c:pt idx="12">
                  <c:v>137757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8B1-41AB-B615-EF5DA51D59B8}"/>
            </c:ext>
          </c:extLst>
        </c:ser>
        <c:ser>
          <c:idx val="0"/>
          <c:order val="2"/>
          <c:tx>
            <c:strRef>
              <c:f>'Pernocta evol mensu TF cat'!$K$29:$L$29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8B1-41AB-B615-EF5DA51D59B8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cat'!$K$31:$K$43</c:f>
              <c:numCache>
                <c:formatCode>#,##0</c:formatCode>
                <c:ptCount val="13"/>
                <c:pt idx="0">
                  <c:v>14353</c:v>
                </c:pt>
                <c:pt idx="1">
                  <c:v>14251</c:v>
                </c:pt>
                <c:pt idx="2">
                  <c:v>15603</c:v>
                </c:pt>
                <c:pt idx="3">
                  <c:v>12703</c:v>
                </c:pt>
                <c:pt idx="4">
                  <c:v>12793</c:v>
                </c:pt>
                <c:pt idx="5">
                  <c:v>10373</c:v>
                </c:pt>
                <c:pt idx="6">
                  <c:v>9594</c:v>
                </c:pt>
                <c:pt idx="7">
                  <c:v>11871</c:v>
                </c:pt>
                <c:pt idx="8">
                  <c:v>10606</c:v>
                </c:pt>
                <c:pt idx="9">
                  <c:v>11107</c:v>
                </c:pt>
                <c:pt idx="10">
                  <c:v>13216</c:v>
                </c:pt>
                <c:pt idx="11">
                  <c:v>11864</c:v>
                </c:pt>
                <c:pt idx="12">
                  <c:v>148334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8B1-41AB-B615-EF5DA51D59B8}"/>
            </c:ext>
          </c:extLst>
        </c:ser>
        <c:ser>
          <c:idx val="1"/>
          <c:order val="3"/>
          <c:tx>
            <c:strRef>
              <c:f>'Pernocta evol mensu TF cat'!$M$29:$N$29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B8B1-41AB-B615-EF5DA51D59B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B8B1-41AB-B615-EF5DA51D59B8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cat'!$M$31:$M$43</c:f>
              <c:numCache>
                <c:formatCode>#,##0</c:formatCode>
                <c:ptCount val="13"/>
                <c:pt idx="0">
                  <c:v>14581</c:v>
                </c:pt>
                <c:pt idx="1">
                  <c:v>15138</c:v>
                </c:pt>
                <c:pt idx="2">
                  <c:v>15292</c:v>
                </c:pt>
                <c:pt idx="3">
                  <c:v>13439</c:v>
                </c:pt>
                <c:pt idx="4">
                  <c:v>12513</c:v>
                </c:pt>
                <c:pt idx="5">
                  <c:v>10115</c:v>
                </c:pt>
                <c:pt idx="6">
                  <c:v>10140</c:v>
                </c:pt>
                <c:pt idx="7">
                  <c:v>9259</c:v>
                </c:pt>
                <c:pt idx="8">
                  <c:v>11345</c:v>
                </c:pt>
                <c:pt idx="12">
                  <c:v>111822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B8B1-41AB-B615-EF5DA51D59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 evol mensu TF cat'!$N$30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8B1-41AB-B615-EF5DA51D59B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8B1-41AB-B615-EF5DA51D59B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8B1-41AB-B615-EF5DA51D59B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8B1-41AB-B615-EF5DA51D59B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8B1-41AB-B615-EF5DA51D59B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8B1-41AB-B615-EF5DA51D59B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8B1-41AB-B615-EF5DA51D59B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8B1-41AB-B615-EF5DA51D59B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8B1-41AB-B615-EF5DA51D59B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8B1-41AB-B615-EF5DA51D59B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8B1-41AB-B615-EF5DA51D59B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8B1-41AB-B615-EF5DA51D59B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8B1-41AB-B615-EF5DA51D59B8}"/>
              </c:ext>
            </c:extLst>
          </c:dPt>
          <c:cat>
            <c:strRef>
              <c:f>'Pernocta evol mensu TF cat'!$B$31:$B$42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cat'!$N$31:$N$43</c:f>
              <c:numCache>
                <c:formatCode>0.0%</c:formatCode>
                <c:ptCount val="13"/>
                <c:pt idx="0">
                  <c:v>1.5885180798439258E-2</c:v>
                </c:pt>
                <c:pt idx="1">
                  <c:v>6.2241246228334823E-2</c:v>
                </c:pt>
                <c:pt idx="2">
                  <c:v>-1.9932064346599998E-2</c:v>
                </c:pt>
                <c:pt idx="3">
                  <c:v>5.793906951113903E-2</c:v>
                </c:pt>
                <c:pt idx="4">
                  <c:v>-2.1886969436410553E-2</c:v>
                </c:pt>
                <c:pt idx="5">
                  <c:v>-2.4872264532922017E-2</c:v>
                </c:pt>
                <c:pt idx="6">
                  <c:v>5.6910569105691033E-2</c:v>
                </c:pt>
                <c:pt idx="7">
                  <c:v>-0.22003201078257939</c:v>
                </c:pt>
                <c:pt idx="8">
                  <c:v>6.9677541014520061E-2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-2.8979821127627092E-3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B8B1-41AB-B615-EF5DA51D59B8}"/>
            </c:ext>
          </c:extLst>
        </c:ser>
        <c:ser>
          <c:idx val="4"/>
          <c:order val="5"/>
          <c:tx>
            <c:strRef>
              <c:f>'Pernocta evol mensu TF cat'!$O$30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 evol mensu TF cat'!$B$31:$B$42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cat'!$O$31:$O$43</c:f>
              <c:numCache>
                <c:formatCode>0.0%</c:formatCode>
                <c:ptCount val="13"/>
                <c:pt idx="0">
                  <c:v>0.17314345482339699</c:v>
                </c:pt>
                <c:pt idx="1">
                  <c:v>0.12525087341113506</c:v>
                </c:pt>
                <c:pt idx="2">
                  <c:v>9.7774587221823417E-2</c:v>
                </c:pt>
                <c:pt idx="3">
                  <c:v>9.5719527109661584E-2</c:v>
                </c:pt>
                <c:pt idx="4">
                  <c:v>0.10324457767589501</c:v>
                </c:pt>
                <c:pt idx="5">
                  <c:v>0.18651026392961878</c:v>
                </c:pt>
                <c:pt idx="6">
                  <c:v>0.10397387044093631</c:v>
                </c:pt>
                <c:pt idx="7">
                  <c:v>9.045335658238951E-3</c:v>
                </c:pt>
                <c:pt idx="8">
                  <c:v>0.41759340247407217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0.13746592342433983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B8B1-41AB-B615-EF5DA51D59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6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1187294267900032"/>
          <c:w val="0.86939722222222227"/>
          <c:h val="0.42070463713947498"/>
        </c:manualLayout>
      </c:layout>
      <c:lineChart>
        <c:grouping val="standard"/>
        <c:varyColors val="0"/>
        <c:ser>
          <c:idx val="3"/>
          <c:order val="0"/>
          <c:tx>
            <c:strRef>
              <c:f>'Pernocta evol mensu TF cat'!$C$51:$D$51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282-4F66-B36E-285417853D0F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cat'!$C$53:$C$65</c:f>
              <c:numCache>
                <c:formatCode>#,##0</c:formatCode>
                <c:ptCount val="13"/>
                <c:pt idx="0">
                  <c:v>10394</c:v>
                </c:pt>
                <c:pt idx="1">
                  <c:v>11322</c:v>
                </c:pt>
                <c:pt idx="2">
                  <c:v>10967</c:v>
                </c:pt>
                <c:pt idx="3">
                  <c:v>9783</c:v>
                </c:pt>
                <c:pt idx="4">
                  <c:v>8991</c:v>
                </c:pt>
                <c:pt idx="5">
                  <c:v>6216</c:v>
                </c:pt>
                <c:pt idx="6">
                  <c:v>7091</c:v>
                </c:pt>
                <c:pt idx="7">
                  <c:v>7290</c:v>
                </c:pt>
                <c:pt idx="8">
                  <c:v>5722</c:v>
                </c:pt>
                <c:pt idx="9">
                  <c:v>8314</c:v>
                </c:pt>
                <c:pt idx="10">
                  <c:v>11557</c:v>
                </c:pt>
                <c:pt idx="11">
                  <c:v>10208</c:v>
                </c:pt>
                <c:pt idx="12">
                  <c:v>107855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282-4F66-B36E-285417853D0F}"/>
            </c:ext>
          </c:extLst>
        </c:ser>
        <c:ser>
          <c:idx val="5"/>
          <c:order val="1"/>
          <c:tx>
            <c:strRef>
              <c:f>'Pernocta evol mensu TF cat'!$I$51:$J$51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282-4F66-B36E-285417853D0F}"/>
              </c:ext>
            </c:extLst>
          </c:dPt>
          <c:val>
            <c:numRef>
              <c:f>'Pernocta evol mensu TF cat'!$I$53:$I$65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11421</c:v>
                </c:pt>
                <c:pt idx="4">
                  <c:v>9235</c:v>
                </c:pt>
                <c:pt idx="5">
                  <c:v>10531</c:v>
                </c:pt>
                <c:pt idx="6">
                  <c:v>9731</c:v>
                </c:pt>
                <c:pt idx="7">
                  <c:v>9417</c:v>
                </c:pt>
                <c:pt idx="8">
                  <c:v>10046</c:v>
                </c:pt>
                <c:pt idx="9">
                  <c:v>10278</c:v>
                </c:pt>
                <c:pt idx="10">
                  <c:v>11865</c:v>
                </c:pt>
                <c:pt idx="11">
                  <c:v>10905</c:v>
                </c:pt>
                <c:pt idx="12">
                  <c:v>127692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282-4F66-B36E-285417853D0F}"/>
            </c:ext>
          </c:extLst>
        </c:ser>
        <c:ser>
          <c:idx val="0"/>
          <c:order val="2"/>
          <c:tx>
            <c:strRef>
              <c:f>'Pernocta evol mensu TF cat'!$K$51:$L$51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282-4F66-B36E-285417853D0F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cat'!$K$53:$K$65</c:f>
              <c:numCache>
                <c:formatCode>#,##0</c:formatCode>
                <c:ptCount val="13"/>
                <c:pt idx="0">
                  <c:v>12972</c:v>
                </c:pt>
                <c:pt idx="1">
                  <c:v>12909</c:v>
                </c:pt>
                <c:pt idx="2">
                  <c:v>14183</c:v>
                </c:pt>
                <c:pt idx="3">
                  <c:v>11501</c:v>
                </c:pt>
                <c:pt idx="4">
                  <c:v>11901</c:v>
                </c:pt>
                <c:pt idx="5">
                  <c:v>9518</c:v>
                </c:pt>
                <c:pt idx="6">
                  <c:v>0</c:v>
                </c:pt>
                <c:pt idx="7">
                  <c:v>0</c:v>
                </c:pt>
                <c:pt idx="8">
                  <c:v>9670</c:v>
                </c:pt>
                <c:pt idx="9">
                  <c:v>9853</c:v>
                </c:pt>
                <c:pt idx="10">
                  <c:v>11701</c:v>
                </c:pt>
                <c:pt idx="11">
                  <c:v>10315</c:v>
                </c:pt>
                <c:pt idx="12">
                  <c:v>134451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282-4F66-B36E-285417853D0F}"/>
            </c:ext>
          </c:extLst>
        </c:ser>
        <c:ser>
          <c:idx val="1"/>
          <c:order val="3"/>
          <c:tx>
            <c:strRef>
              <c:f>'Pernocta evol mensu TF cat'!$M$51:$N$51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B282-4F66-B36E-285417853D0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B282-4F66-B36E-285417853D0F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cat'!$M$53:$M$65</c:f>
              <c:numCache>
                <c:formatCode>#,##0</c:formatCode>
                <c:ptCount val="13"/>
                <c:pt idx="0">
                  <c:v>13093</c:v>
                </c:pt>
                <c:pt idx="1">
                  <c:v>13468</c:v>
                </c:pt>
                <c:pt idx="2">
                  <c:v>13753</c:v>
                </c:pt>
                <c:pt idx="3">
                  <c:v>12269</c:v>
                </c:pt>
                <c:pt idx="4">
                  <c:v>11514</c:v>
                </c:pt>
                <c:pt idx="5">
                  <c:v>9062</c:v>
                </c:pt>
                <c:pt idx="6">
                  <c:v>8860</c:v>
                </c:pt>
                <c:pt idx="7">
                  <c:v>8826</c:v>
                </c:pt>
                <c:pt idx="8">
                  <c:v>10217</c:v>
                </c:pt>
                <c:pt idx="12">
                  <c:v>101062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B282-4F66-B36E-285417853D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 evol mensu TF cat'!$N$52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282-4F66-B36E-285417853D0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282-4F66-B36E-285417853D0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282-4F66-B36E-285417853D0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282-4F66-B36E-285417853D0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282-4F66-B36E-285417853D0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282-4F66-B36E-285417853D0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282-4F66-B36E-285417853D0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282-4F66-B36E-285417853D0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282-4F66-B36E-285417853D0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282-4F66-B36E-285417853D0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282-4F66-B36E-285417853D0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282-4F66-B36E-285417853D0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282-4F66-B36E-285417853D0F}"/>
              </c:ext>
            </c:extLst>
          </c:dPt>
          <c:cat>
            <c:strRef>
              <c:f>'Pernocta evol mensu TF cat'!$B$53:$B$64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cat'!$N$53:$N$65</c:f>
              <c:numCache>
                <c:formatCode>0.0%</c:formatCode>
                <c:ptCount val="13"/>
                <c:pt idx="0">
                  <c:v>9.3277829170521631E-3</c:v>
                </c:pt>
                <c:pt idx="1">
                  <c:v>4.3303121852970694E-2</c:v>
                </c:pt>
                <c:pt idx="2">
                  <c:v>-3.0317986321652723E-2</c:v>
                </c:pt>
                <c:pt idx="3">
                  <c:v>6.6776802017215919E-2</c:v>
                </c:pt>
                <c:pt idx="4">
                  <c:v>-3.2518275775144989E-2</c:v>
                </c:pt>
                <c:pt idx="5">
                  <c:v>-4.7909224627022517E-2</c:v>
                </c:pt>
                <c:pt idx="6">
                  <c:v>0</c:v>
                </c:pt>
                <c:pt idx="7">
                  <c:v>0</c:v>
                </c:pt>
                <c:pt idx="8">
                  <c:v>5.6566701137538811E-2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0.22271154451085251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B282-4F66-B36E-285417853D0F}"/>
            </c:ext>
          </c:extLst>
        </c:ser>
        <c:ser>
          <c:idx val="4"/>
          <c:order val="5"/>
          <c:tx>
            <c:strRef>
              <c:f>'Pernocta evol mensu TF cat'!$O$52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 evol mensu TF cat'!$B$53:$B$64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cat'!$O$53:$O$65</c:f>
              <c:numCache>
                <c:formatCode>0.0%</c:formatCode>
                <c:ptCount val="13"/>
                <c:pt idx="0">
                  <c:v>0.25966903983067158</c:v>
                </c:pt>
                <c:pt idx="1">
                  <c:v>0.18954248366013071</c:v>
                </c:pt>
                <c:pt idx="2">
                  <c:v>0.25403483176803143</c:v>
                </c:pt>
                <c:pt idx="3">
                  <c:v>0.25411427987324942</c:v>
                </c:pt>
                <c:pt idx="4">
                  <c:v>0.28061394728061395</c:v>
                </c:pt>
                <c:pt idx="5">
                  <c:v>0.45785070785070792</c:v>
                </c:pt>
                <c:pt idx="6">
                  <c:v>0.24947116062614572</c:v>
                </c:pt>
                <c:pt idx="7">
                  <c:v>0.21069958847736636</c:v>
                </c:pt>
                <c:pt idx="8">
                  <c:v>0.78556448794127931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0.29939827196050195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B282-4F66-B36E-285417853D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6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 evol mensu TF cat'!$C$73:$D$73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CCB-4A13-A39B-D7A5BAAB9AB5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cat'!$C$75:$C$87</c:f>
              <c:numCache>
                <c:formatCode>#,##0</c:formatCode>
                <c:ptCount val="13"/>
                <c:pt idx="0">
                  <c:v>2035</c:v>
                </c:pt>
                <c:pt idx="1">
                  <c:v>2131</c:v>
                </c:pt>
                <c:pt idx="2">
                  <c:v>2963</c:v>
                </c:pt>
                <c:pt idx="3">
                  <c:v>2482</c:v>
                </c:pt>
                <c:pt idx="4">
                  <c:v>2351</c:v>
                </c:pt>
                <c:pt idx="5">
                  <c:v>2309</c:v>
                </c:pt>
                <c:pt idx="6">
                  <c:v>2094</c:v>
                </c:pt>
                <c:pt idx="7">
                  <c:v>1886</c:v>
                </c:pt>
                <c:pt idx="8">
                  <c:v>2281</c:v>
                </c:pt>
                <c:pt idx="9">
                  <c:v>2322</c:v>
                </c:pt>
                <c:pt idx="10">
                  <c:v>2605</c:v>
                </c:pt>
                <c:pt idx="11">
                  <c:v>2812</c:v>
                </c:pt>
                <c:pt idx="12">
                  <c:v>28271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CCB-4A13-A39B-D7A5BAAB9AB5}"/>
            </c:ext>
          </c:extLst>
        </c:ser>
        <c:ser>
          <c:idx val="5"/>
          <c:order val="1"/>
          <c:tx>
            <c:strRef>
              <c:f>'Pernocta evol mensu TF cat'!$I$73:$J$73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CCB-4A13-A39B-D7A5BAAB9AB5}"/>
              </c:ext>
            </c:extLst>
          </c:dPt>
          <c:val>
            <c:numRef>
              <c:f>'Pernocta evol mensu TF cat'!$I$75:$I$87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772</c:v>
                </c:pt>
                <c:pt idx="4">
                  <c:v>850</c:v>
                </c:pt>
                <c:pt idx="5">
                  <c:v>746</c:v>
                </c:pt>
                <c:pt idx="6">
                  <c:v>979</c:v>
                </c:pt>
                <c:pt idx="7">
                  <c:v>853</c:v>
                </c:pt>
                <c:pt idx="8">
                  <c:v>921</c:v>
                </c:pt>
                <c:pt idx="9">
                  <c:v>1317</c:v>
                </c:pt>
                <c:pt idx="10">
                  <c:v>1188</c:v>
                </c:pt>
                <c:pt idx="11">
                  <c:v>1209</c:v>
                </c:pt>
                <c:pt idx="12">
                  <c:v>10065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CCB-4A13-A39B-D7A5BAAB9AB5}"/>
            </c:ext>
          </c:extLst>
        </c:ser>
        <c:ser>
          <c:idx val="0"/>
          <c:order val="2"/>
          <c:tx>
            <c:strRef>
              <c:f>'Pernocta evol mensu TF cat'!$K$73:$L$73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CCB-4A13-A39B-D7A5BAAB9AB5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cat'!$K$75:$K$87</c:f>
              <c:numCache>
                <c:formatCode>#,##0</c:formatCode>
                <c:ptCount val="13"/>
                <c:pt idx="0">
                  <c:v>1381</c:v>
                </c:pt>
                <c:pt idx="1">
                  <c:v>1342</c:v>
                </c:pt>
                <c:pt idx="2">
                  <c:v>1420</c:v>
                </c:pt>
                <c:pt idx="3">
                  <c:v>1202</c:v>
                </c:pt>
                <c:pt idx="4">
                  <c:v>892</c:v>
                </c:pt>
                <c:pt idx="5">
                  <c:v>855</c:v>
                </c:pt>
                <c:pt idx="6">
                  <c:v>0</c:v>
                </c:pt>
                <c:pt idx="7">
                  <c:v>0</c:v>
                </c:pt>
                <c:pt idx="8">
                  <c:v>936</c:v>
                </c:pt>
                <c:pt idx="9">
                  <c:v>1254</c:v>
                </c:pt>
                <c:pt idx="10">
                  <c:v>1515</c:v>
                </c:pt>
                <c:pt idx="11">
                  <c:v>1549</c:v>
                </c:pt>
                <c:pt idx="12">
                  <c:v>13883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CCB-4A13-A39B-D7A5BAAB9AB5}"/>
            </c:ext>
          </c:extLst>
        </c:ser>
        <c:ser>
          <c:idx val="1"/>
          <c:order val="3"/>
          <c:tx>
            <c:strRef>
              <c:f>'Pernocta evol mensu TF cat'!$M$73:$N$73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FCCB-4A13-A39B-D7A5BAAB9AB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FCCB-4A13-A39B-D7A5BAAB9AB5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cat'!$M$75:$M$87</c:f>
              <c:numCache>
                <c:formatCode>#,##0</c:formatCode>
                <c:ptCount val="13"/>
                <c:pt idx="0">
                  <c:v>1488</c:v>
                </c:pt>
                <c:pt idx="1">
                  <c:v>1670</c:v>
                </c:pt>
                <c:pt idx="2">
                  <c:v>1539</c:v>
                </c:pt>
                <c:pt idx="3">
                  <c:v>1170</c:v>
                </c:pt>
                <c:pt idx="4">
                  <c:v>999</c:v>
                </c:pt>
                <c:pt idx="5">
                  <c:v>1053</c:v>
                </c:pt>
                <c:pt idx="6">
                  <c:v>1280</c:v>
                </c:pt>
                <c:pt idx="7">
                  <c:v>433</c:v>
                </c:pt>
                <c:pt idx="8">
                  <c:v>1128</c:v>
                </c:pt>
                <c:pt idx="12">
                  <c:v>10760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CCB-4A13-A39B-D7A5BAAB9A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 evol mensu TF cat'!$N$74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CCB-4A13-A39B-D7A5BAAB9AB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CCB-4A13-A39B-D7A5BAAB9AB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CCB-4A13-A39B-D7A5BAAB9AB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CCB-4A13-A39B-D7A5BAAB9AB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CCB-4A13-A39B-D7A5BAAB9AB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CCB-4A13-A39B-D7A5BAAB9AB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CCB-4A13-A39B-D7A5BAAB9AB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CCB-4A13-A39B-D7A5BAAB9AB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CCB-4A13-A39B-D7A5BAAB9AB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CCB-4A13-A39B-D7A5BAAB9AB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CCB-4A13-A39B-D7A5BAAB9AB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CCB-4A13-A39B-D7A5BAAB9AB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CCB-4A13-A39B-D7A5BAAB9AB5}"/>
              </c:ext>
            </c:extLst>
          </c:dPt>
          <c:cat>
            <c:strRef>
              <c:f>'Pernocta evol mensu TF cat'!$B$75:$B$86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cat'!$N$75:$N$87</c:f>
              <c:numCache>
                <c:formatCode>0.0%</c:formatCode>
                <c:ptCount val="13"/>
                <c:pt idx="0">
                  <c:v>7.7480086893555455E-2</c:v>
                </c:pt>
                <c:pt idx="1">
                  <c:v>0.24441132637853946</c:v>
                </c:pt>
                <c:pt idx="2">
                  <c:v>8.380281690140845E-2</c:v>
                </c:pt>
                <c:pt idx="3">
                  <c:v>-2.6622296173044901E-2</c:v>
                </c:pt>
                <c:pt idx="4">
                  <c:v>0.11995515695067271</c:v>
                </c:pt>
                <c:pt idx="5">
                  <c:v>0.23157894736842111</c:v>
                </c:pt>
                <c:pt idx="6">
                  <c:v>0</c:v>
                </c:pt>
                <c:pt idx="7">
                  <c:v>0</c:v>
                </c:pt>
                <c:pt idx="8">
                  <c:v>0.20512820512820507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0.34030891878425518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FCCB-4A13-A39B-D7A5BAAB9AB5}"/>
            </c:ext>
          </c:extLst>
        </c:ser>
        <c:ser>
          <c:idx val="4"/>
          <c:order val="5"/>
          <c:tx>
            <c:strRef>
              <c:f>'Pernocta evol mensu TF cat'!$O$74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 evol mensu TF cat'!$B$75:$B$86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cat'!$O$75:$O$87</c:f>
              <c:numCache>
                <c:formatCode>0.0%</c:formatCode>
                <c:ptCount val="13"/>
                <c:pt idx="0">
                  <c:v>-0.26879606879606877</c:v>
                </c:pt>
                <c:pt idx="1">
                  <c:v>-0.21633036133270767</c:v>
                </c:pt>
                <c:pt idx="2">
                  <c:v>-0.48059399257509283</c:v>
                </c:pt>
                <c:pt idx="3">
                  <c:v>-0.52860596293311846</c:v>
                </c:pt>
                <c:pt idx="4">
                  <c:v>-0.5750744364100383</c:v>
                </c:pt>
                <c:pt idx="5">
                  <c:v>-0.5439584235599827</c:v>
                </c:pt>
                <c:pt idx="6">
                  <c:v>-0.3887297039159503</c:v>
                </c:pt>
                <c:pt idx="7">
                  <c:v>-0.77041357370095442</c:v>
                </c:pt>
                <c:pt idx="8">
                  <c:v>-0.50548005260850504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-0.47593999610364313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FCCB-4A13-A39B-D7A5BAAB9A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 evol mensu TF cat'!$C$95:$D$95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777-407F-81B6-668FF3B664E3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cat'!$C$97:$C$109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777-407F-81B6-668FF3B664E3}"/>
            </c:ext>
          </c:extLst>
        </c:ser>
        <c:ser>
          <c:idx val="5"/>
          <c:order val="1"/>
          <c:tx>
            <c:strRef>
              <c:f>'Pernocta evol mensu TF cat'!$I$95:$J$95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777-407F-81B6-668FF3B664E3}"/>
              </c:ext>
            </c:extLst>
          </c:dPt>
          <c:val>
            <c:numRef>
              <c:f>'Pernocta evol mensu TF cat'!$I$97:$I$109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777-407F-81B6-668FF3B664E3}"/>
            </c:ext>
          </c:extLst>
        </c:ser>
        <c:ser>
          <c:idx val="0"/>
          <c:order val="2"/>
          <c:tx>
            <c:strRef>
              <c:f>'Pernocta evol mensu TF cat'!$K$95:$L$95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777-407F-81B6-668FF3B664E3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cat'!$K$97:$K$109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777-407F-81B6-668FF3B664E3}"/>
            </c:ext>
          </c:extLst>
        </c:ser>
        <c:ser>
          <c:idx val="1"/>
          <c:order val="3"/>
          <c:tx>
            <c:strRef>
              <c:f>'Pernocta evol mensu TF cat'!$M$95:$N$95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9777-407F-81B6-668FF3B664E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9777-407F-81B6-668FF3B664E3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cat'!$M$97:$M$109</c:f>
              <c:numCache>
                <c:formatCode>#,##0</c:formatCode>
                <c:ptCount val="13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777-407F-81B6-668FF3B664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 evol mensu TF cat'!$N$96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777-407F-81B6-668FF3B664E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777-407F-81B6-668FF3B664E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777-407F-81B6-668FF3B664E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777-407F-81B6-668FF3B664E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777-407F-81B6-668FF3B664E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777-407F-81B6-668FF3B664E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777-407F-81B6-668FF3B664E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777-407F-81B6-668FF3B664E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777-407F-81B6-668FF3B664E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777-407F-81B6-668FF3B664E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777-407F-81B6-668FF3B664E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777-407F-81B6-668FF3B664E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777-407F-81B6-668FF3B664E3}"/>
              </c:ext>
            </c:extLst>
          </c:dPt>
          <c:cat>
            <c:strRef>
              <c:f>'Pernocta evol mensu TF cat'!$B$97:$B$108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cat'!$N$97:$N$109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9777-407F-81B6-668FF3B664E3}"/>
            </c:ext>
          </c:extLst>
        </c:ser>
        <c:ser>
          <c:idx val="4"/>
          <c:order val="5"/>
          <c:tx>
            <c:strRef>
              <c:f>'Pernocta evol mensu TF cat'!$O$96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 evol mensu TF cat'!$B$97:$B$108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cat'!$O$97:$O$109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9777-407F-81B6-668FF3B664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72D-472C-BE9A-FD03E7E52A80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resd'!$C$9:$C$21</c:f>
              <c:numCache>
                <c:formatCode>0.00</c:formatCode>
                <c:ptCount val="13"/>
                <c:pt idx="0">
                  <c:v>2.635496183206107</c:v>
                </c:pt>
                <c:pt idx="1">
                  <c:v>2.7260385005065855</c:v>
                </c:pt>
                <c:pt idx="2">
                  <c:v>2.7059052059052058</c:v>
                </c:pt>
                <c:pt idx="3">
                  <c:v>2.924415832141154</c:v>
                </c:pt>
                <c:pt idx="4">
                  <c:v>2.7901599015990159</c:v>
                </c:pt>
                <c:pt idx="5">
                  <c:v>2.1747448979591835</c:v>
                </c:pt>
                <c:pt idx="6">
                  <c:v>2.0936858901299291</c:v>
                </c:pt>
                <c:pt idx="7">
                  <c:v>2.1728628936774803</c:v>
                </c:pt>
                <c:pt idx="8">
                  <c:v>2.0868318122555412</c:v>
                </c:pt>
                <c:pt idx="9">
                  <c:v>2.2741073337609579</c:v>
                </c:pt>
                <c:pt idx="10">
                  <c:v>2.3524916943521594</c:v>
                </c:pt>
                <c:pt idx="11">
                  <c:v>2.2576729668805271</c:v>
                </c:pt>
                <c:pt idx="12">
                  <c:v>2.4357363966575409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72D-472C-BE9A-FD03E7E52A80}"/>
            </c:ext>
          </c:extLst>
        </c:ser>
        <c:ser>
          <c:idx val="5"/>
          <c:order val="1"/>
          <c:tx>
            <c:strRef>
              <c:f>'EM evol menusual lugar resd'!$I$7:$J$7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72D-472C-BE9A-FD03E7E52A80}"/>
              </c:ext>
            </c:extLst>
          </c:dPt>
          <c:val>
            <c:numRef>
              <c:f>'EM evol menusual lugar resd'!$I$9:$I$21</c:f>
              <c:numCache>
                <c:formatCode>0.00</c:formatCode>
                <c:ptCount val="13"/>
                <c:pt idx="0">
                  <c:v>3.2322086759285513</c:v>
                </c:pt>
                <c:pt idx="1">
                  <c:v>2.7251615992338998</c:v>
                </c:pt>
                <c:pt idx="2">
                  <c:v>2.6814345991561179</c:v>
                </c:pt>
                <c:pt idx="3">
                  <c:v>2.9921472392638035</c:v>
                </c:pt>
                <c:pt idx="4">
                  <c:v>2.77670704845815</c:v>
                </c:pt>
                <c:pt idx="5">
                  <c:v>2.4949115044247789</c:v>
                </c:pt>
                <c:pt idx="6">
                  <c:v>2.5052631578947366</c:v>
                </c:pt>
                <c:pt idx="7">
                  <c:v>2.6119023397761953</c:v>
                </c:pt>
                <c:pt idx="8">
                  <c:v>2.3955875928352994</c:v>
                </c:pt>
                <c:pt idx="9">
                  <c:v>2.8807453416149067</c:v>
                </c:pt>
                <c:pt idx="10">
                  <c:v>2.6980157089706491</c:v>
                </c:pt>
                <c:pt idx="11">
                  <c:v>2.3449477351916377</c:v>
                </c:pt>
                <c:pt idx="12">
                  <c:v>2.6756725259784404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72D-472C-BE9A-FD03E7E52A80}"/>
            </c:ext>
          </c:extLst>
        </c:ser>
        <c:ser>
          <c:idx val="0"/>
          <c:order val="2"/>
          <c:tx>
            <c:strRef>
              <c:f>'EM evol menusual lugar resd'!$K$7:$L$7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72D-472C-BE9A-FD03E7E52A80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resd'!$K$9:$K$21</c:f>
              <c:numCache>
                <c:formatCode>0.00</c:formatCode>
                <c:ptCount val="13"/>
                <c:pt idx="0">
                  <c:v>2.6628942486085343</c:v>
                </c:pt>
                <c:pt idx="1">
                  <c:v>2.7041745730550284</c:v>
                </c:pt>
                <c:pt idx="2">
                  <c:v>2.7572009188902631</c:v>
                </c:pt>
                <c:pt idx="3">
                  <c:v>2.4570599613152804</c:v>
                </c:pt>
                <c:pt idx="4">
                  <c:v>2.5519648912826649</c:v>
                </c:pt>
                <c:pt idx="5">
                  <c:v>2.4809854101889499</c:v>
                </c:pt>
                <c:pt idx="6">
                  <c:v>2.2105990783410139</c:v>
                </c:pt>
                <c:pt idx="7">
                  <c:v>2.5556512378902045</c:v>
                </c:pt>
                <c:pt idx="8">
                  <c:v>2.3459411634594116</c:v>
                </c:pt>
                <c:pt idx="9">
                  <c:v>2.5134645847476804</c:v>
                </c:pt>
                <c:pt idx="10">
                  <c:v>2.6623690572119258</c:v>
                </c:pt>
                <c:pt idx="11">
                  <c:v>2.587568157033806</c:v>
                </c:pt>
                <c:pt idx="12">
                  <c:v>2.5505786061867015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72D-472C-BE9A-FD03E7E52A80}"/>
            </c:ext>
          </c:extLst>
        </c:ser>
        <c:ser>
          <c:idx val="1"/>
          <c:order val="3"/>
          <c:tx>
            <c:strRef>
              <c:f>'EM evol menusual lugar resd'!$M$7:$N$7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072D-472C-BE9A-FD03E7E52A8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072D-472C-BE9A-FD03E7E52A80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resd'!$M$9:$M$21</c:f>
              <c:numCache>
                <c:formatCode>0.00</c:formatCode>
                <c:ptCount val="13"/>
                <c:pt idx="0">
                  <c:v>2.7949012842629863</c:v>
                </c:pt>
                <c:pt idx="1">
                  <c:v>3.1517801374141161</c:v>
                </c:pt>
                <c:pt idx="2">
                  <c:v>2.9589783281733748</c:v>
                </c:pt>
                <c:pt idx="3">
                  <c:v>2.6590819153146024</c:v>
                </c:pt>
                <c:pt idx="4">
                  <c:v>2.5066105769230771</c:v>
                </c:pt>
                <c:pt idx="5">
                  <c:v>2.5517154389505552</c:v>
                </c:pt>
                <c:pt idx="6">
                  <c:v>2.2077073807968648</c:v>
                </c:pt>
                <c:pt idx="7">
                  <c:v>3.1938599517074855</c:v>
                </c:pt>
                <c:pt idx="8">
                  <c:v>2.2301946137212503</c:v>
                </c:pt>
                <c:pt idx="12">
                  <c:v>2.6766402566005216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72D-472C-BE9A-FD03E7E52A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resd'!$N$8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72D-472C-BE9A-FD03E7E52A8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72D-472C-BE9A-FD03E7E52A8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72D-472C-BE9A-FD03E7E52A8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72D-472C-BE9A-FD03E7E52A8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72D-472C-BE9A-FD03E7E52A8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72D-472C-BE9A-FD03E7E52A8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72D-472C-BE9A-FD03E7E52A8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72D-472C-BE9A-FD03E7E52A8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72D-472C-BE9A-FD03E7E52A8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72D-472C-BE9A-FD03E7E52A8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72D-472C-BE9A-FD03E7E52A8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72D-472C-BE9A-FD03E7E52A8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72D-472C-BE9A-FD03E7E52A80}"/>
              </c:ext>
            </c:extLst>
          </c:dPt>
          <c:cat>
            <c:strRef>
              <c:f>'EM evol menusual lugar resd'!$B$9:$B$20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resd'!$N$9:$N$21</c:f>
              <c:numCache>
                <c:formatCode>0.00</c:formatCode>
                <c:ptCount val="13"/>
                <c:pt idx="0">
                  <c:v>0.13200703565445204</c:v>
                </c:pt>
                <c:pt idx="1">
                  <c:v>0.44760556435908772</c:v>
                </c:pt>
                <c:pt idx="2">
                  <c:v>0.20177740928311172</c:v>
                </c:pt>
                <c:pt idx="3">
                  <c:v>0.20202195399932199</c:v>
                </c:pt>
                <c:pt idx="4">
                  <c:v>-4.5354314359587811E-2</c:v>
                </c:pt>
                <c:pt idx="5">
                  <c:v>7.0730028761605279E-2</c:v>
                </c:pt>
                <c:pt idx="6">
                  <c:v>-2.8916975441490855E-3</c:v>
                </c:pt>
                <c:pt idx="7">
                  <c:v>0.63820871381728095</c:v>
                </c:pt>
                <c:pt idx="8">
                  <c:v>-0.11574654973816134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0.1387462105709667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072D-472C-BE9A-FD03E7E52A80}"/>
            </c:ext>
          </c:extLst>
        </c:ser>
        <c:ser>
          <c:idx val="4"/>
          <c:order val="5"/>
          <c:tx>
            <c:strRef>
              <c:f>'EM evol menusual lugar resd'!$O$8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'EM evol menusual lugar resd'!$O$9:$O$21</c:f>
              <c:numCache>
                <c:formatCode>0.00</c:formatCode>
                <c:ptCount val="13"/>
                <c:pt idx="0">
                  <c:v>0.15940510105687933</c:v>
                </c:pt>
                <c:pt idx="1">
                  <c:v>0.42574163690753064</c:v>
                </c:pt>
                <c:pt idx="2">
                  <c:v>0.25307312226816903</c:v>
                </c:pt>
                <c:pt idx="3">
                  <c:v>-0.26533391682655161</c:v>
                </c:pt>
                <c:pt idx="4">
                  <c:v>-0.28354932467593885</c:v>
                </c:pt>
                <c:pt idx="5">
                  <c:v>0.37697054099137173</c:v>
                </c:pt>
                <c:pt idx="6">
                  <c:v>0.11402149066693568</c:v>
                </c:pt>
                <c:pt idx="7">
                  <c:v>1.0209970580300052</c:v>
                </c:pt>
                <c:pt idx="8">
                  <c:v>0.14336280146570912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0.18296904943719072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072D-472C-BE9A-FD03E7E52A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587-459A-9545-AE46DA14D8D9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resd'!$C$31:$C$43</c:f>
              <c:numCache>
                <c:formatCode>0.00</c:formatCode>
                <c:ptCount val="13"/>
                <c:pt idx="0">
                  <c:v>1.9356746765249537</c:v>
                </c:pt>
                <c:pt idx="1">
                  <c:v>1.895208548776284</c:v>
                </c:pt>
                <c:pt idx="2">
                  <c:v>1.8823529411764706</c:v>
                </c:pt>
                <c:pt idx="3">
                  <c:v>2.467058823529412</c:v>
                </c:pt>
                <c:pt idx="4">
                  <c:v>2.3830369357045145</c:v>
                </c:pt>
                <c:pt idx="5">
                  <c:v>2.0623509369676318</c:v>
                </c:pt>
                <c:pt idx="6">
                  <c:v>1.8733018310691081</c:v>
                </c:pt>
                <c:pt idx="7">
                  <c:v>2.049430894308943</c:v>
                </c:pt>
                <c:pt idx="8">
                  <c:v>1.8539365871036695</c:v>
                </c:pt>
                <c:pt idx="9">
                  <c:v>1.8910828025477706</c:v>
                </c:pt>
                <c:pt idx="10">
                  <c:v>1.7614213197969544</c:v>
                </c:pt>
                <c:pt idx="11">
                  <c:v>1.7360482654600302</c:v>
                </c:pt>
                <c:pt idx="12">
                  <c:v>1.9648158624962957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587-459A-9545-AE46DA14D8D9}"/>
            </c:ext>
          </c:extLst>
        </c:ser>
        <c:ser>
          <c:idx val="5"/>
          <c:order val="1"/>
          <c:tx>
            <c:strRef>
              <c:f>'EM evol menusual lugar resd'!$I$29:$J$29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587-459A-9545-AE46DA14D8D9}"/>
              </c:ext>
            </c:extLst>
          </c:dPt>
          <c:val>
            <c:numRef>
              <c:f>'EM evol menusual lugar resd'!$I$31:$I$43</c:f>
              <c:numCache>
                <c:formatCode>0.00</c:formatCode>
                <c:ptCount val="13"/>
                <c:pt idx="0">
                  <c:v>2.7529610829103217</c:v>
                </c:pt>
                <c:pt idx="1">
                  <c:v>1.9862405681313804</c:v>
                </c:pt>
                <c:pt idx="2">
                  <c:v>2.0317519611505417</c:v>
                </c:pt>
                <c:pt idx="3">
                  <c:v>2.2582731076454925</c:v>
                </c:pt>
                <c:pt idx="4">
                  <c:v>2.1116956697693241</c:v>
                </c:pt>
                <c:pt idx="5">
                  <c:v>2.2217877094972067</c:v>
                </c:pt>
                <c:pt idx="6">
                  <c:v>2.0493939393939393</c:v>
                </c:pt>
                <c:pt idx="7">
                  <c:v>2.3296067848882034</c:v>
                </c:pt>
                <c:pt idx="8">
                  <c:v>1.9187802792818467</c:v>
                </c:pt>
                <c:pt idx="9">
                  <c:v>2.1810207336523124</c:v>
                </c:pt>
                <c:pt idx="10">
                  <c:v>1.8751584283903675</c:v>
                </c:pt>
                <c:pt idx="11">
                  <c:v>1.8219708246501936</c:v>
                </c:pt>
                <c:pt idx="12">
                  <c:v>2.098583217486468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587-459A-9545-AE46DA14D8D9}"/>
            </c:ext>
          </c:extLst>
        </c:ser>
        <c:ser>
          <c:idx val="0"/>
          <c:order val="2"/>
          <c:tx>
            <c:strRef>
              <c:f>'EM evol menusual lugar resd'!$K$29:$L$29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587-459A-9545-AE46DA14D8D9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resd'!$K$31:$K$43</c:f>
              <c:numCache>
                <c:formatCode>0.00</c:formatCode>
                <c:ptCount val="13"/>
                <c:pt idx="0">
                  <c:v>1.8540433925049309</c:v>
                </c:pt>
                <c:pt idx="1">
                  <c:v>1.8500483714930667</c:v>
                </c:pt>
                <c:pt idx="2">
                  <c:v>1.8848289973691903</c:v>
                </c:pt>
                <c:pt idx="3">
                  <c:v>1.7696677080374894</c:v>
                </c:pt>
                <c:pt idx="4">
                  <c:v>2.0239369191776966</c:v>
                </c:pt>
                <c:pt idx="5">
                  <c:v>1.9933008526187577</c:v>
                </c:pt>
                <c:pt idx="6">
                  <c:v>1.9799121155053359</c:v>
                </c:pt>
                <c:pt idx="7">
                  <c:v>2.120403321470937</c:v>
                </c:pt>
                <c:pt idx="8">
                  <c:v>1.8982850384387937</c:v>
                </c:pt>
                <c:pt idx="9">
                  <c:v>1.9529203539823008</c:v>
                </c:pt>
                <c:pt idx="10">
                  <c:v>1.8118126272912423</c:v>
                </c:pt>
                <c:pt idx="11">
                  <c:v>1.8590240123934934</c:v>
                </c:pt>
                <c:pt idx="12">
                  <c:v>1.9201526960394464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587-459A-9545-AE46DA14D8D9}"/>
            </c:ext>
          </c:extLst>
        </c:ser>
        <c:ser>
          <c:idx val="1"/>
          <c:order val="3"/>
          <c:tx>
            <c:strRef>
              <c:f>'EM evol menusual lugar resd'!$M$29:$N$29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6587-459A-9545-AE46DA14D8D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6587-459A-9545-AE46DA14D8D9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resd'!$M$31:$M$43</c:f>
              <c:numCache>
                <c:formatCode>0.00</c:formatCode>
                <c:ptCount val="13"/>
                <c:pt idx="0">
                  <c:v>1.7593017914561322</c:v>
                </c:pt>
                <c:pt idx="1">
                  <c:v>2.2994923857868019</c:v>
                </c:pt>
                <c:pt idx="2">
                  <c:v>1.9806231003039514</c:v>
                </c:pt>
                <c:pt idx="3">
                  <c:v>1.8177655677655677</c:v>
                </c:pt>
                <c:pt idx="4">
                  <c:v>1.8523102310231023</c:v>
                </c:pt>
                <c:pt idx="5">
                  <c:v>2.0435505319148937</c:v>
                </c:pt>
                <c:pt idx="6">
                  <c:v>1.9556135770234986</c:v>
                </c:pt>
                <c:pt idx="7">
                  <c:v>2.7328288707799766</c:v>
                </c:pt>
                <c:pt idx="8">
                  <c:v>1.8101173020527859</c:v>
                </c:pt>
                <c:pt idx="12">
                  <c:v>1.9770580812908654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587-459A-9545-AE46DA14D8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resd'!$N$30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587-459A-9545-AE46DA14D8D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587-459A-9545-AE46DA14D8D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587-459A-9545-AE46DA14D8D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587-459A-9545-AE46DA14D8D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587-459A-9545-AE46DA14D8D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587-459A-9545-AE46DA14D8D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587-459A-9545-AE46DA14D8D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587-459A-9545-AE46DA14D8D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587-459A-9545-AE46DA14D8D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587-459A-9545-AE46DA14D8D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587-459A-9545-AE46DA14D8D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587-459A-9545-AE46DA14D8D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587-459A-9545-AE46DA14D8D9}"/>
              </c:ext>
            </c:extLst>
          </c:dPt>
          <c:cat>
            <c:strRef>
              <c:f>'EM evol menusual lugar resd'!$B$31:$B$42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resd'!$N$31:$N$43</c:f>
              <c:numCache>
                <c:formatCode>0.00</c:formatCode>
                <c:ptCount val="13"/>
                <c:pt idx="0">
                  <c:v>-9.4741601048798696E-2</c:v>
                </c:pt>
                <c:pt idx="1">
                  <c:v>0.44944401429373526</c:v>
                </c:pt>
                <c:pt idx="2">
                  <c:v>9.5794102934761094E-2</c:v>
                </c:pt>
                <c:pt idx="3">
                  <c:v>4.809785972807834E-2</c:v>
                </c:pt>
                <c:pt idx="4">
                  <c:v>-0.17162668815459425</c:v>
                </c:pt>
                <c:pt idx="5">
                  <c:v>5.0249679296135996E-2</c:v>
                </c:pt>
                <c:pt idx="6">
                  <c:v>-2.4298538481837273E-2</c:v>
                </c:pt>
                <c:pt idx="7">
                  <c:v>0.61242554930903959</c:v>
                </c:pt>
                <c:pt idx="8">
                  <c:v>-8.8167736386007833E-2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4.5812267493142711E-2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6587-459A-9545-AE46DA14D8D9}"/>
            </c:ext>
          </c:extLst>
        </c:ser>
        <c:ser>
          <c:idx val="4"/>
          <c:order val="5"/>
          <c:tx>
            <c:strRef>
              <c:f>'EM evol menusual lugar resd'!$O$30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resd'!$O$31:$O$43</c:f>
              <c:numCache>
                <c:formatCode>0.00</c:formatCode>
                <c:ptCount val="13"/>
                <c:pt idx="0">
                  <c:v>-0.17637288506882154</c:v>
                </c:pt>
                <c:pt idx="1">
                  <c:v>0.40428383701051795</c:v>
                </c:pt>
                <c:pt idx="2">
                  <c:v>9.8270159127480827E-2</c:v>
                </c:pt>
                <c:pt idx="3">
                  <c:v>-0.64929325576384422</c:v>
                </c:pt>
                <c:pt idx="4">
                  <c:v>-0.53072670468141214</c:v>
                </c:pt>
                <c:pt idx="5">
                  <c:v>-1.8800405052738167E-2</c:v>
                </c:pt>
                <c:pt idx="6">
                  <c:v>8.2311745954390503E-2</c:v>
                </c:pt>
                <c:pt idx="7">
                  <c:v>0.68339797647103362</c:v>
                </c:pt>
                <c:pt idx="8">
                  <c:v>-4.3819285050883616E-2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-6.0225794099491692E-2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6587-459A-9545-AE46DA14D8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954-41BA-AFC9-C6B47CF17F87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resd'!$C$53:$C$65</c:f>
              <c:numCache>
                <c:formatCode>0.00</c:formatCode>
                <c:ptCount val="13"/>
                <c:pt idx="0">
                  <c:v>2.1795855717574826</c:v>
                </c:pt>
                <c:pt idx="1">
                  <c:v>2.1743869209809263</c:v>
                </c:pt>
                <c:pt idx="2">
                  <c:v>2.0913126188966391</c:v>
                </c:pt>
                <c:pt idx="3">
                  <c:v>2.6987638256343525</c:v>
                </c:pt>
                <c:pt idx="4">
                  <c:v>2.7460815047021945</c:v>
                </c:pt>
                <c:pt idx="5">
                  <c:v>2.2594631796283551</c:v>
                </c:pt>
                <c:pt idx="6">
                  <c:v>2.186840471756673</c:v>
                </c:pt>
                <c:pt idx="7">
                  <c:v>2.4192634560906514</c:v>
                </c:pt>
                <c:pt idx="8">
                  <c:v>2.0783045977011496</c:v>
                </c:pt>
                <c:pt idx="9">
                  <c:v>1.955193482688391</c:v>
                </c:pt>
                <c:pt idx="10">
                  <c:v>1.8835341365461848</c:v>
                </c:pt>
                <c:pt idx="11">
                  <c:v>1.9921540656205421</c:v>
                </c:pt>
                <c:pt idx="12">
                  <c:v>2.2224757875987979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954-41BA-AFC9-C6B47CF17F87}"/>
            </c:ext>
          </c:extLst>
        </c:ser>
        <c:ser>
          <c:idx val="5"/>
          <c:order val="1"/>
          <c:tx>
            <c:strRef>
              <c:f>'EM evol menusual lugar resd'!$I$51:$J$51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954-41BA-AFC9-C6B47CF17F87}"/>
              </c:ext>
            </c:extLst>
          </c:dPt>
          <c:val>
            <c:numRef>
              <c:f>'EM evol menusual lugar resd'!$I$53:$I$65</c:f>
              <c:numCache>
                <c:formatCode>0.00</c:formatCode>
                <c:ptCount val="13"/>
                <c:pt idx="0">
                  <c:v>2.7045235803657364</c:v>
                </c:pt>
                <c:pt idx="1">
                  <c:v>2.3289124668435015</c:v>
                </c:pt>
                <c:pt idx="2">
                  <c:v>2.0361816782140107</c:v>
                </c:pt>
                <c:pt idx="3">
                  <c:v>2.7884615384615383</c:v>
                </c:pt>
                <c:pt idx="4">
                  <c:v>2.4585942936673626</c:v>
                </c:pt>
                <c:pt idx="5">
                  <c:v>2.155002891844997</c:v>
                </c:pt>
                <c:pt idx="6">
                  <c:v>2.4557438794726929</c:v>
                </c:pt>
                <c:pt idx="7">
                  <c:v>2.5198487712665405</c:v>
                </c:pt>
                <c:pt idx="8">
                  <c:v>2.1402838427947599</c:v>
                </c:pt>
                <c:pt idx="9">
                  <c:v>2.4211590296495955</c:v>
                </c:pt>
                <c:pt idx="10">
                  <c:v>2.0983709273182956</c:v>
                </c:pt>
                <c:pt idx="11">
                  <c:v>2.0200647249190937</c:v>
                </c:pt>
                <c:pt idx="12">
                  <c:v>2.3243721461187214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954-41BA-AFC9-C6B47CF17F87}"/>
            </c:ext>
          </c:extLst>
        </c:ser>
        <c:ser>
          <c:idx val="0"/>
          <c:order val="2"/>
          <c:tx>
            <c:strRef>
              <c:f>'EM evol menusual lugar resd'!$K$51:$L$51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954-41BA-AFC9-C6B47CF17F87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resd'!$K$53:$K$65</c:f>
              <c:numCache>
                <c:formatCode>0.00</c:formatCode>
                <c:ptCount val="13"/>
                <c:pt idx="0">
                  <c:v>2.1779062299293512</c:v>
                </c:pt>
                <c:pt idx="1">
                  <c:v>1.910030627871363</c:v>
                </c:pt>
                <c:pt idx="2">
                  <c:v>1.9119541875447388</c:v>
                </c:pt>
                <c:pt idx="3">
                  <c:v>1.8283518360375748</c:v>
                </c:pt>
                <c:pt idx="4">
                  <c:v>2.3117593436645398</c:v>
                </c:pt>
                <c:pt idx="5">
                  <c:v>2.1816707218167073</c:v>
                </c:pt>
                <c:pt idx="6">
                  <c:v>2.1775417298937785</c:v>
                </c:pt>
                <c:pt idx="7">
                  <c:v>2.29901707190895</c:v>
                </c:pt>
                <c:pt idx="8">
                  <c:v>1.996734693877551</c:v>
                </c:pt>
                <c:pt idx="9">
                  <c:v>2.0656192236598891</c:v>
                </c:pt>
                <c:pt idx="10">
                  <c:v>1.8906950672645739</c:v>
                </c:pt>
                <c:pt idx="11">
                  <c:v>2.0252631578947367</c:v>
                </c:pt>
                <c:pt idx="12">
                  <c:v>2.0556463538018521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954-41BA-AFC9-C6B47CF17F87}"/>
            </c:ext>
          </c:extLst>
        </c:ser>
        <c:ser>
          <c:idx val="1"/>
          <c:order val="3"/>
          <c:tx>
            <c:strRef>
              <c:f>'EM evol menusual lugar resd'!$M$51:$N$51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D954-41BA-AFC9-C6B47CF17F8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D954-41BA-AFC9-C6B47CF17F87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resd'!$M$53:$M$65</c:f>
              <c:numCache>
                <c:formatCode>0.00</c:formatCode>
                <c:ptCount val="13"/>
                <c:pt idx="0">
                  <c:v>1.8096885813148789</c:v>
                </c:pt>
                <c:pt idx="1">
                  <c:v>2.0161987041036715</c:v>
                </c:pt>
                <c:pt idx="2">
                  <c:v>2.1184280403611258</c:v>
                </c:pt>
                <c:pt idx="3">
                  <c:v>1.8955807587016034</c:v>
                </c:pt>
                <c:pt idx="4">
                  <c:v>2.032228778937812</c:v>
                </c:pt>
                <c:pt idx="5">
                  <c:v>2.174083769633508</c:v>
                </c:pt>
                <c:pt idx="6">
                  <c:v>2.2250136537411249</c:v>
                </c:pt>
                <c:pt idx="7">
                  <c:v>2.3365758754863815</c:v>
                </c:pt>
                <c:pt idx="8">
                  <c:v>2.0187553282182438</c:v>
                </c:pt>
                <c:pt idx="12">
                  <c:v>2.0643975266001893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954-41BA-AFC9-C6B47CF17F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resd'!$N$52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954-41BA-AFC9-C6B47CF17F8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954-41BA-AFC9-C6B47CF17F8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954-41BA-AFC9-C6B47CF17F8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954-41BA-AFC9-C6B47CF17F8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954-41BA-AFC9-C6B47CF17F8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954-41BA-AFC9-C6B47CF17F8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954-41BA-AFC9-C6B47CF17F8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954-41BA-AFC9-C6B47CF17F8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954-41BA-AFC9-C6B47CF17F8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954-41BA-AFC9-C6B47CF17F8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954-41BA-AFC9-C6B47CF17F8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954-41BA-AFC9-C6B47CF17F8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954-41BA-AFC9-C6B47CF17F87}"/>
              </c:ext>
            </c:extLst>
          </c:dPt>
          <c:cat>
            <c:strRef>
              <c:f>'EM evol menusual lugar resd'!$B$53:$B$64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resd'!$N$53:$N$65</c:f>
              <c:numCache>
                <c:formatCode>0.00</c:formatCode>
                <c:ptCount val="13"/>
                <c:pt idx="0">
                  <c:v>-0.36821764861447237</c:v>
                </c:pt>
                <c:pt idx="1">
                  <c:v>0.10616807623230851</c:v>
                </c:pt>
                <c:pt idx="2">
                  <c:v>0.20647385281638697</c:v>
                </c:pt>
                <c:pt idx="3">
                  <c:v>6.7228922664028579E-2</c:v>
                </c:pt>
                <c:pt idx="4">
                  <c:v>-0.27953056472672788</c:v>
                </c:pt>
                <c:pt idx="5">
                  <c:v>-7.5869521831992692E-3</c:v>
                </c:pt>
                <c:pt idx="6">
                  <c:v>4.7471923847346442E-2</c:v>
                </c:pt>
                <c:pt idx="7">
                  <c:v>3.7558803577431465E-2</c:v>
                </c:pt>
                <c:pt idx="8">
                  <c:v>2.2020634340692791E-2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-6.795585330929832E-3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D954-41BA-AFC9-C6B47CF17F87}"/>
            </c:ext>
          </c:extLst>
        </c:ser>
        <c:ser>
          <c:idx val="4"/>
          <c:order val="5"/>
          <c:tx>
            <c:strRef>
              <c:f>'EM evol menusual lugar resd'!$O$52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resd'!$O$53:$O$65</c:f>
              <c:numCache>
                <c:formatCode>0.00</c:formatCode>
                <c:ptCount val="13"/>
                <c:pt idx="0">
                  <c:v>-0.36989699044260371</c:v>
                </c:pt>
                <c:pt idx="1">
                  <c:v>-0.15818821687725482</c:v>
                </c:pt>
                <c:pt idx="2">
                  <c:v>2.7115421464486644E-2</c:v>
                </c:pt>
                <c:pt idx="3">
                  <c:v>-0.8031830669327491</c:v>
                </c:pt>
                <c:pt idx="4">
                  <c:v>-0.71385272576438252</c:v>
                </c:pt>
                <c:pt idx="5">
                  <c:v>-8.5379409994847055E-2</c:v>
                </c:pt>
                <c:pt idx="6">
                  <c:v>3.8173181984451965E-2</c:v>
                </c:pt>
                <c:pt idx="7">
                  <c:v>-8.268758060426995E-2</c:v>
                </c:pt>
                <c:pt idx="8">
                  <c:v>-5.9549269482905842E-2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-0.25602500861107824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D954-41BA-AFC9-C6B47CF17F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resd'!$C$73:$D$73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F36-4FB3-B6F0-F0B15C24ACF1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resd'!$C$75:$C$87</c:f>
              <c:numCache>
                <c:formatCode>0.00</c:formatCode>
                <c:ptCount val="13"/>
                <c:pt idx="0">
                  <c:v>1.7089871611982881</c:v>
                </c:pt>
                <c:pt idx="1">
                  <c:v>1.6092114445219818</c:v>
                </c:pt>
                <c:pt idx="2">
                  <c:v>1.6466380543633763</c:v>
                </c:pt>
                <c:pt idx="3">
                  <c:v>2.1154985192497531</c:v>
                </c:pt>
                <c:pt idx="4">
                  <c:v>1.947328818660647</c:v>
                </c:pt>
                <c:pt idx="5">
                  <c:v>1.8690958164642375</c:v>
                </c:pt>
                <c:pt idx="6">
                  <c:v>1.5887323943661973</c:v>
                </c:pt>
                <c:pt idx="7">
                  <c:v>1.7354179194227299</c:v>
                </c:pt>
                <c:pt idx="8">
                  <c:v>1.6332155477031802</c:v>
                </c:pt>
                <c:pt idx="9">
                  <c:v>1.8344331133773246</c:v>
                </c:pt>
                <c:pt idx="10">
                  <c:v>1.655</c:v>
                </c:pt>
                <c:pt idx="11">
                  <c:v>1.5966614906832297</c:v>
                </c:pt>
                <c:pt idx="12">
                  <c:v>1.7231243147287632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F36-4FB3-B6F0-F0B15C24ACF1}"/>
            </c:ext>
          </c:extLst>
        </c:ser>
        <c:ser>
          <c:idx val="5"/>
          <c:order val="1"/>
          <c:tx>
            <c:strRef>
              <c:f>'EM evol menusual lugar resd'!$I$73:$J$73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F36-4FB3-B6F0-F0B15C24ACF1}"/>
              </c:ext>
            </c:extLst>
          </c:dPt>
          <c:val>
            <c:numRef>
              <c:f>'EM evol menusual lugar resd'!$I$75:$I$87</c:f>
              <c:numCache>
                <c:formatCode>0.00</c:formatCode>
                <c:ptCount val="13"/>
                <c:pt idx="0">
                  <c:v>2.8215258855585832</c:v>
                </c:pt>
                <c:pt idx="1">
                  <c:v>1.6408199643493762</c:v>
                </c:pt>
                <c:pt idx="2">
                  <c:v>2.0275761973875182</c:v>
                </c:pt>
                <c:pt idx="3">
                  <c:v>1.7791455467052861</c:v>
                </c:pt>
                <c:pt idx="4">
                  <c:v>1.6295938104448742</c:v>
                </c:pt>
                <c:pt idx="5">
                  <c:v>2.284170718530524</c:v>
                </c:pt>
                <c:pt idx="6">
                  <c:v>1.6701816051552432</c:v>
                </c:pt>
                <c:pt idx="7">
                  <c:v>2.0297914597815292</c:v>
                </c:pt>
                <c:pt idx="8">
                  <c:v>1.6768038163387</c:v>
                </c:pt>
                <c:pt idx="9">
                  <c:v>1.8330078125</c:v>
                </c:pt>
                <c:pt idx="10">
                  <c:v>1.6467948717948717</c:v>
                </c:pt>
                <c:pt idx="11">
                  <c:v>1.653252480705623</c:v>
                </c:pt>
                <c:pt idx="12">
                  <c:v>1.8557308613174535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F36-4FB3-B6F0-F0B15C24ACF1}"/>
            </c:ext>
          </c:extLst>
        </c:ser>
        <c:ser>
          <c:idx val="0"/>
          <c:order val="2"/>
          <c:tx>
            <c:strRef>
              <c:f>'EM evol menusual lugar resd'!$K$73:$L$73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F36-4FB3-B6F0-F0B15C24ACF1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resd'!$K$75:$K$87</c:f>
              <c:numCache>
                <c:formatCode>0.00</c:formatCode>
                <c:ptCount val="13"/>
                <c:pt idx="0">
                  <c:v>1.5144781144781145</c:v>
                </c:pt>
                <c:pt idx="1">
                  <c:v>1.5296523517382412</c:v>
                </c:pt>
                <c:pt idx="2">
                  <c:v>1.7639553429027113</c:v>
                </c:pt>
                <c:pt idx="3">
                  <c:v>1.6530958439355385</c:v>
                </c:pt>
                <c:pt idx="4">
                  <c:v>1.5585851142225498</c:v>
                </c:pt>
                <c:pt idx="5">
                  <c:v>1.4254278728606358</c:v>
                </c:pt>
                <c:pt idx="6">
                  <c:v>1.6567411083540116</c:v>
                </c:pt>
                <c:pt idx="7">
                  <c:v>1.88047255038221</c:v>
                </c:pt>
                <c:pt idx="8">
                  <c:v>1.6394849785407726</c:v>
                </c:pt>
                <c:pt idx="9">
                  <c:v>1.5839636913767019</c:v>
                </c:pt>
                <c:pt idx="10">
                  <c:v>1.6020864381520119</c:v>
                </c:pt>
                <c:pt idx="11">
                  <c:v>1.6542783059636992</c:v>
                </c:pt>
                <c:pt idx="12">
                  <c:v>1.6305721889554226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F36-4FB3-B6F0-F0B15C24ACF1}"/>
            </c:ext>
          </c:extLst>
        </c:ser>
        <c:ser>
          <c:idx val="1"/>
          <c:order val="3"/>
          <c:tx>
            <c:strRef>
              <c:f>'EM evol menusual lugar resd'!$M$73:$N$73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2F36-4FB3-B6F0-F0B15C24ACF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2F36-4FB3-B6F0-F0B15C24ACF1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resd'!$M$75:$M$87</c:f>
              <c:numCache>
                <c:formatCode>0.00</c:formatCode>
                <c:ptCount val="13"/>
                <c:pt idx="0">
                  <c:v>1.6598360655737705</c:v>
                </c:pt>
                <c:pt idx="1">
                  <c:v>3.9650793650793652</c:v>
                </c:pt>
                <c:pt idx="2">
                  <c:v>1.6341789052069426</c:v>
                </c:pt>
                <c:pt idx="3">
                  <c:v>1.5410292072322671</c:v>
                </c:pt>
                <c:pt idx="4">
                  <c:v>1.5757152826238661</c:v>
                </c:pt>
                <c:pt idx="5">
                  <c:v>1.6256983240223464</c:v>
                </c:pt>
                <c:pt idx="6">
                  <c:v>1.6503712871287128</c:v>
                </c:pt>
                <c:pt idx="7">
                  <c:v>6.2045454545454541</c:v>
                </c:pt>
                <c:pt idx="8">
                  <c:v>1.5297823596792668</c:v>
                </c:pt>
                <c:pt idx="12">
                  <c:v>1.7859058766154596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F36-4FB3-B6F0-F0B15C24AC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resd'!$N$74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F36-4FB3-B6F0-F0B15C24ACF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F36-4FB3-B6F0-F0B15C24ACF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F36-4FB3-B6F0-F0B15C24ACF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F36-4FB3-B6F0-F0B15C24ACF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F36-4FB3-B6F0-F0B15C24ACF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F36-4FB3-B6F0-F0B15C24ACF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F36-4FB3-B6F0-F0B15C24ACF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F36-4FB3-B6F0-F0B15C24ACF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F36-4FB3-B6F0-F0B15C24ACF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F36-4FB3-B6F0-F0B15C24ACF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F36-4FB3-B6F0-F0B15C24ACF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F36-4FB3-B6F0-F0B15C24ACF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F36-4FB3-B6F0-F0B15C24ACF1}"/>
              </c:ext>
            </c:extLst>
          </c:dPt>
          <c:cat>
            <c:strRef>
              <c:f>'EM evol menusual lugar resd'!$B$75:$B$86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resd'!$N$75:$N$87</c:f>
              <c:numCache>
                <c:formatCode>0.00</c:formatCode>
                <c:ptCount val="13"/>
                <c:pt idx="0">
                  <c:v>0.14535795109565597</c:v>
                </c:pt>
                <c:pt idx="1">
                  <c:v>2.435427013341124</c:v>
                </c:pt>
                <c:pt idx="2">
                  <c:v>-0.12977643769576863</c:v>
                </c:pt>
                <c:pt idx="3">
                  <c:v>-0.11206663670327144</c:v>
                </c:pt>
                <c:pt idx="4">
                  <c:v>1.7130168401316315E-2</c:v>
                </c:pt>
                <c:pt idx="5">
                  <c:v>0.20027045116171061</c:v>
                </c:pt>
                <c:pt idx="6">
                  <c:v>-6.3698212252987219E-3</c:v>
                </c:pt>
                <c:pt idx="7">
                  <c:v>4.324072904163244</c:v>
                </c:pt>
                <c:pt idx="8">
                  <c:v>-0.10970261886150579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0.1529745708996757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2F36-4FB3-B6F0-F0B15C24ACF1}"/>
            </c:ext>
          </c:extLst>
        </c:ser>
        <c:ser>
          <c:idx val="4"/>
          <c:order val="5"/>
          <c:tx>
            <c:strRef>
              <c:f>'EM evol menusual lugar resd'!$O$74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resd'!$O$75:$O$87</c:f>
              <c:numCache>
                <c:formatCode>0.00</c:formatCode>
                <c:ptCount val="13"/>
                <c:pt idx="0">
                  <c:v>-4.9151095624517582E-2</c:v>
                </c:pt>
                <c:pt idx="1">
                  <c:v>2.3558679205573831</c:v>
                </c:pt>
                <c:pt idx="2">
                  <c:v>-1.2459149156433647E-2</c:v>
                </c:pt>
                <c:pt idx="3">
                  <c:v>-0.57446931201748597</c:v>
                </c:pt>
                <c:pt idx="4">
                  <c:v>-0.37161353603678093</c:v>
                </c:pt>
                <c:pt idx="5">
                  <c:v>-0.24339749244189113</c:v>
                </c:pt>
                <c:pt idx="6">
                  <c:v>6.1638892762515551E-2</c:v>
                </c:pt>
                <c:pt idx="7">
                  <c:v>4.4691275351227242</c:v>
                </c:pt>
                <c:pt idx="8">
                  <c:v>-0.10343318802391344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4.1366759651865426E-2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2F36-4FB3-B6F0-F0B15C24AC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resd'!$C$95:$D$95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AE4-4211-8250-707315883D72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resd'!$C$97:$C$109</c:f>
              <c:numCache>
                <c:formatCode>0.00</c:formatCode>
                <c:ptCount val="13"/>
                <c:pt idx="0">
                  <c:v>3.5768274490303331</c:v>
                </c:pt>
                <c:pt idx="1">
                  <c:v>3.9110127826941987</c:v>
                </c:pt>
                <c:pt idx="2">
                  <c:v>3.8334100322135298</c:v>
                </c:pt>
                <c:pt idx="3">
                  <c:v>3.6338199513381997</c:v>
                </c:pt>
                <c:pt idx="4">
                  <c:v>3.8334794040315514</c:v>
                </c:pt>
                <c:pt idx="5">
                  <c:v>2.5096446700507613</c:v>
                </c:pt>
                <c:pt idx="6">
                  <c:v>2.8391608391608392</c:v>
                </c:pt>
                <c:pt idx="7">
                  <c:v>2.5034843205574915</c:v>
                </c:pt>
                <c:pt idx="8">
                  <c:v>2.722762645914397</c:v>
                </c:pt>
                <c:pt idx="9">
                  <c:v>3.0566037735849059</c:v>
                </c:pt>
                <c:pt idx="10">
                  <c:v>3.3241106719367588</c:v>
                </c:pt>
                <c:pt idx="11">
                  <c:v>3.4175517048630519</c:v>
                </c:pt>
                <c:pt idx="12">
                  <c:v>3.3671142369991474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AE4-4211-8250-707315883D72}"/>
            </c:ext>
          </c:extLst>
        </c:ser>
        <c:ser>
          <c:idx val="5"/>
          <c:order val="1"/>
          <c:tx>
            <c:strRef>
              <c:f>'EM evol menusual lugar resd'!$I$95:$J$95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AE4-4211-8250-707315883D72}"/>
              </c:ext>
            </c:extLst>
          </c:dPt>
          <c:val>
            <c:numRef>
              <c:f>'EM evol menusual lugar resd'!$I$97:$I$109</c:f>
              <c:numCache>
                <c:formatCode>0.00</c:formatCode>
                <c:ptCount val="13"/>
                <c:pt idx="0">
                  <c:v>3.7166476624857467</c:v>
                </c:pt>
                <c:pt idx="1">
                  <c:v>3.5904365904365902</c:v>
                </c:pt>
                <c:pt idx="2">
                  <c:v>3.5244789142026174</c:v>
                </c:pt>
                <c:pt idx="3">
                  <c:v>4.3264177040110647</c:v>
                </c:pt>
                <c:pt idx="4">
                  <c:v>4.19207579672696</c:v>
                </c:pt>
                <c:pt idx="5">
                  <c:v>3.5351063829787233</c:v>
                </c:pt>
                <c:pt idx="6">
                  <c:v>4.0482051282051286</c:v>
                </c:pt>
                <c:pt idx="7">
                  <c:v>3.1591928251121075</c:v>
                </c:pt>
                <c:pt idx="8">
                  <c:v>3.9607109448082318</c:v>
                </c:pt>
                <c:pt idx="9">
                  <c:v>4.0375741595253789</c:v>
                </c:pt>
                <c:pt idx="10">
                  <c:v>4.2419738406658736</c:v>
                </c:pt>
                <c:pt idx="11">
                  <c:v>3.3171001660210293</c:v>
                </c:pt>
                <c:pt idx="12">
                  <c:v>3.7794749943426114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AE4-4211-8250-707315883D72}"/>
            </c:ext>
          </c:extLst>
        </c:ser>
        <c:ser>
          <c:idx val="0"/>
          <c:order val="2"/>
          <c:tx>
            <c:strRef>
              <c:f>'EM evol menusual lugar resd'!$K$95:$L$95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AE4-4211-8250-707315883D72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resd'!$K$97:$K$109</c:f>
              <c:numCache>
                <c:formatCode>0.00</c:formatCode>
                <c:ptCount val="13"/>
                <c:pt idx="0">
                  <c:v>3.7108177172061327</c:v>
                </c:pt>
                <c:pt idx="1">
                  <c:v>3.9253112033195019</c:v>
                </c:pt>
                <c:pt idx="2">
                  <c:v>4.0907059874888292</c:v>
                </c:pt>
                <c:pt idx="3">
                  <c:v>3.9248029108550635</c:v>
                </c:pt>
                <c:pt idx="4">
                  <c:v>3.8344733242134064</c:v>
                </c:pt>
                <c:pt idx="5">
                  <c:v>4.2664437012263097</c:v>
                </c:pt>
                <c:pt idx="6">
                  <c:v>2.8474870017331022</c:v>
                </c:pt>
                <c:pt idx="7">
                  <c:v>3.7085624509033779</c:v>
                </c:pt>
                <c:pt idx="8">
                  <c:v>3.6751536435469712</c:v>
                </c:pt>
                <c:pt idx="9">
                  <c:v>3.5069008782936009</c:v>
                </c:pt>
                <c:pt idx="10">
                  <c:v>3.4946193702670385</c:v>
                </c:pt>
                <c:pt idx="11">
                  <c:v>3.5267099350973541</c:v>
                </c:pt>
                <c:pt idx="12">
                  <c:v>3.714313677514069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AE4-4211-8250-707315883D72}"/>
            </c:ext>
          </c:extLst>
        </c:ser>
        <c:ser>
          <c:idx val="1"/>
          <c:order val="3"/>
          <c:tx>
            <c:strRef>
              <c:f>'EM evol menusual lugar resd'!$M$95:$N$95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8AE4-4211-8250-707315883D7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8AE4-4211-8250-707315883D72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resd'!$M$97:$M$109</c:f>
              <c:numCache>
                <c:formatCode>0.00</c:formatCode>
                <c:ptCount val="13"/>
                <c:pt idx="0">
                  <c:v>3.5365131578947366</c:v>
                </c:pt>
                <c:pt idx="1">
                  <c:v>3.8524279210925645</c:v>
                </c:pt>
                <c:pt idx="2">
                  <c:v>3.9743690851735014</c:v>
                </c:pt>
                <c:pt idx="3">
                  <c:v>4.209223847019123</c:v>
                </c:pt>
                <c:pt idx="4">
                  <c:v>4.2610619469026547</c:v>
                </c:pt>
                <c:pt idx="5">
                  <c:v>4.1506276150627617</c:v>
                </c:pt>
                <c:pt idx="6">
                  <c:v>2.9659685863874348</c:v>
                </c:pt>
                <c:pt idx="7">
                  <c:v>3.8645215918712954</c:v>
                </c:pt>
                <c:pt idx="8">
                  <c:v>3.9577889447236183</c:v>
                </c:pt>
                <c:pt idx="12">
                  <c:v>3.8476702508960572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8AE4-4211-8250-707315883D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resd'!$N$96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AE4-4211-8250-707315883D7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AE4-4211-8250-707315883D7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AE4-4211-8250-707315883D7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AE4-4211-8250-707315883D7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AE4-4211-8250-707315883D7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AE4-4211-8250-707315883D7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AE4-4211-8250-707315883D7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AE4-4211-8250-707315883D7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AE4-4211-8250-707315883D7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AE4-4211-8250-707315883D7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AE4-4211-8250-707315883D7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AE4-4211-8250-707315883D7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AE4-4211-8250-707315883D72}"/>
              </c:ext>
            </c:extLst>
          </c:dPt>
          <c:cat>
            <c:strRef>
              <c:f>'EM evol menusual lugar resd'!$B$97:$B$108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resd'!$N$97:$N$109</c:f>
              <c:numCache>
                <c:formatCode>0.00</c:formatCode>
                <c:ptCount val="13"/>
                <c:pt idx="0">
                  <c:v>-0.1743045593113961</c:v>
                </c:pt>
                <c:pt idx="1">
                  <c:v>-7.2883282226937407E-2</c:v>
                </c:pt>
                <c:pt idx="2">
                  <c:v>-0.11633690231532778</c:v>
                </c:pt>
                <c:pt idx="3">
                  <c:v>0.2844209361640595</c:v>
                </c:pt>
                <c:pt idx="4">
                  <c:v>0.42658862268924835</c:v>
                </c:pt>
                <c:pt idx="5">
                  <c:v>-0.11581608616354799</c:v>
                </c:pt>
                <c:pt idx="6">
                  <c:v>0.11848158465433256</c:v>
                </c:pt>
                <c:pt idx="7">
                  <c:v>0.15595914096791752</c:v>
                </c:pt>
                <c:pt idx="8">
                  <c:v>0.28263530117664715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4.5590552382553273E-2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8AE4-4211-8250-707315883D72}"/>
            </c:ext>
          </c:extLst>
        </c:ser>
        <c:ser>
          <c:idx val="4"/>
          <c:order val="5"/>
          <c:tx>
            <c:strRef>
              <c:f>'EM evol menusual lugar resd'!$O$96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resd'!$O$97:$O$109</c:f>
              <c:numCache>
                <c:formatCode>0.00</c:formatCode>
                <c:ptCount val="13"/>
                <c:pt idx="0">
                  <c:v>-4.0314291135596481E-2</c:v>
                </c:pt>
                <c:pt idx="1">
                  <c:v>-5.8584861601634231E-2</c:v>
                </c:pt>
                <c:pt idx="2">
                  <c:v>0.14095905295997158</c:v>
                </c:pt>
                <c:pt idx="3">
                  <c:v>0.57540389568092332</c:v>
                </c:pt>
                <c:pt idx="4">
                  <c:v>0.42758254287110331</c:v>
                </c:pt>
                <c:pt idx="5">
                  <c:v>1.6409829450120004</c:v>
                </c:pt>
                <c:pt idx="6">
                  <c:v>0.1268077472265956</c:v>
                </c:pt>
                <c:pt idx="7">
                  <c:v>1.3610372713138039</c:v>
                </c:pt>
                <c:pt idx="8">
                  <c:v>1.2350262988092213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0.44372038382427581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8AE4-4211-8250-707315883D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TF'!$C$95:$D$95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4A0-4A02-9303-2FEC4D3D8BC9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TF'!$C$97:$C$109</c:f>
              <c:numCache>
                <c:formatCode>#,##0</c:formatCode>
                <c:ptCount val="13"/>
                <c:pt idx="0">
                  <c:v>2011</c:v>
                </c:pt>
                <c:pt idx="1">
                  <c:v>2034</c:v>
                </c:pt>
                <c:pt idx="2">
                  <c:v>2173</c:v>
                </c:pt>
                <c:pt idx="3">
                  <c:v>1644</c:v>
                </c:pt>
                <c:pt idx="4">
                  <c:v>1141</c:v>
                </c:pt>
                <c:pt idx="5">
                  <c:v>985</c:v>
                </c:pt>
                <c:pt idx="6">
                  <c:v>1001</c:v>
                </c:pt>
                <c:pt idx="7">
                  <c:v>1148</c:v>
                </c:pt>
                <c:pt idx="8">
                  <c:v>1028</c:v>
                </c:pt>
                <c:pt idx="9">
                  <c:v>1537</c:v>
                </c:pt>
                <c:pt idx="10">
                  <c:v>2277</c:v>
                </c:pt>
                <c:pt idx="11">
                  <c:v>1789</c:v>
                </c:pt>
                <c:pt idx="12">
                  <c:v>18768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4A0-4A02-9303-2FEC4D3D8BC9}"/>
            </c:ext>
          </c:extLst>
        </c:ser>
        <c:ser>
          <c:idx val="5"/>
          <c:order val="1"/>
          <c:tx>
            <c:strRef>
              <c:f>'Viajeros entr evol mensu TF'!$I$95:$J$95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4A0-4A02-9303-2FEC4D3D8BC9}"/>
              </c:ext>
            </c:extLst>
          </c:dPt>
          <c:val>
            <c:numRef>
              <c:f>'Viajeros entr evol mensu TF'!$I$97:$I$109</c:f>
              <c:numCache>
                <c:formatCode>#,##0</c:formatCode>
                <c:ptCount val="13"/>
                <c:pt idx="0">
                  <c:v>1754</c:v>
                </c:pt>
                <c:pt idx="1">
                  <c:v>1924</c:v>
                </c:pt>
                <c:pt idx="2">
                  <c:v>2063</c:v>
                </c:pt>
                <c:pt idx="3">
                  <c:v>1446</c:v>
                </c:pt>
                <c:pt idx="4">
                  <c:v>1161</c:v>
                </c:pt>
                <c:pt idx="5">
                  <c:v>940</c:v>
                </c:pt>
                <c:pt idx="6">
                  <c:v>975</c:v>
                </c:pt>
                <c:pt idx="7">
                  <c:v>1338</c:v>
                </c:pt>
                <c:pt idx="8">
                  <c:v>1069</c:v>
                </c:pt>
                <c:pt idx="9">
                  <c:v>1517</c:v>
                </c:pt>
                <c:pt idx="10">
                  <c:v>1682</c:v>
                </c:pt>
                <c:pt idx="11">
                  <c:v>1807</c:v>
                </c:pt>
                <c:pt idx="12">
                  <c:v>17676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4A0-4A02-9303-2FEC4D3D8BC9}"/>
            </c:ext>
          </c:extLst>
        </c:ser>
        <c:ser>
          <c:idx val="0"/>
          <c:order val="2"/>
          <c:tx>
            <c:strRef>
              <c:f>'Viajeros entr evol mensu TF'!$K$95:$L$95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4A0-4A02-9303-2FEC4D3D8BC9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TF'!$K$97:$K$109</c:f>
              <c:numCache>
                <c:formatCode>#,##0</c:formatCode>
                <c:ptCount val="13"/>
                <c:pt idx="0">
                  <c:v>2348</c:v>
                </c:pt>
                <c:pt idx="1">
                  <c:v>2169</c:v>
                </c:pt>
                <c:pt idx="2">
                  <c:v>2238</c:v>
                </c:pt>
                <c:pt idx="3">
                  <c:v>1649</c:v>
                </c:pt>
                <c:pt idx="4">
                  <c:v>1462</c:v>
                </c:pt>
                <c:pt idx="5">
                  <c:v>897</c:v>
                </c:pt>
                <c:pt idx="6">
                  <c:v>1154</c:v>
                </c:pt>
                <c:pt idx="7">
                  <c:v>1273</c:v>
                </c:pt>
                <c:pt idx="8">
                  <c:v>1139</c:v>
                </c:pt>
                <c:pt idx="9">
                  <c:v>1594</c:v>
                </c:pt>
                <c:pt idx="10">
                  <c:v>2509</c:v>
                </c:pt>
                <c:pt idx="11">
                  <c:v>2003</c:v>
                </c:pt>
                <c:pt idx="12">
                  <c:v>20435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4A0-4A02-9303-2FEC4D3D8BC9}"/>
            </c:ext>
          </c:extLst>
        </c:ser>
        <c:ser>
          <c:idx val="1"/>
          <c:order val="3"/>
          <c:tx>
            <c:strRef>
              <c:f>'Viajeros entr evol mensu TF'!$M$95:$N$95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4A0-4A02-9303-2FEC4D3D8BC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14A0-4A02-9303-2FEC4D3D8BC9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TF'!$M$97:$M$109</c:f>
              <c:numCache>
                <c:formatCode>#,##0</c:formatCode>
                <c:ptCount val="13"/>
                <c:pt idx="0">
                  <c:v>3040</c:v>
                </c:pt>
                <c:pt idx="1">
                  <c:v>2636</c:v>
                </c:pt>
                <c:pt idx="2">
                  <c:v>2536</c:v>
                </c:pt>
                <c:pt idx="3">
                  <c:v>1778</c:v>
                </c:pt>
                <c:pt idx="4">
                  <c:v>1356</c:v>
                </c:pt>
                <c:pt idx="5">
                  <c:v>956</c:v>
                </c:pt>
                <c:pt idx="6">
                  <c:v>1146</c:v>
                </c:pt>
                <c:pt idx="7">
                  <c:v>1181</c:v>
                </c:pt>
                <c:pt idx="8">
                  <c:v>995</c:v>
                </c:pt>
                <c:pt idx="12">
                  <c:v>15624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4A0-4A02-9303-2FEC4D3D8B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TF'!$N$96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4A0-4A02-9303-2FEC4D3D8BC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4A0-4A02-9303-2FEC4D3D8BC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4A0-4A02-9303-2FEC4D3D8BC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4A0-4A02-9303-2FEC4D3D8BC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4A0-4A02-9303-2FEC4D3D8BC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4A0-4A02-9303-2FEC4D3D8BC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4A0-4A02-9303-2FEC4D3D8BC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4A0-4A02-9303-2FEC4D3D8BC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4A0-4A02-9303-2FEC4D3D8BC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4A0-4A02-9303-2FEC4D3D8BC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4A0-4A02-9303-2FEC4D3D8BC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4A0-4A02-9303-2FEC4D3D8BC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4A0-4A02-9303-2FEC4D3D8BC9}"/>
              </c:ext>
            </c:extLst>
          </c:dPt>
          <c:cat>
            <c:strRef>
              <c:f>'Viajeros entr evol mensu TF'!$B$97:$B$108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TF'!$N$97:$N$109</c:f>
              <c:numCache>
                <c:formatCode>0.0%</c:formatCode>
                <c:ptCount val="13"/>
                <c:pt idx="0">
                  <c:v>0.29471890971039172</c:v>
                </c:pt>
                <c:pt idx="1">
                  <c:v>0.2153065928999538</c:v>
                </c:pt>
                <c:pt idx="2">
                  <c:v>0.13315460232350307</c:v>
                </c:pt>
                <c:pt idx="3">
                  <c:v>7.8229229836264347E-2</c:v>
                </c:pt>
                <c:pt idx="4">
                  <c:v>-7.2503419972640204E-2</c:v>
                </c:pt>
                <c:pt idx="5">
                  <c:v>6.5774804905239792E-2</c:v>
                </c:pt>
                <c:pt idx="6">
                  <c:v>-6.9324090121317683E-3</c:v>
                </c:pt>
                <c:pt idx="7">
                  <c:v>-7.2270227808326815E-2</c:v>
                </c:pt>
                <c:pt idx="8">
                  <c:v>-0.12642669007901663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9.0376160234489467E-2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14A0-4A02-9303-2FEC4D3D8BC9}"/>
            </c:ext>
          </c:extLst>
        </c:ser>
        <c:ser>
          <c:idx val="4"/>
          <c:order val="5"/>
          <c:tx>
            <c:strRef>
              <c:f>'Viajeros entr evol mensu TF'!$O$96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TF'!$O$97:$O$109</c:f>
              <c:numCache>
                <c:formatCode>0.0%</c:formatCode>
                <c:ptCount val="13"/>
                <c:pt idx="0">
                  <c:v>0.51168572849328697</c:v>
                </c:pt>
                <c:pt idx="1">
                  <c:v>0.29596853490658792</c:v>
                </c:pt>
                <c:pt idx="2">
                  <c:v>0.16705016106764847</c:v>
                </c:pt>
                <c:pt idx="3">
                  <c:v>8.1508515815085225E-2</c:v>
                </c:pt>
                <c:pt idx="4">
                  <c:v>0.18843120070113928</c:v>
                </c:pt>
                <c:pt idx="5">
                  <c:v>-2.9441624365482255E-2</c:v>
                </c:pt>
                <c:pt idx="6">
                  <c:v>0.14485514485514495</c:v>
                </c:pt>
                <c:pt idx="7">
                  <c:v>2.8745644599303066E-2</c:v>
                </c:pt>
                <c:pt idx="8">
                  <c:v>-3.2101167315175094E-2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0.18678313710596273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14A0-4A02-9303-2FEC4D3D8B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6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resd'!$C$117:$D$117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59C-47C4-9AE1-2CFA9D3F38FF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resd'!$C$119:$C$131</c:f>
              <c:numCache>
                <c:formatCode>0.00</c:formatCode>
                <c:ptCount val="13"/>
                <c:pt idx="0">
                  <c:v>4.0446428571428568</c:v>
                </c:pt>
                <c:pt idx="1">
                  <c:v>4.2225130890052354</c:v>
                </c:pt>
                <c:pt idx="2">
                  <c:v>3.7871621621621623</c:v>
                </c:pt>
                <c:pt idx="3">
                  <c:v>4.2482758620689651</c:v>
                </c:pt>
                <c:pt idx="4">
                  <c:v>2.5149700598802394</c:v>
                </c:pt>
                <c:pt idx="5">
                  <c:v>2.2758620689655173</c:v>
                </c:pt>
                <c:pt idx="6">
                  <c:v>2.4921875</c:v>
                </c:pt>
                <c:pt idx="7">
                  <c:v>2.5930232558139537</c:v>
                </c:pt>
                <c:pt idx="8">
                  <c:v>2.6170212765957448</c:v>
                </c:pt>
                <c:pt idx="9">
                  <c:v>2.1818181818181817</c:v>
                </c:pt>
                <c:pt idx="10">
                  <c:v>2.7127659574468086</c:v>
                </c:pt>
                <c:pt idx="11">
                  <c:v>3.3640350877192984</c:v>
                </c:pt>
                <c:pt idx="12">
                  <c:v>3.3382899628252787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59C-47C4-9AE1-2CFA9D3F38FF}"/>
            </c:ext>
          </c:extLst>
        </c:ser>
        <c:ser>
          <c:idx val="5"/>
          <c:order val="1"/>
          <c:tx>
            <c:strRef>
              <c:f>'EM evol menusual lugar resd'!$I$117:$J$117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59C-47C4-9AE1-2CFA9D3F38FF}"/>
              </c:ext>
            </c:extLst>
          </c:dPt>
          <c:val>
            <c:numRef>
              <c:f>'EM evol menusual lugar resd'!$I$119:$I$131</c:f>
              <c:numCache>
                <c:formatCode>0.00</c:formatCode>
                <c:ptCount val="13"/>
                <c:pt idx="0">
                  <c:v>3.9061371841155235</c:v>
                </c:pt>
                <c:pt idx="1">
                  <c:v>3.7969696969696969</c:v>
                </c:pt>
                <c:pt idx="2">
                  <c:v>3.5324675324675323</c:v>
                </c:pt>
                <c:pt idx="3">
                  <c:v>4.1937984496124034</c:v>
                </c:pt>
                <c:pt idx="4">
                  <c:v>3.6643356643356642</c:v>
                </c:pt>
                <c:pt idx="5">
                  <c:v>4.416666666666667</c:v>
                </c:pt>
                <c:pt idx="6">
                  <c:v>5.5609756097560972</c:v>
                </c:pt>
                <c:pt idx="7">
                  <c:v>4.4220183486238529</c:v>
                </c:pt>
                <c:pt idx="8">
                  <c:v>4.4294478527607364</c:v>
                </c:pt>
                <c:pt idx="9">
                  <c:v>3.862857142857143</c:v>
                </c:pt>
                <c:pt idx="10">
                  <c:v>3.5871212121212119</c:v>
                </c:pt>
                <c:pt idx="11">
                  <c:v>3.1287128712871288</c:v>
                </c:pt>
                <c:pt idx="12">
                  <c:v>3.8489388264669162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59C-47C4-9AE1-2CFA9D3F38FF}"/>
            </c:ext>
          </c:extLst>
        </c:ser>
        <c:ser>
          <c:idx val="0"/>
          <c:order val="2"/>
          <c:tx>
            <c:strRef>
              <c:f>'EM evol menusual lugar resd'!$K$117:$L$117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59C-47C4-9AE1-2CFA9D3F38FF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resd'!$K$119:$K$131</c:f>
              <c:numCache>
                <c:formatCode>0.00</c:formatCode>
                <c:ptCount val="13"/>
                <c:pt idx="0">
                  <c:v>4.534391534391534</c:v>
                </c:pt>
                <c:pt idx="1">
                  <c:v>4.2433090024330902</c:v>
                </c:pt>
                <c:pt idx="2">
                  <c:v>4.5290697674418601</c:v>
                </c:pt>
                <c:pt idx="3">
                  <c:v>4.4000000000000004</c:v>
                </c:pt>
                <c:pt idx="4">
                  <c:v>3.6912751677852347</c:v>
                </c:pt>
                <c:pt idx="5">
                  <c:v>4.112903225806452</c:v>
                </c:pt>
                <c:pt idx="6">
                  <c:v>2.7749999999999999</c:v>
                </c:pt>
                <c:pt idx="7">
                  <c:v>3.7320261437908497</c:v>
                </c:pt>
                <c:pt idx="8">
                  <c:v>4.6111111111111107</c:v>
                </c:pt>
                <c:pt idx="9">
                  <c:v>3.6555555555555554</c:v>
                </c:pt>
                <c:pt idx="10">
                  <c:v>3.0539568345323742</c:v>
                </c:pt>
                <c:pt idx="11">
                  <c:v>3.865203761755486</c:v>
                </c:pt>
                <c:pt idx="12">
                  <c:v>3.9989266547406084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59C-47C4-9AE1-2CFA9D3F38FF}"/>
            </c:ext>
          </c:extLst>
        </c:ser>
        <c:ser>
          <c:idx val="1"/>
          <c:order val="3"/>
          <c:tx>
            <c:strRef>
              <c:f>'EM evol menusual lugar resd'!$M$117:$N$117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A59C-47C4-9AE1-2CFA9D3F38F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A59C-47C4-9AE1-2CFA9D3F38FF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resd'!$M$119:$M$131</c:f>
              <c:numCache>
                <c:formatCode>0.00</c:formatCode>
                <c:ptCount val="13"/>
                <c:pt idx="0">
                  <c:v>3.3109619686800893</c:v>
                </c:pt>
                <c:pt idx="1">
                  <c:v>4.3813559322033901</c:v>
                </c:pt>
                <c:pt idx="2">
                  <c:v>4.2471910112359552</c:v>
                </c:pt>
                <c:pt idx="3">
                  <c:v>5.560483870967742</c:v>
                </c:pt>
                <c:pt idx="4">
                  <c:v>5.503759398496241</c:v>
                </c:pt>
                <c:pt idx="5">
                  <c:v>4.71</c:v>
                </c:pt>
                <c:pt idx="6">
                  <c:v>2.5705128205128207</c:v>
                </c:pt>
                <c:pt idx="7">
                  <c:v>4.6885245901639347</c:v>
                </c:pt>
                <c:pt idx="8">
                  <c:v>4.2195121951219514</c:v>
                </c:pt>
                <c:pt idx="12">
                  <c:v>4.2350845948352625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59C-47C4-9AE1-2CFA9D3F38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resd'!$N$118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59C-47C4-9AE1-2CFA9D3F38F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59C-47C4-9AE1-2CFA9D3F38F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59C-47C4-9AE1-2CFA9D3F38F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59C-47C4-9AE1-2CFA9D3F38F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59C-47C4-9AE1-2CFA9D3F38F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59C-47C4-9AE1-2CFA9D3F38F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59C-47C4-9AE1-2CFA9D3F38F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59C-47C4-9AE1-2CFA9D3F38F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59C-47C4-9AE1-2CFA9D3F38F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59C-47C4-9AE1-2CFA9D3F38F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59C-47C4-9AE1-2CFA9D3F38F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59C-47C4-9AE1-2CFA9D3F38F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59C-47C4-9AE1-2CFA9D3F38FF}"/>
              </c:ext>
            </c:extLst>
          </c:dPt>
          <c:cat>
            <c:strRef>
              <c:f>'EM evol menusual lugar resd'!$B$119:$B$130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resd'!$N$119:$N$131</c:f>
              <c:numCache>
                <c:formatCode>0.00</c:formatCode>
                <c:ptCount val="13"/>
                <c:pt idx="0">
                  <c:v>-1.2234295657114447</c:v>
                </c:pt>
                <c:pt idx="1">
                  <c:v>0.13804692977029998</c:v>
                </c:pt>
                <c:pt idx="2">
                  <c:v>-0.28187875620590486</c:v>
                </c:pt>
                <c:pt idx="3">
                  <c:v>1.1604838709677416</c:v>
                </c:pt>
                <c:pt idx="4">
                  <c:v>1.8124842307110063</c:v>
                </c:pt>
                <c:pt idx="5">
                  <c:v>0.59709677419354801</c:v>
                </c:pt>
                <c:pt idx="6">
                  <c:v>-0.2044871794871792</c:v>
                </c:pt>
                <c:pt idx="7">
                  <c:v>0.95649844637308501</c:v>
                </c:pt>
                <c:pt idx="8">
                  <c:v>-0.3915989159891593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5.4212444191060527E-2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A59C-47C4-9AE1-2CFA9D3F38FF}"/>
            </c:ext>
          </c:extLst>
        </c:ser>
        <c:ser>
          <c:idx val="4"/>
          <c:order val="5"/>
          <c:tx>
            <c:strRef>
              <c:f>'EM evol menusual lugar resd'!$O$118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resd'!$O$119:$O$131</c:f>
              <c:numCache>
                <c:formatCode>0.00</c:formatCode>
                <c:ptCount val="13"/>
                <c:pt idx="0">
                  <c:v>-0.73368088846276747</c:v>
                </c:pt>
                <c:pt idx="1">
                  <c:v>0.15884284319815478</c:v>
                </c:pt>
                <c:pt idx="2">
                  <c:v>0.46002884907379293</c:v>
                </c:pt>
                <c:pt idx="3">
                  <c:v>1.3122080088987769</c:v>
                </c:pt>
                <c:pt idx="4">
                  <c:v>2.9887893386160016</c:v>
                </c:pt>
                <c:pt idx="5">
                  <c:v>2.4341379310344826</c:v>
                </c:pt>
                <c:pt idx="6">
                  <c:v>7.8325320512820706E-2</c:v>
                </c:pt>
                <c:pt idx="7">
                  <c:v>2.0955013343499811</c:v>
                </c:pt>
                <c:pt idx="8">
                  <c:v>1.6024909185262066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0.70680405184883721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A59C-47C4-9AE1-2CFA9D3F38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6198377665"/>
          <c:y val="0.14880802061904425"/>
          <c:w val="0.85077925409699728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resd'!$C$139:$D$139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CFE-43DC-A76C-B286FF872E0B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resd'!$C$141:$C$153</c:f>
              <c:numCache>
                <c:formatCode>0.00</c:formatCode>
                <c:ptCount val="13"/>
                <c:pt idx="0">
                  <c:v>6.5210526315789474</c:v>
                </c:pt>
                <c:pt idx="1">
                  <c:v>6.0083857442348005</c:v>
                </c:pt>
                <c:pt idx="2">
                  <c:v>4.9601910828025479</c:v>
                </c:pt>
                <c:pt idx="3">
                  <c:v>5.7439024390243905</c:v>
                </c:pt>
                <c:pt idx="4">
                  <c:v>8.5589743589743588</c:v>
                </c:pt>
                <c:pt idx="5">
                  <c:v>3.8020833333333335</c:v>
                </c:pt>
                <c:pt idx="6">
                  <c:v>2.6704545454545454</c:v>
                </c:pt>
                <c:pt idx="7">
                  <c:v>3.9214285714285713</c:v>
                </c:pt>
                <c:pt idx="8">
                  <c:v>3.3072625698324023</c:v>
                </c:pt>
                <c:pt idx="9">
                  <c:v>4.2342569269521411</c:v>
                </c:pt>
                <c:pt idx="10">
                  <c:v>5.9776119402985071</c:v>
                </c:pt>
                <c:pt idx="11">
                  <c:v>5.9551451187335092</c:v>
                </c:pt>
                <c:pt idx="12">
                  <c:v>5.4714468629961583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CFE-43DC-A76C-B286FF872E0B}"/>
            </c:ext>
          </c:extLst>
        </c:ser>
        <c:ser>
          <c:idx val="5"/>
          <c:order val="2"/>
          <c:tx>
            <c:strRef>
              <c:f>'EM evol menusual lugar resd'!$I$139:$J$139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CFE-43DC-A76C-B286FF872E0B}"/>
              </c:ext>
            </c:extLst>
          </c:dPt>
          <c:val>
            <c:numRef>
              <c:f>'EM evol menusual lugar resd'!$I$141:$I$153</c:f>
              <c:numCache>
                <c:formatCode>0.00</c:formatCode>
                <c:ptCount val="13"/>
                <c:pt idx="0">
                  <c:v>5.7216828478964405</c:v>
                </c:pt>
                <c:pt idx="1">
                  <c:v>6.0282051282051281</c:v>
                </c:pt>
                <c:pt idx="2">
                  <c:v>5.8561484918793507</c:v>
                </c:pt>
                <c:pt idx="3">
                  <c:v>6.5965909090909092</c:v>
                </c:pt>
                <c:pt idx="4">
                  <c:v>7.4578947368421051</c:v>
                </c:pt>
                <c:pt idx="5">
                  <c:v>5.2280701754385968</c:v>
                </c:pt>
                <c:pt idx="6">
                  <c:v>6.9485294117647056</c:v>
                </c:pt>
                <c:pt idx="7">
                  <c:v>5.5595854922279795</c:v>
                </c:pt>
                <c:pt idx="8">
                  <c:v>6.1875</c:v>
                </c:pt>
                <c:pt idx="9">
                  <c:v>6.6477987421383649</c:v>
                </c:pt>
                <c:pt idx="10">
                  <c:v>5.9533169533169534</c:v>
                </c:pt>
                <c:pt idx="11">
                  <c:v>5.0775623268698062</c:v>
                </c:pt>
                <c:pt idx="12">
                  <c:v>6.0453762205628951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CFE-43DC-A76C-B286FF872E0B}"/>
            </c:ext>
          </c:extLst>
        </c:ser>
        <c:ser>
          <c:idx val="0"/>
          <c:order val="3"/>
          <c:tx>
            <c:strRef>
              <c:f>'EM evol menusual lugar resd'!$K$139:$L$139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CFE-43DC-A76C-B286FF872E0B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resd'!$K$141:$K$153</c:f>
              <c:numCache>
                <c:formatCode>0.00</c:formatCode>
                <c:ptCount val="13"/>
                <c:pt idx="0">
                  <c:v>5.8413043478260871</c:v>
                </c:pt>
                <c:pt idx="1">
                  <c:v>6.4454545454545453</c:v>
                </c:pt>
                <c:pt idx="2">
                  <c:v>6.64</c:v>
                </c:pt>
                <c:pt idx="3">
                  <c:v>6.6480446927374306</c:v>
                </c:pt>
                <c:pt idx="4">
                  <c:v>6.7712765957446805</c:v>
                </c:pt>
                <c:pt idx="5">
                  <c:v>6.4921875</c:v>
                </c:pt>
                <c:pt idx="6">
                  <c:v>3.9537037037037037</c:v>
                </c:pt>
                <c:pt idx="7">
                  <c:v>5.2212765957446807</c:v>
                </c:pt>
                <c:pt idx="8">
                  <c:v>5.801801801801802</c:v>
                </c:pt>
                <c:pt idx="9">
                  <c:v>5.7828947368421053</c:v>
                </c:pt>
                <c:pt idx="10">
                  <c:v>5.8276553106212425</c:v>
                </c:pt>
                <c:pt idx="11">
                  <c:v>4.8246445497630335</c:v>
                </c:pt>
                <c:pt idx="12">
                  <c:v>5.9357629785002626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CFE-43DC-A76C-B286FF872E0B}"/>
            </c:ext>
          </c:extLst>
        </c:ser>
        <c:ser>
          <c:idx val="1"/>
          <c:order val="4"/>
          <c:tx>
            <c:strRef>
              <c:f>'EM evol menusual lugar resd'!$M$139:$N$139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8CFE-43DC-A76C-B286FF872E0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8CFE-43DC-A76C-B286FF872E0B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resd'!$M$141:$M$153</c:f>
              <c:numCache>
                <c:formatCode>0.00</c:formatCode>
                <c:ptCount val="13"/>
                <c:pt idx="0">
                  <c:v>5.5225505443234839</c:v>
                </c:pt>
                <c:pt idx="1">
                  <c:v>5.8026070763500934</c:v>
                </c:pt>
                <c:pt idx="2">
                  <c:v>5.9575221238938054</c:v>
                </c:pt>
                <c:pt idx="3">
                  <c:v>6.6465517241379306</c:v>
                </c:pt>
                <c:pt idx="4">
                  <c:v>6.5785123966942152</c:v>
                </c:pt>
                <c:pt idx="5">
                  <c:v>6.5649350649350646</c:v>
                </c:pt>
                <c:pt idx="6">
                  <c:v>3.661290322580645</c:v>
                </c:pt>
                <c:pt idx="7">
                  <c:v>6.5260115606936413</c:v>
                </c:pt>
                <c:pt idx="8">
                  <c:v>5.8526785714285712</c:v>
                </c:pt>
                <c:pt idx="12">
                  <c:v>5.9279069767441861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8CFE-43DC-A76C-B286FF872E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6"/>
                <c:order val="1"/>
                <c:tx>
                  <c:strRef>
                    <c:extLst>
                      <c:ext uri="{02D57815-91ED-43cb-92C2-25804820EDAC}">
                        <c15:formulaRef>
                          <c15:sqref>'EM evol menusual lugar resd'!$G$139:$H$139</c15:sqref>
                        </c15:formulaRef>
                      </c:ext>
                    </c:extLst>
                    <c:strCache>
                      <c:ptCount val="1"/>
                      <c:pt idx="0">
                        <c:v>2021</c:v>
                      </c:pt>
                    </c:strCache>
                  </c:strRef>
                </c:tx>
                <c:spPr>
                  <a:ln w="25400" cap="rnd">
                    <a:solidFill>
                      <a:srgbClr val="0047BA">
                        <a:lumMod val="20000"/>
                        <a:lumOff val="80000"/>
                      </a:srgb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rgbClr val="0047BA">
                        <a:lumMod val="20000"/>
                        <a:lumOff val="80000"/>
                      </a:srgbClr>
                    </a:solidFill>
                    <a:ln w="9525"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  <a:ln w="9525">
                        <a:solidFill>
                          <a:srgbClr val="0047BA">
                            <a:lumMod val="20000"/>
                            <a:lumOff val="80000"/>
                          </a:srgbClr>
                        </a:solidFill>
                      </a:ln>
                      <a:effectLst/>
                    </c:spPr>
                  </c:marker>
                  <c:bubble3D val="0"/>
                  <c:spPr>
                    <a:ln w="25400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E-8CFE-43DC-A76C-B286FF872E0B}"/>
                    </c:ext>
                  </c:extLst>
                </c:dPt>
                <c:val>
                  <c:numRef>
                    <c:extLst>
                      <c:ext uri="{02D57815-91ED-43cb-92C2-25804820EDAC}">
                        <c15:formulaRef>
                          <c15:sqref>('EM evol menusual lugar resd'!$G$141:$G$152,'EM evol menusual lugar resd'!$G$153)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5.7640449438202248</c:v>
                      </c:pt>
                      <c:pt idx="1">
                        <c:v>6.0217391304347823</c:v>
                      </c:pt>
                      <c:pt idx="2">
                        <c:v>4.9820359281437128</c:v>
                      </c:pt>
                      <c:pt idx="3">
                        <c:v>6.3734939759036147</c:v>
                      </c:pt>
                      <c:pt idx="4">
                        <c:v>4.7459016393442619</c:v>
                      </c:pt>
                      <c:pt idx="5">
                        <c:v>8.3490566037735849</c:v>
                      </c:pt>
                      <c:pt idx="6">
                        <c:v>7.1333333333333337</c:v>
                      </c:pt>
                      <c:pt idx="7">
                        <c:v>6.527093596059113</c:v>
                      </c:pt>
                      <c:pt idx="8">
                        <c:v>6.3711340206185563</c:v>
                      </c:pt>
                      <c:pt idx="9">
                        <c:v>8.5621890547263675</c:v>
                      </c:pt>
                      <c:pt idx="10">
                        <c:v>5.795309168443497</c:v>
                      </c:pt>
                      <c:pt idx="11">
                        <c:v>5.5287356321839081</c:v>
                      </c:pt>
                      <c:pt idx="12">
                        <c:v>6.4271398747390398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F-8CFE-43DC-A76C-B286FF872E0B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5"/>
          <c:tx>
            <c:strRef>
              <c:f>'EM evol menusual lugar resd'!$N$140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CFE-43DC-A76C-B286FF872E0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CFE-43DC-A76C-B286FF872E0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CFE-43DC-A76C-B286FF872E0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CFE-43DC-A76C-B286FF872E0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CFE-43DC-A76C-B286FF872E0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CFE-43DC-A76C-B286FF872E0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CFE-43DC-A76C-B286FF872E0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CFE-43DC-A76C-B286FF872E0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CFE-43DC-A76C-B286FF872E0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CFE-43DC-A76C-B286FF872E0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CFE-43DC-A76C-B286FF872E0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CFE-43DC-A76C-B286FF872E0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CFE-43DC-A76C-B286FF872E0B}"/>
              </c:ext>
            </c:extLst>
          </c:dPt>
          <c:cat>
            <c:strRef>
              <c:f>'EM evol menusual lugar resd'!$B$141:$B$152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resd'!$N$141:$N$153</c:f>
              <c:numCache>
                <c:formatCode>0.00</c:formatCode>
                <c:ptCount val="13"/>
                <c:pt idx="0">
                  <c:v>-0.31875380350260318</c:v>
                </c:pt>
                <c:pt idx="1">
                  <c:v>-0.6428474691044519</c:v>
                </c:pt>
                <c:pt idx="2">
                  <c:v>-0.68247787610619426</c:v>
                </c:pt>
                <c:pt idx="3">
                  <c:v>-1.4929685994999886E-3</c:v>
                </c:pt>
                <c:pt idx="4">
                  <c:v>-0.19276419905046538</c:v>
                </c:pt>
                <c:pt idx="5">
                  <c:v>7.2747564935064624E-2</c:v>
                </c:pt>
                <c:pt idx="6">
                  <c:v>-0.2924133811230587</c:v>
                </c:pt>
                <c:pt idx="7">
                  <c:v>1.3047349649489606</c:v>
                </c:pt>
                <c:pt idx="8">
                  <c:v>5.0876769626769125E-2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-0.22775157868261964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8CFE-43DC-A76C-B286FF872E0B}"/>
            </c:ext>
          </c:extLst>
        </c:ser>
        <c:ser>
          <c:idx val="4"/>
          <c:order val="6"/>
          <c:tx>
            <c:strRef>
              <c:f>'EM evol menusual lugar resd'!$O$140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resd'!$O$141:$O$153</c:f>
              <c:numCache>
                <c:formatCode>0.00</c:formatCode>
                <c:ptCount val="13"/>
                <c:pt idx="0">
                  <c:v>-0.99850208725546352</c:v>
                </c:pt>
                <c:pt idx="1">
                  <c:v>-0.20577866788470711</c:v>
                </c:pt>
                <c:pt idx="2">
                  <c:v>0.99733104109125748</c:v>
                </c:pt>
                <c:pt idx="3">
                  <c:v>0.90264928511354015</c:v>
                </c:pt>
                <c:pt idx="4">
                  <c:v>-1.9804619622801436</c:v>
                </c:pt>
                <c:pt idx="5">
                  <c:v>2.7628517316017311</c:v>
                </c:pt>
                <c:pt idx="6">
                  <c:v>0.9908357771260996</c:v>
                </c:pt>
                <c:pt idx="7">
                  <c:v>2.60458298926507</c:v>
                </c:pt>
                <c:pt idx="8">
                  <c:v>2.5454160015961689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0.44236898985641115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8CFE-43DC-A76C-B286FF872E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resd'!$C$161:$D$161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A50-43F7-90DD-985289A76A3E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resd'!$C$163:$C$175</c:f>
              <c:numCache>
                <c:formatCode>0.00</c:formatCode>
                <c:ptCount val="13"/>
                <c:pt idx="0">
                  <c:v>1.9512195121951219</c:v>
                </c:pt>
                <c:pt idx="1">
                  <c:v>2.8468468468468466</c:v>
                </c:pt>
                <c:pt idx="2">
                  <c:v>2.3513513513513513</c:v>
                </c:pt>
                <c:pt idx="3">
                  <c:v>2.2630136986301368</c:v>
                </c:pt>
                <c:pt idx="4">
                  <c:v>2.2274143302180685</c:v>
                </c:pt>
                <c:pt idx="5">
                  <c:v>2.3442622950819674</c:v>
                </c:pt>
                <c:pt idx="6">
                  <c:v>2.6995073891625614</c:v>
                </c:pt>
                <c:pt idx="7">
                  <c:v>1.9026315789473685</c:v>
                </c:pt>
                <c:pt idx="8">
                  <c:v>2.3886255924170614</c:v>
                </c:pt>
                <c:pt idx="9">
                  <c:v>1.9392097264437691</c:v>
                </c:pt>
                <c:pt idx="10">
                  <c:v>1.9232804232804233</c:v>
                </c:pt>
                <c:pt idx="11">
                  <c:v>2.470414201183432</c:v>
                </c:pt>
                <c:pt idx="12">
                  <c:v>2.2462376751427087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A50-43F7-90DD-985289A76A3E}"/>
            </c:ext>
          </c:extLst>
        </c:ser>
        <c:ser>
          <c:idx val="5"/>
          <c:order val="1"/>
          <c:tx>
            <c:strRef>
              <c:f>'EM evol menusual lugar resd'!$I$161:$J$161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A50-43F7-90DD-985289A76A3E}"/>
              </c:ext>
            </c:extLst>
          </c:dPt>
          <c:val>
            <c:numRef>
              <c:f>'EM evol menusual lugar resd'!$I$163:$I$175</c:f>
              <c:numCache>
                <c:formatCode>0.00</c:formatCode>
                <c:ptCount val="13"/>
                <c:pt idx="0">
                  <c:v>2.3723076923076922</c:v>
                </c:pt>
                <c:pt idx="1">
                  <c:v>2.2242268041237114</c:v>
                </c:pt>
                <c:pt idx="2">
                  <c:v>2.4673629242819843</c:v>
                </c:pt>
                <c:pt idx="3">
                  <c:v>2.6418439716312059</c:v>
                </c:pt>
                <c:pt idx="4">
                  <c:v>2.0501792114695339</c:v>
                </c:pt>
                <c:pt idx="5">
                  <c:v>2.278688524590164</c:v>
                </c:pt>
                <c:pt idx="6">
                  <c:v>2.9</c:v>
                </c:pt>
                <c:pt idx="7">
                  <c:v>2.0975609756097562</c:v>
                </c:pt>
                <c:pt idx="8">
                  <c:v>2.5324675324675323</c:v>
                </c:pt>
                <c:pt idx="9">
                  <c:v>2.1704035874439462</c:v>
                </c:pt>
                <c:pt idx="10">
                  <c:v>2.3391003460207611</c:v>
                </c:pt>
                <c:pt idx="11">
                  <c:v>2.0084033613445378</c:v>
                </c:pt>
                <c:pt idx="12">
                  <c:v>2.3097889800703402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A50-43F7-90DD-985289A76A3E}"/>
            </c:ext>
          </c:extLst>
        </c:ser>
        <c:ser>
          <c:idx val="0"/>
          <c:order val="2"/>
          <c:tx>
            <c:strRef>
              <c:f>'EM evol menusual lugar resd'!$K$161:$L$161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A50-43F7-90DD-985289A76A3E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resd'!$K$163:$K$175</c:f>
              <c:numCache>
                <c:formatCode>0.00</c:formatCode>
                <c:ptCount val="13"/>
                <c:pt idx="0">
                  <c:v>2.0614754098360657</c:v>
                </c:pt>
                <c:pt idx="1">
                  <c:v>2.5348258706467663</c:v>
                </c:pt>
                <c:pt idx="2">
                  <c:v>2.4316239316239314</c:v>
                </c:pt>
                <c:pt idx="3">
                  <c:v>2.1666666666666665</c:v>
                </c:pt>
                <c:pt idx="4">
                  <c:v>2.3689320388349513</c:v>
                </c:pt>
                <c:pt idx="5">
                  <c:v>2.4933333333333332</c:v>
                </c:pt>
                <c:pt idx="6">
                  <c:v>2.0376344086021505</c:v>
                </c:pt>
                <c:pt idx="7">
                  <c:v>2.2378048780487805</c:v>
                </c:pt>
                <c:pt idx="8">
                  <c:v>2.3365384615384617</c:v>
                </c:pt>
                <c:pt idx="9">
                  <c:v>1.9482758620689655</c:v>
                </c:pt>
                <c:pt idx="10">
                  <c:v>2.5221238938053099</c:v>
                </c:pt>
                <c:pt idx="11">
                  <c:v>2.2335526315789473</c:v>
                </c:pt>
                <c:pt idx="12">
                  <c:v>2.2913770913770914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A50-43F7-90DD-985289A76A3E}"/>
            </c:ext>
          </c:extLst>
        </c:ser>
        <c:ser>
          <c:idx val="1"/>
          <c:order val="3"/>
          <c:tx>
            <c:strRef>
              <c:f>'EM evol menusual lugar resd'!$M$161:$N$161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9A50-43F7-90DD-985289A76A3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9A50-43F7-90DD-985289A76A3E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resd'!$M$163:$M$175</c:f>
              <c:numCache>
                <c:formatCode>0.00</c:formatCode>
                <c:ptCount val="13"/>
                <c:pt idx="0">
                  <c:v>2.5740259740259739</c:v>
                </c:pt>
                <c:pt idx="1">
                  <c:v>2.6754385964912282</c:v>
                </c:pt>
                <c:pt idx="2">
                  <c:v>2.6632653061224492</c:v>
                </c:pt>
                <c:pt idx="3">
                  <c:v>2.4542772861356932</c:v>
                </c:pt>
                <c:pt idx="4">
                  <c:v>2.9319727891156462</c:v>
                </c:pt>
                <c:pt idx="5">
                  <c:v>3.6101694915254239</c:v>
                </c:pt>
                <c:pt idx="6">
                  <c:v>3.2391304347826089</c:v>
                </c:pt>
                <c:pt idx="7">
                  <c:v>2.9610778443113772</c:v>
                </c:pt>
                <c:pt idx="8">
                  <c:v>2.7697368421052633</c:v>
                </c:pt>
                <c:pt idx="12">
                  <c:v>2.776889534883721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A50-43F7-90DD-985289A76A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resd'!$N$162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A50-43F7-90DD-985289A76A3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A50-43F7-90DD-985289A76A3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A50-43F7-90DD-985289A76A3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A50-43F7-90DD-985289A76A3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A50-43F7-90DD-985289A76A3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A50-43F7-90DD-985289A76A3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A50-43F7-90DD-985289A76A3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A50-43F7-90DD-985289A76A3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A50-43F7-90DD-985289A76A3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A50-43F7-90DD-985289A76A3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A50-43F7-90DD-985289A76A3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A50-43F7-90DD-985289A76A3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A50-43F7-90DD-985289A76A3E}"/>
              </c:ext>
            </c:extLst>
          </c:dPt>
          <c:cat>
            <c:strRef>
              <c:f>'EM evol menusual lugar resd'!$B$163:$B$174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resd'!$N$163:$N$175</c:f>
              <c:numCache>
                <c:formatCode>0.00</c:formatCode>
                <c:ptCount val="13"/>
                <c:pt idx="0">
                  <c:v>0.51255056418990819</c:v>
                </c:pt>
                <c:pt idx="1">
                  <c:v>0.14061272584446183</c:v>
                </c:pt>
                <c:pt idx="2">
                  <c:v>0.23164137449851774</c:v>
                </c:pt>
                <c:pt idx="3">
                  <c:v>0.28761061946902666</c:v>
                </c:pt>
                <c:pt idx="4">
                  <c:v>0.56304075028069489</c:v>
                </c:pt>
                <c:pt idx="5">
                  <c:v>1.1168361581920907</c:v>
                </c:pt>
                <c:pt idx="6">
                  <c:v>1.2014960261804584</c:v>
                </c:pt>
                <c:pt idx="7">
                  <c:v>0.72327296626259674</c:v>
                </c:pt>
                <c:pt idx="8">
                  <c:v>0.4331983805668016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0.48101070430957504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9A50-43F7-90DD-985289A76A3E}"/>
            </c:ext>
          </c:extLst>
        </c:ser>
        <c:ser>
          <c:idx val="4"/>
          <c:order val="5"/>
          <c:tx>
            <c:strRef>
              <c:f>'EM evol menusual lugar resd'!$O$162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resd'!$O$163:$O$175</c:f>
              <c:numCache>
                <c:formatCode>0.00</c:formatCode>
                <c:ptCount val="13"/>
                <c:pt idx="0">
                  <c:v>0.62280646183085198</c:v>
                </c:pt>
                <c:pt idx="1">
                  <c:v>-0.17140825035561846</c:v>
                </c:pt>
                <c:pt idx="2">
                  <c:v>0.31191395477109785</c:v>
                </c:pt>
                <c:pt idx="3">
                  <c:v>0.19126358750555639</c:v>
                </c:pt>
                <c:pt idx="4">
                  <c:v>0.70455845889757773</c:v>
                </c:pt>
                <c:pt idx="5">
                  <c:v>1.2659071964434565</c:v>
                </c:pt>
                <c:pt idx="6">
                  <c:v>0.53962304562004748</c:v>
                </c:pt>
                <c:pt idx="7">
                  <c:v>1.0584462653640088</c:v>
                </c:pt>
                <c:pt idx="8">
                  <c:v>0.38111124968820187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0.47820672961494193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9A50-43F7-90DD-985289A76A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resd'!$C$183:$D$183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2AF-418F-87A8-FF3C38E8747A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resd'!$C$185:$C$197</c:f>
              <c:numCache>
                <c:formatCode>0.00</c:formatCode>
                <c:ptCount val="13"/>
                <c:pt idx="0">
                  <c:v>2.5810810810810811</c:v>
                </c:pt>
                <c:pt idx="1">
                  <c:v>3</c:v>
                </c:pt>
                <c:pt idx="2">
                  <c:v>3.8360655737704916</c:v>
                </c:pt>
                <c:pt idx="3">
                  <c:v>2.5319148936170213</c:v>
                </c:pt>
                <c:pt idx="4">
                  <c:v>4.2105263157894735</c:v>
                </c:pt>
                <c:pt idx="5">
                  <c:v>1.9090909090909092</c:v>
                </c:pt>
                <c:pt idx="6">
                  <c:v>1.6538461538461537</c:v>
                </c:pt>
                <c:pt idx="7">
                  <c:v>1.8181818181818181</c:v>
                </c:pt>
                <c:pt idx="8">
                  <c:v>1.5</c:v>
                </c:pt>
                <c:pt idx="9">
                  <c:v>2.074074074074074</c:v>
                </c:pt>
                <c:pt idx="10">
                  <c:v>1.5316455696202531</c:v>
                </c:pt>
                <c:pt idx="11">
                  <c:v>2.85</c:v>
                </c:pt>
                <c:pt idx="12">
                  <c:v>2.5009633911368017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2AF-418F-87A8-FF3C38E8747A}"/>
            </c:ext>
          </c:extLst>
        </c:ser>
        <c:ser>
          <c:idx val="5"/>
          <c:order val="1"/>
          <c:tx>
            <c:strRef>
              <c:f>'EM evol menusual lugar resd'!$I$183:$J$183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2AF-418F-87A8-FF3C38E8747A}"/>
              </c:ext>
            </c:extLst>
          </c:dPt>
          <c:val>
            <c:numRef>
              <c:f>'EM evol menusual lugar resd'!$I$185:$I$197</c:f>
              <c:numCache>
                <c:formatCode>0.00</c:formatCode>
                <c:ptCount val="13"/>
                <c:pt idx="0">
                  <c:v>2.6404494382022472</c:v>
                </c:pt>
                <c:pt idx="1">
                  <c:v>2.925925925925926</c:v>
                </c:pt>
                <c:pt idx="2">
                  <c:v>3.3624999999999998</c:v>
                </c:pt>
                <c:pt idx="3">
                  <c:v>2.6166666666666667</c:v>
                </c:pt>
                <c:pt idx="4">
                  <c:v>3.25</c:v>
                </c:pt>
                <c:pt idx="5">
                  <c:v>2.2580645161290325</c:v>
                </c:pt>
                <c:pt idx="6">
                  <c:v>3.4262295081967213</c:v>
                </c:pt>
                <c:pt idx="7">
                  <c:v>2.406779661016949</c:v>
                </c:pt>
                <c:pt idx="8">
                  <c:v>3.9</c:v>
                </c:pt>
                <c:pt idx="9">
                  <c:v>2.2432432432432434</c:v>
                </c:pt>
                <c:pt idx="10">
                  <c:v>2.2428571428571429</c:v>
                </c:pt>
                <c:pt idx="11">
                  <c:v>2.1538461538461537</c:v>
                </c:pt>
                <c:pt idx="12">
                  <c:v>2.774193548387097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2AF-418F-87A8-FF3C38E8747A}"/>
            </c:ext>
          </c:extLst>
        </c:ser>
        <c:ser>
          <c:idx val="0"/>
          <c:order val="2"/>
          <c:tx>
            <c:strRef>
              <c:f>'EM evol menusual lugar resd'!$K$183:$L$183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2AF-418F-87A8-FF3C38E8747A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resd'!$K$185:$K$197</c:f>
              <c:numCache>
                <c:formatCode>0.00</c:formatCode>
                <c:ptCount val="13"/>
                <c:pt idx="0">
                  <c:v>2.5185185185185186</c:v>
                </c:pt>
                <c:pt idx="1">
                  <c:v>3</c:v>
                </c:pt>
                <c:pt idx="2">
                  <c:v>4.253521126760563</c:v>
                </c:pt>
                <c:pt idx="3">
                  <c:v>2.5909090909090908</c:v>
                </c:pt>
                <c:pt idx="4">
                  <c:v>2.59375</c:v>
                </c:pt>
                <c:pt idx="5">
                  <c:v>2.28125</c:v>
                </c:pt>
                <c:pt idx="6">
                  <c:v>2.5813953488372094</c:v>
                </c:pt>
                <c:pt idx="7">
                  <c:v>2.3877551020408165</c:v>
                </c:pt>
                <c:pt idx="8">
                  <c:v>2.9268292682926829</c:v>
                </c:pt>
                <c:pt idx="9">
                  <c:v>2.9</c:v>
                </c:pt>
                <c:pt idx="10">
                  <c:v>2.961904761904762</c:v>
                </c:pt>
                <c:pt idx="11">
                  <c:v>2.0506329113924049</c:v>
                </c:pt>
                <c:pt idx="12">
                  <c:v>2.7876923076923079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2AF-418F-87A8-FF3C38E8747A}"/>
            </c:ext>
          </c:extLst>
        </c:ser>
        <c:ser>
          <c:idx val="1"/>
          <c:order val="3"/>
          <c:tx>
            <c:strRef>
              <c:f>'EM evol menusual lugar resd'!$M$183:$N$183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D2AF-418F-87A8-FF3C38E8747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D2AF-418F-87A8-FF3C38E8747A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resd'!$M$185:$M$197</c:f>
              <c:numCache>
                <c:formatCode>0.00</c:formatCode>
                <c:ptCount val="13"/>
                <c:pt idx="0">
                  <c:v>2.2865497076023393</c:v>
                </c:pt>
                <c:pt idx="1">
                  <c:v>3.2736842105263158</c:v>
                </c:pt>
                <c:pt idx="2">
                  <c:v>3.043010752688172</c:v>
                </c:pt>
                <c:pt idx="3">
                  <c:v>2.6896551724137931</c:v>
                </c:pt>
                <c:pt idx="4">
                  <c:v>1.346938775510204</c:v>
                </c:pt>
                <c:pt idx="5">
                  <c:v>2.8947368421052633</c:v>
                </c:pt>
                <c:pt idx="6">
                  <c:v>2.36</c:v>
                </c:pt>
                <c:pt idx="7">
                  <c:v>2.3050847457627119</c:v>
                </c:pt>
                <c:pt idx="8">
                  <c:v>3.8536585365853657</c:v>
                </c:pt>
                <c:pt idx="12">
                  <c:v>2.6494522691705789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2AF-418F-87A8-FF3C38E874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resd'!$N$184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2AF-418F-87A8-FF3C38E8747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2AF-418F-87A8-FF3C38E8747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2AF-418F-87A8-FF3C38E8747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2AF-418F-87A8-FF3C38E8747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2AF-418F-87A8-FF3C38E8747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2AF-418F-87A8-FF3C38E8747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2AF-418F-87A8-FF3C38E8747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2AF-418F-87A8-FF3C38E8747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2AF-418F-87A8-FF3C38E8747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2AF-418F-87A8-FF3C38E8747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2AF-418F-87A8-FF3C38E8747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2AF-418F-87A8-FF3C38E8747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2AF-418F-87A8-FF3C38E8747A}"/>
              </c:ext>
            </c:extLst>
          </c:dPt>
          <c:cat>
            <c:strRef>
              <c:f>'EM evol menusual lugar resd'!$B$185:$B$196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resd'!$N$185:$N$197</c:f>
              <c:numCache>
                <c:formatCode>0.00</c:formatCode>
                <c:ptCount val="13"/>
                <c:pt idx="0">
                  <c:v>-0.23196881091617927</c:v>
                </c:pt>
                <c:pt idx="1">
                  <c:v>0.27368421052631575</c:v>
                </c:pt>
                <c:pt idx="2">
                  <c:v>-1.210510374072391</c:v>
                </c:pt>
                <c:pt idx="3">
                  <c:v>9.8746081504702321E-2</c:v>
                </c:pt>
                <c:pt idx="4">
                  <c:v>-1.246811224489796</c:v>
                </c:pt>
                <c:pt idx="5">
                  <c:v>0.61348684210526327</c:v>
                </c:pt>
                <c:pt idx="6">
                  <c:v>-0.22139534883720957</c:v>
                </c:pt>
                <c:pt idx="7">
                  <c:v>-8.2670356278104595E-2</c:v>
                </c:pt>
                <c:pt idx="8">
                  <c:v>0.92682926829268286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-0.22143974960876367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D2AF-418F-87A8-FF3C38E8747A}"/>
            </c:ext>
          </c:extLst>
        </c:ser>
        <c:ser>
          <c:idx val="4"/>
          <c:order val="5"/>
          <c:tx>
            <c:strRef>
              <c:f>'EM evol menusual lugar resd'!$O$184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resd'!$O$185:$O$197</c:f>
              <c:numCache>
                <c:formatCode>0.00</c:formatCode>
                <c:ptCount val="13"/>
                <c:pt idx="0">
                  <c:v>-0.29453137347874181</c:v>
                </c:pt>
                <c:pt idx="1">
                  <c:v>0.27368421052631575</c:v>
                </c:pt>
                <c:pt idx="2">
                  <c:v>-0.79305482108231962</c:v>
                </c:pt>
                <c:pt idx="3">
                  <c:v>0.15774027879677188</c:v>
                </c:pt>
                <c:pt idx="4">
                  <c:v>-2.8635875402792692</c:v>
                </c:pt>
                <c:pt idx="5">
                  <c:v>0.9856459330143541</c:v>
                </c:pt>
                <c:pt idx="6">
                  <c:v>0.70615384615384613</c:v>
                </c:pt>
                <c:pt idx="7">
                  <c:v>0.48690292758089382</c:v>
                </c:pt>
                <c:pt idx="8">
                  <c:v>2.3536585365853657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-5.0279634314675636E-2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D2AF-418F-87A8-FF3C38E874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resd'!$C$205:$D$205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076-4D52-9409-680C08B2C83E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resd'!$C$207:$C$219</c:f>
              <c:numCache>
                <c:formatCode>0.00</c:formatCode>
                <c:ptCount val="13"/>
                <c:pt idx="0">
                  <c:v>3.4125000000000001</c:v>
                </c:pt>
                <c:pt idx="1">
                  <c:v>4.395833333333333</c:v>
                </c:pt>
                <c:pt idx="2">
                  <c:v>2.6666666666666665</c:v>
                </c:pt>
                <c:pt idx="3">
                  <c:v>4</c:v>
                </c:pt>
                <c:pt idx="4">
                  <c:v>3.161290322580645</c:v>
                </c:pt>
                <c:pt idx="5">
                  <c:v>5.03125</c:v>
                </c:pt>
                <c:pt idx="6">
                  <c:v>3.6</c:v>
                </c:pt>
                <c:pt idx="7">
                  <c:v>7.6578947368421053</c:v>
                </c:pt>
                <c:pt idx="8">
                  <c:v>4</c:v>
                </c:pt>
                <c:pt idx="9">
                  <c:v>3.4225352112676055</c:v>
                </c:pt>
                <c:pt idx="10">
                  <c:v>2.0754716981132075</c:v>
                </c:pt>
                <c:pt idx="11">
                  <c:v>2.4624999999999999</c:v>
                </c:pt>
                <c:pt idx="12">
                  <c:v>3.4191702432045781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076-4D52-9409-680C08B2C83E}"/>
            </c:ext>
          </c:extLst>
        </c:ser>
        <c:ser>
          <c:idx val="5"/>
          <c:order val="1"/>
          <c:tx>
            <c:strRef>
              <c:f>'EM evol menusual lugar resd'!$I$205:$J$205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076-4D52-9409-680C08B2C83E}"/>
              </c:ext>
            </c:extLst>
          </c:dPt>
          <c:val>
            <c:numRef>
              <c:f>'EM evol menusual lugar resd'!$I$207:$I$219</c:f>
              <c:numCache>
                <c:formatCode>0.00</c:formatCode>
                <c:ptCount val="13"/>
                <c:pt idx="0">
                  <c:v>3.8759689922480618</c:v>
                </c:pt>
                <c:pt idx="1">
                  <c:v>3.2136752136752138</c:v>
                </c:pt>
                <c:pt idx="2">
                  <c:v>2.9935897435897436</c:v>
                </c:pt>
                <c:pt idx="3">
                  <c:v>3.8653846153846154</c:v>
                </c:pt>
                <c:pt idx="4">
                  <c:v>4.5925925925925926</c:v>
                </c:pt>
                <c:pt idx="5">
                  <c:v>5.2705882352941176</c:v>
                </c:pt>
                <c:pt idx="6">
                  <c:v>3.6904761904761907</c:v>
                </c:pt>
                <c:pt idx="7">
                  <c:v>3.6132075471698113</c:v>
                </c:pt>
                <c:pt idx="8">
                  <c:v>5.0454545454545459</c:v>
                </c:pt>
                <c:pt idx="9">
                  <c:v>6.3611111111111107</c:v>
                </c:pt>
                <c:pt idx="10">
                  <c:v>7.666666666666667</c:v>
                </c:pt>
                <c:pt idx="11">
                  <c:v>3.0909090909090908</c:v>
                </c:pt>
                <c:pt idx="12">
                  <c:v>4.25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076-4D52-9409-680C08B2C83E}"/>
            </c:ext>
          </c:extLst>
        </c:ser>
        <c:ser>
          <c:idx val="0"/>
          <c:order val="2"/>
          <c:tx>
            <c:strRef>
              <c:f>'EM evol menusual lugar resd'!$K$205:$L$205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076-4D52-9409-680C08B2C83E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resd'!$K$207:$K$219</c:f>
              <c:numCache>
                <c:formatCode>0.00</c:formatCode>
                <c:ptCount val="13"/>
                <c:pt idx="0">
                  <c:v>4.2846715328467155</c:v>
                </c:pt>
                <c:pt idx="1">
                  <c:v>4.5227272727272725</c:v>
                </c:pt>
                <c:pt idx="2">
                  <c:v>3.8451612903225807</c:v>
                </c:pt>
                <c:pt idx="3">
                  <c:v>2.9874999999999998</c:v>
                </c:pt>
                <c:pt idx="4">
                  <c:v>4.8780487804878048</c:v>
                </c:pt>
                <c:pt idx="5">
                  <c:v>4.2333333333333334</c:v>
                </c:pt>
                <c:pt idx="6">
                  <c:v>4.6315789473684212</c:v>
                </c:pt>
                <c:pt idx="7">
                  <c:v>3.3260869565217392</c:v>
                </c:pt>
                <c:pt idx="8">
                  <c:v>6.258064516129032</c:v>
                </c:pt>
                <c:pt idx="9">
                  <c:v>4.092307692307692</c:v>
                </c:pt>
                <c:pt idx="10">
                  <c:v>2.8245614035087718</c:v>
                </c:pt>
                <c:pt idx="11">
                  <c:v>3.2300884955752212</c:v>
                </c:pt>
                <c:pt idx="12">
                  <c:v>3.8624733475479744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076-4D52-9409-680C08B2C83E}"/>
            </c:ext>
          </c:extLst>
        </c:ser>
        <c:ser>
          <c:idx val="1"/>
          <c:order val="3"/>
          <c:tx>
            <c:strRef>
              <c:f>'EM evol menusual lugar resd'!$M$205:$N$205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8076-4D52-9409-680C08B2C83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8076-4D52-9409-680C08B2C83E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resd'!$M$207:$M$219</c:f>
              <c:numCache>
                <c:formatCode>0.00</c:formatCode>
                <c:ptCount val="13"/>
                <c:pt idx="0">
                  <c:v>4.0129870129870131</c:v>
                </c:pt>
                <c:pt idx="1">
                  <c:v>3.5890410958904111</c:v>
                </c:pt>
                <c:pt idx="2">
                  <c:v>3.3227848101265822</c:v>
                </c:pt>
                <c:pt idx="3">
                  <c:v>7.709677419354839</c:v>
                </c:pt>
                <c:pt idx="4">
                  <c:v>5.4523809523809526</c:v>
                </c:pt>
                <c:pt idx="5">
                  <c:v>8.7222222222222214</c:v>
                </c:pt>
                <c:pt idx="6">
                  <c:v>4.6206896551724137</c:v>
                </c:pt>
                <c:pt idx="7">
                  <c:v>5.0930232558139537</c:v>
                </c:pt>
                <c:pt idx="8">
                  <c:v>3.903225806451613</c:v>
                </c:pt>
                <c:pt idx="12">
                  <c:v>4.5106990014265333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8076-4D52-9409-680C08B2C8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resd'!$N$206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076-4D52-9409-680C08B2C83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076-4D52-9409-680C08B2C83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076-4D52-9409-680C08B2C83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076-4D52-9409-680C08B2C83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076-4D52-9409-680C08B2C83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076-4D52-9409-680C08B2C83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076-4D52-9409-680C08B2C83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076-4D52-9409-680C08B2C83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076-4D52-9409-680C08B2C83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076-4D52-9409-680C08B2C83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076-4D52-9409-680C08B2C83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076-4D52-9409-680C08B2C83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076-4D52-9409-680C08B2C83E}"/>
              </c:ext>
            </c:extLst>
          </c:dPt>
          <c:cat>
            <c:strRef>
              <c:f>'EM evol menusual lugar resd'!$B$207:$B$218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resd'!$N$207:$N$219</c:f>
              <c:numCache>
                <c:formatCode>0.00</c:formatCode>
                <c:ptCount val="13"/>
                <c:pt idx="0">
                  <c:v>-0.27168451985970243</c:v>
                </c:pt>
                <c:pt idx="1">
                  <c:v>-0.93368617683686139</c:v>
                </c:pt>
                <c:pt idx="2">
                  <c:v>-0.52237648019599847</c:v>
                </c:pt>
                <c:pt idx="3">
                  <c:v>4.7221774193548391</c:v>
                </c:pt>
                <c:pt idx="4">
                  <c:v>0.57433217189314778</c:v>
                </c:pt>
                <c:pt idx="5">
                  <c:v>4.488888888888888</c:v>
                </c:pt>
                <c:pt idx="6">
                  <c:v>-1.0889292196007538E-2</c:v>
                </c:pt>
                <c:pt idx="7">
                  <c:v>1.7669362992922144</c:v>
                </c:pt>
                <c:pt idx="8">
                  <c:v>-2.354838709677419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0.37757206644201347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8076-4D52-9409-680C08B2C83E}"/>
            </c:ext>
          </c:extLst>
        </c:ser>
        <c:ser>
          <c:idx val="4"/>
          <c:order val="5"/>
          <c:tx>
            <c:strRef>
              <c:f>'EM evol menusual lugar resd'!$O$206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resd'!$O$207:$O$219</c:f>
              <c:numCache>
                <c:formatCode>0.00</c:formatCode>
                <c:ptCount val="13"/>
                <c:pt idx="0">
                  <c:v>0.60048701298701301</c:v>
                </c:pt>
                <c:pt idx="1">
                  <c:v>-0.80679223744292194</c:v>
                </c:pt>
                <c:pt idx="2">
                  <c:v>0.6561181434599157</c:v>
                </c:pt>
                <c:pt idx="3">
                  <c:v>3.709677419354839</c:v>
                </c:pt>
                <c:pt idx="4">
                  <c:v>2.2910906298003075</c:v>
                </c:pt>
                <c:pt idx="5">
                  <c:v>3.6909722222222214</c:v>
                </c:pt>
                <c:pt idx="6">
                  <c:v>1.0206896551724136</c:v>
                </c:pt>
                <c:pt idx="7">
                  <c:v>-2.5648714810281517</c:v>
                </c:pt>
                <c:pt idx="8">
                  <c:v>-9.6774193548387011E-2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0.59667185210526652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8076-4D52-9409-680C08B2C8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resd'!$C$227:$D$227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6E3-43D5-BA85-47C4D258CD21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resd'!$C$229:$C$241</c:f>
              <c:numCache>
                <c:formatCode>0.00</c:formatCode>
                <c:ptCount val="13"/>
                <c:pt idx="0">
                  <c:v>2.5810810810810811</c:v>
                </c:pt>
                <c:pt idx="1">
                  <c:v>3</c:v>
                </c:pt>
                <c:pt idx="2">
                  <c:v>3.8360655737704916</c:v>
                </c:pt>
                <c:pt idx="3">
                  <c:v>2.5319148936170213</c:v>
                </c:pt>
                <c:pt idx="4">
                  <c:v>4.2105263157894735</c:v>
                </c:pt>
                <c:pt idx="5">
                  <c:v>1.9090909090909092</c:v>
                </c:pt>
                <c:pt idx="6">
                  <c:v>1.6538461538461537</c:v>
                </c:pt>
                <c:pt idx="7">
                  <c:v>1.8181818181818181</c:v>
                </c:pt>
                <c:pt idx="8">
                  <c:v>1.5</c:v>
                </c:pt>
                <c:pt idx="9">
                  <c:v>2.074074074074074</c:v>
                </c:pt>
                <c:pt idx="10">
                  <c:v>1.5316455696202531</c:v>
                </c:pt>
                <c:pt idx="11">
                  <c:v>2.85</c:v>
                </c:pt>
                <c:pt idx="12">
                  <c:v>2.5009633911368017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6E3-43D5-BA85-47C4D258CD21}"/>
            </c:ext>
          </c:extLst>
        </c:ser>
        <c:ser>
          <c:idx val="5"/>
          <c:order val="1"/>
          <c:tx>
            <c:strRef>
              <c:f>'EM evol menusual lugar resd'!$I$227:$J$227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6E3-43D5-BA85-47C4D258CD21}"/>
              </c:ext>
            </c:extLst>
          </c:dPt>
          <c:val>
            <c:numRef>
              <c:f>'EM evol menusual lugar resd'!$I$229:$I$241</c:f>
              <c:numCache>
                <c:formatCode>0.00</c:formatCode>
                <c:ptCount val="13"/>
                <c:pt idx="0">
                  <c:v>2.6404494382022472</c:v>
                </c:pt>
                <c:pt idx="1">
                  <c:v>2.925925925925926</c:v>
                </c:pt>
                <c:pt idx="2">
                  <c:v>3.3624999999999998</c:v>
                </c:pt>
                <c:pt idx="3">
                  <c:v>2.6166666666666667</c:v>
                </c:pt>
                <c:pt idx="4">
                  <c:v>3.25</c:v>
                </c:pt>
                <c:pt idx="5">
                  <c:v>2.2580645161290325</c:v>
                </c:pt>
                <c:pt idx="6">
                  <c:v>3.4262295081967213</c:v>
                </c:pt>
                <c:pt idx="7">
                  <c:v>2.406779661016949</c:v>
                </c:pt>
                <c:pt idx="8">
                  <c:v>3.9</c:v>
                </c:pt>
                <c:pt idx="9">
                  <c:v>2.2432432432432434</c:v>
                </c:pt>
                <c:pt idx="10">
                  <c:v>2.2428571428571429</c:v>
                </c:pt>
                <c:pt idx="11">
                  <c:v>2.1538461538461537</c:v>
                </c:pt>
                <c:pt idx="12">
                  <c:v>2.774193548387097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6E3-43D5-BA85-47C4D258CD21}"/>
            </c:ext>
          </c:extLst>
        </c:ser>
        <c:ser>
          <c:idx val="0"/>
          <c:order val="2"/>
          <c:tx>
            <c:strRef>
              <c:f>'EM evol menusual lugar resd'!$K$227:$L$227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6E3-43D5-BA85-47C4D258CD21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resd'!$K$229:$K$241</c:f>
              <c:numCache>
                <c:formatCode>0.00</c:formatCode>
                <c:ptCount val="13"/>
                <c:pt idx="0">
                  <c:v>2.5185185185185186</c:v>
                </c:pt>
                <c:pt idx="1">
                  <c:v>3</c:v>
                </c:pt>
                <c:pt idx="2">
                  <c:v>4.253521126760563</c:v>
                </c:pt>
                <c:pt idx="3">
                  <c:v>2.5909090909090908</c:v>
                </c:pt>
                <c:pt idx="4">
                  <c:v>2.59375</c:v>
                </c:pt>
                <c:pt idx="5">
                  <c:v>2.28125</c:v>
                </c:pt>
                <c:pt idx="6">
                  <c:v>2.5813953488372094</c:v>
                </c:pt>
                <c:pt idx="7">
                  <c:v>2.3877551020408165</c:v>
                </c:pt>
                <c:pt idx="8">
                  <c:v>2.9268292682926829</c:v>
                </c:pt>
                <c:pt idx="9">
                  <c:v>2.9</c:v>
                </c:pt>
                <c:pt idx="10">
                  <c:v>2.961904761904762</c:v>
                </c:pt>
                <c:pt idx="11">
                  <c:v>2.0506329113924049</c:v>
                </c:pt>
                <c:pt idx="12">
                  <c:v>2.7876923076923079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6E3-43D5-BA85-47C4D258CD21}"/>
            </c:ext>
          </c:extLst>
        </c:ser>
        <c:ser>
          <c:idx val="1"/>
          <c:order val="3"/>
          <c:tx>
            <c:strRef>
              <c:f>'EM evol menusual lugar resd'!$M$227:$N$227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66E3-43D5-BA85-47C4D258CD2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66E3-43D5-BA85-47C4D258CD21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resd'!$M$229:$M$241</c:f>
              <c:numCache>
                <c:formatCode>0.00</c:formatCode>
                <c:ptCount val="13"/>
                <c:pt idx="0">
                  <c:v>2.2865497076023393</c:v>
                </c:pt>
                <c:pt idx="1">
                  <c:v>3.2736842105263158</c:v>
                </c:pt>
                <c:pt idx="2">
                  <c:v>3.043010752688172</c:v>
                </c:pt>
                <c:pt idx="3">
                  <c:v>2.6896551724137931</c:v>
                </c:pt>
                <c:pt idx="4">
                  <c:v>1.346938775510204</c:v>
                </c:pt>
                <c:pt idx="5">
                  <c:v>2.8947368421052633</c:v>
                </c:pt>
                <c:pt idx="6">
                  <c:v>2.36</c:v>
                </c:pt>
                <c:pt idx="7">
                  <c:v>2.3050847457627119</c:v>
                </c:pt>
                <c:pt idx="8">
                  <c:v>3.8536585365853657</c:v>
                </c:pt>
                <c:pt idx="12">
                  <c:v>2.6494522691705789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6E3-43D5-BA85-47C4D258CD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resd'!$N$228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6E3-43D5-BA85-47C4D258CD2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6E3-43D5-BA85-47C4D258CD2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6E3-43D5-BA85-47C4D258CD2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6E3-43D5-BA85-47C4D258CD2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6E3-43D5-BA85-47C4D258CD2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6E3-43D5-BA85-47C4D258CD2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6E3-43D5-BA85-47C4D258CD2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6E3-43D5-BA85-47C4D258CD2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6E3-43D5-BA85-47C4D258CD2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6E3-43D5-BA85-47C4D258CD2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6E3-43D5-BA85-47C4D258CD2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6E3-43D5-BA85-47C4D258CD2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6E3-43D5-BA85-47C4D258CD21}"/>
              </c:ext>
            </c:extLst>
          </c:dPt>
          <c:cat>
            <c:strRef>
              <c:f>'EM evol menusual lugar resd'!$B$229:$B$240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resd'!$N$229:$N$241</c:f>
              <c:numCache>
                <c:formatCode>0.00</c:formatCode>
                <c:ptCount val="13"/>
                <c:pt idx="0">
                  <c:v>-0.23196881091617927</c:v>
                </c:pt>
                <c:pt idx="1">
                  <c:v>0.27368421052631575</c:v>
                </c:pt>
                <c:pt idx="2">
                  <c:v>-1.210510374072391</c:v>
                </c:pt>
                <c:pt idx="3">
                  <c:v>9.8746081504702321E-2</c:v>
                </c:pt>
                <c:pt idx="4">
                  <c:v>-1.246811224489796</c:v>
                </c:pt>
                <c:pt idx="5">
                  <c:v>0.61348684210526327</c:v>
                </c:pt>
                <c:pt idx="6">
                  <c:v>-0.22139534883720957</c:v>
                </c:pt>
                <c:pt idx="7">
                  <c:v>-8.2670356278104595E-2</c:v>
                </c:pt>
                <c:pt idx="8">
                  <c:v>0.92682926829268286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-0.22143974960876367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66E3-43D5-BA85-47C4D258CD21}"/>
            </c:ext>
          </c:extLst>
        </c:ser>
        <c:ser>
          <c:idx val="4"/>
          <c:order val="5"/>
          <c:tx>
            <c:strRef>
              <c:f>'EM evol menusual lugar resd'!$O$228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resd'!$O$229:$O$241</c:f>
              <c:numCache>
                <c:formatCode>0.00</c:formatCode>
                <c:ptCount val="13"/>
                <c:pt idx="0">
                  <c:v>-0.29453137347874181</c:v>
                </c:pt>
                <c:pt idx="1">
                  <c:v>0.27368421052631575</c:v>
                </c:pt>
                <c:pt idx="2">
                  <c:v>-0.79305482108231962</c:v>
                </c:pt>
                <c:pt idx="3">
                  <c:v>0.15774027879677188</c:v>
                </c:pt>
                <c:pt idx="4">
                  <c:v>-2.8635875402792692</c:v>
                </c:pt>
                <c:pt idx="5">
                  <c:v>0.9856459330143541</c:v>
                </c:pt>
                <c:pt idx="6">
                  <c:v>0.70615384615384613</c:v>
                </c:pt>
                <c:pt idx="7">
                  <c:v>0.48690292758089382</c:v>
                </c:pt>
                <c:pt idx="8">
                  <c:v>2.3536585365853657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-5.0279634314675636E-2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66E3-43D5-BA85-47C4D258CD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resd'!$C$249:$D$249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6B2-4426-8F59-19592EEB59A4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resd'!$C$251:$C$263</c:f>
              <c:numCache>
                <c:formatCode>0.00</c:formatCode>
                <c:ptCount val="13"/>
                <c:pt idx="0">
                  <c:v>3.2777777777777777</c:v>
                </c:pt>
                <c:pt idx="1">
                  <c:v>2.3235294117647061</c:v>
                </c:pt>
                <c:pt idx="2">
                  <c:v>3.8</c:v>
                </c:pt>
                <c:pt idx="3">
                  <c:v>2.6666666666666665</c:v>
                </c:pt>
                <c:pt idx="4">
                  <c:v>2.5</c:v>
                </c:pt>
                <c:pt idx="5">
                  <c:v>3.8333333333333335</c:v>
                </c:pt>
                <c:pt idx="6">
                  <c:v>3</c:v>
                </c:pt>
                <c:pt idx="7">
                  <c:v>1</c:v>
                </c:pt>
                <c:pt idx="8">
                  <c:v>1</c:v>
                </c:pt>
                <c:pt idx="9">
                  <c:v>1.3333333333333333</c:v>
                </c:pt>
                <c:pt idx="10">
                  <c:v>2.4375</c:v>
                </c:pt>
                <c:pt idx="11">
                  <c:v>3.7</c:v>
                </c:pt>
                <c:pt idx="12">
                  <c:v>2.8645161290322583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6B2-4426-8F59-19592EEB59A4}"/>
            </c:ext>
          </c:extLst>
        </c:ser>
        <c:ser>
          <c:idx val="5"/>
          <c:order val="1"/>
          <c:tx>
            <c:strRef>
              <c:f>'EM evol menusual lugar resd'!$I$249:$J$249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6B2-4426-8F59-19592EEB59A4}"/>
              </c:ext>
            </c:extLst>
          </c:dPt>
          <c:val>
            <c:numRef>
              <c:f>'EM evol menusual lugar resd'!$I$251:$I$263</c:f>
              <c:numCache>
                <c:formatCode>0.00</c:formatCode>
                <c:ptCount val="13"/>
                <c:pt idx="0">
                  <c:v>4.04</c:v>
                </c:pt>
                <c:pt idx="1">
                  <c:v>2.9384615384615387</c:v>
                </c:pt>
                <c:pt idx="2">
                  <c:v>1.9318181818181819</c:v>
                </c:pt>
                <c:pt idx="3">
                  <c:v>1.7</c:v>
                </c:pt>
                <c:pt idx="4">
                  <c:v>3.5</c:v>
                </c:pt>
                <c:pt idx="5">
                  <c:v>1</c:v>
                </c:pt>
                <c:pt idx="6">
                  <c:v>2.125</c:v>
                </c:pt>
                <c:pt idx="7">
                  <c:v>2.3333333333333335</c:v>
                </c:pt>
                <c:pt idx="8">
                  <c:v>5.4</c:v>
                </c:pt>
                <c:pt idx="9">
                  <c:v>3.2857142857142856</c:v>
                </c:pt>
                <c:pt idx="10">
                  <c:v>3.3333333333333335</c:v>
                </c:pt>
                <c:pt idx="11">
                  <c:v>4.5909090909090908</c:v>
                </c:pt>
                <c:pt idx="12">
                  <c:v>3.0259259259259261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6B2-4426-8F59-19592EEB59A4}"/>
            </c:ext>
          </c:extLst>
        </c:ser>
        <c:ser>
          <c:idx val="0"/>
          <c:order val="2"/>
          <c:tx>
            <c:strRef>
              <c:f>'EM evol menusual lugar resd'!$K$249:$L$249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6B2-4426-8F59-19592EEB59A4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resd'!$K$251:$K$263</c:f>
              <c:numCache>
                <c:formatCode>0.00</c:formatCode>
                <c:ptCount val="13"/>
                <c:pt idx="0">
                  <c:v>3.6111111111111112</c:v>
                </c:pt>
                <c:pt idx="1">
                  <c:v>1.8235294117647058</c:v>
                </c:pt>
                <c:pt idx="2">
                  <c:v>2</c:v>
                </c:pt>
                <c:pt idx="3">
                  <c:v>2.625</c:v>
                </c:pt>
                <c:pt idx="4">
                  <c:v>5</c:v>
                </c:pt>
                <c:pt idx="5">
                  <c:v>1</c:v>
                </c:pt>
                <c:pt idx="6">
                  <c:v>3.8888888888888888</c:v>
                </c:pt>
                <c:pt idx="7">
                  <c:v>1</c:v>
                </c:pt>
                <c:pt idx="8">
                  <c:v>3.5</c:v>
                </c:pt>
                <c:pt idx="9">
                  <c:v>1</c:v>
                </c:pt>
                <c:pt idx="10">
                  <c:v>3.4166666666666665</c:v>
                </c:pt>
                <c:pt idx="11">
                  <c:v>2</c:v>
                </c:pt>
                <c:pt idx="12">
                  <c:v>2.7450980392156863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6B2-4426-8F59-19592EEB59A4}"/>
            </c:ext>
          </c:extLst>
        </c:ser>
        <c:ser>
          <c:idx val="1"/>
          <c:order val="3"/>
          <c:tx>
            <c:strRef>
              <c:f>'EM evol menusual lugar resd'!$M$249:$N$249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76B2-4426-8F59-19592EEB59A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76B2-4426-8F59-19592EEB59A4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resd'!$M$251:$M$263</c:f>
              <c:numCache>
                <c:formatCode>0.00</c:formatCode>
                <c:ptCount val="13"/>
                <c:pt idx="0">
                  <c:v>2.8793103448275863</c:v>
                </c:pt>
                <c:pt idx="1">
                  <c:v>4.2424242424242422</c:v>
                </c:pt>
                <c:pt idx="2">
                  <c:v>4.7692307692307692</c:v>
                </c:pt>
                <c:pt idx="5">
                  <c:v>3.7446808510638299</c:v>
                </c:pt>
                <c:pt idx="6">
                  <c:v>4.5</c:v>
                </c:pt>
                <c:pt idx="7">
                  <c:v>1</c:v>
                </c:pt>
                <c:pt idx="8">
                  <c:v>2.7692307692307692</c:v>
                </c:pt>
                <c:pt idx="12">
                  <c:v>3.5505617977528088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6B2-4426-8F59-19592EEB59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resd'!$N$250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6B2-4426-8F59-19592EEB59A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6B2-4426-8F59-19592EEB59A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6B2-4426-8F59-19592EEB59A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6B2-4426-8F59-19592EEB59A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6B2-4426-8F59-19592EEB59A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6B2-4426-8F59-19592EEB59A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6B2-4426-8F59-19592EEB59A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6B2-4426-8F59-19592EEB59A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6B2-4426-8F59-19592EEB59A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6B2-4426-8F59-19592EEB59A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6B2-4426-8F59-19592EEB59A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6B2-4426-8F59-19592EEB59A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6B2-4426-8F59-19592EEB59A4}"/>
              </c:ext>
            </c:extLst>
          </c:dPt>
          <c:cat>
            <c:strRef>
              <c:f>'EM evol menusual lugar resd'!$B$251:$B$262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resd'!$N$251:$N$263</c:f>
              <c:numCache>
                <c:formatCode>0.00</c:formatCode>
                <c:ptCount val="13"/>
                <c:pt idx="0">
                  <c:v>-0.73180076628352486</c:v>
                </c:pt>
                <c:pt idx="1">
                  <c:v>2.4188948306595366</c:v>
                </c:pt>
                <c:pt idx="2">
                  <c:v>2.7692307692307692</c:v>
                </c:pt>
                <c:pt idx="3">
                  <c:v>0</c:v>
                </c:pt>
                <c:pt idx="4">
                  <c:v>0</c:v>
                </c:pt>
                <c:pt idx="5">
                  <c:v>2.7446808510638299</c:v>
                </c:pt>
                <c:pt idx="6">
                  <c:v>0.61111111111111116</c:v>
                </c:pt>
                <c:pt idx="7">
                  <c:v>0</c:v>
                </c:pt>
                <c:pt idx="8">
                  <c:v>-0.73076923076923084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0.73924104303582761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76B2-4426-8F59-19592EEB59A4}"/>
            </c:ext>
          </c:extLst>
        </c:ser>
        <c:ser>
          <c:idx val="4"/>
          <c:order val="5"/>
          <c:tx>
            <c:strRef>
              <c:f>'EM evol menusual lugar resd'!$O$250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resd'!$O$251:$O$263</c:f>
              <c:numCache>
                <c:formatCode>0.00</c:formatCode>
                <c:ptCount val="13"/>
                <c:pt idx="0">
                  <c:v>-0.39846743295019138</c:v>
                </c:pt>
                <c:pt idx="1">
                  <c:v>1.9188948306595361</c:v>
                </c:pt>
                <c:pt idx="2">
                  <c:v>0.96923076923076934</c:v>
                </c:pt>
                <c:pt idx="3">
                  <c:v>0</c:v>
                </c:pt>
                <c:pt idx="4">
                  <c:v>0</c:v>
                </c:pt>
                <c:pt idx="5">
                  <c:v>-8.8652482269503619E-2</c:v>
                </c:pt>
                <c:pt idx="6">
                  <c:v>1.5</c:v>
                </c:pt>
                <c:pt idx="7">
                  <c:v>0</c:v>
                </c:pt>
                <c:pt idx="8">
                  <c:v>1.7692307692307692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0.60663656410794875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76B2-4426-8F59-19592EEB59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resd'!$C$271:$D$271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558-4EB4-AD9D-DF190548DE47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resd'!$C$273:$C$285</c:f>
              <c:numCache>
                <c:formatCode>0.00</c:formatCode>
                <c:ptCount val="13"/>
                <c:pt idx="0">
                  <c:v>3.5</c:v>
                </c:pt>
                <c:pt idx="1">
                  <c:v>3.9393939393939394</c:v>
                </c:pt>
                <c:pt idx="2">
                  <c:v>2.6052631578947367</c:v>
                </c:pt>
                <c:pt idx="3">
                  <c:v>1.0666666666666667</c:v>
                </c:pt>
                <c:pt idx="4">
                  <c:v>1</c:v>
                </c:pt>
                <c:pt idx="5">
                  <c:v>1.7619047619047619</c:v>
                </c:pt>
                <c:pt idx="6">
                  <c:v>1.1538461538461537</c:v>
                </c:pt>
                <c:pt idx="7">
                  <c:v>3.8571428571428572</c:v>
                </c:pt>
                <c:pt idx="8">
                  <c:v>0</c:v>
                </c:pt>
                <c:pt idx="9">
                  <c:v>2.1818181818181817</c:v>
                </c:pt>
                <c:pt idx="10">
                  <c:v>2.5483870967741935</c:v>
                </c:pt>
                <c:pt idx="11">
                  <c:v>2.6829268292682928</c:v>
                </c:pt>
                <c:pt idx="12">
                  <c:v>2.5793357933579335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558-4EB4-AD9D-DF190548DE47}"/>
            </c:ext>
          </c:extLst>
        </c:ser>
        <c:ser>
          <c:idx val="5"/>
          <c:order val="1"/>
          <c:tx>
            <c:strRef>
              <c:f>'EM evol menusual lugar resd'!$I$271:$J$271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558-4EB4-AD9D-DF190548DE47}"/>
              </c:ext>
            </c:extLst>
          </c:dPt>
          <c:val>
            <c:numRef>
              <c:f>'EM evol menusual lugar resd'!$I$273:$I$285</c:f>
              <c:numCache>
                <c:formatCode>0.00</c:formatCode>
                <c:ptCount val="13"/>
                <c:pt idx="0">
                  <c:v>2.8918918918918921</c:v>
                </c:pt>
                <c:pt idx="1">
                  <c:v>4.4000000000000004</c:v>
                </c:pt>
                <c:pt idx="2">
                  <c:v>1.0454545454545454</c:v>
                </c:pt>
                <c:pt idx="3">
                  <c:v>2</c:v>
                </c:pt>
                <c:pt idx="4">
                  <c:v>1.6666666666666667</c:v>
                </c:pt>
                <c:pt idx="5">
                  <c:v>1.3181818181818181</c:v>
                </c:pt>
                <c:pt idx="6">
                  <c:v>2.5</c:v>
                </c:pt>
                <c:pt idx="7">
                  <c:v>2.4</c:v>
                </c:pt>
                <c:pt idx="8">
                  <c:v>1.3333333333333333</c:v>
                </c:pt>
                <c:pt idx="9">
                  <c:v>1.8181818181818181</c:v>
                </c:pt>
                <c:pt idx="10">
                  <c:v>3</c:v>
                </c:pt>
                <c:pt idx="11">
                  <c:v>2.6857142857142855</c:v>
                </c:pt>
                <c:pt idx="12">
                  <c:v>2.2916666666666665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558-4EB4-AD9D-DF190548DE47}"/>
            </c:ext>
          </c:extLst>
        </c:ser>
        <c:ser>
          <c:idx val="0"/>
          <c:order val="2"/>
          <c:tx>
            <c:strRef>
              <c:f>'EM evol menusual lugar resd'!$K$271:$L$271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558-4EB4-AD9D-DF190548DE47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resd'!$K$273:$K$285</c:f>
              <c:numCache>
                <c:formatCode>0.00</c:formatCode>
                <c:ptCount val="13"/>
                <c:pt idx="0">
                  <c:v>3.6875</c:v>
                </c:pt>
                <c:pt idx="1">
                  <c:v>3.6875</c:v>
                </c:pt>
                <c:pt idx="2">
                  <c:v>2.763157894736842</c:v>
                </c:pt>
                <c:pt idx="3">
                  <c:v>3</c:v>
                </c:pt>
                <c:pt idx="4">
                  <c:v>10.5</c:v>
                </c:pt>
                <c:pt idx="5">
                  <c:v>5.333333333333333</c:v>
                </c:pt>
                <c:pt idx="6">
                  <c:v>3.2222222222222223</c:v>
                </c:pt>
                <c:pt idx="7">
                  <c:v>2.4285714285714284</c:v>
                </c:pt>
                <c:pt idx="8">
                  <c:v>3.3333333333333335</c:v>
                </c:pt>
                <c:pt idx="9">
                  <c:v>1.625</c:v>
                </c:pt>
                <c:pt idx="10">
                  <c:v>3.03125</c:v>
                </c:pt>
                <c:pt idx="11">
                  <c:v>4.59375</c:v>
                </c:pt>
                <c:pt idx="12">
                  <c:v>3.5185185185185186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558-4EB4-AD9D-DF190548DE47}"/>
            </c:ext>
          </c:extLst>
        </c:ser>
        <c:ser>
          <c:idx val="1"/>
          <c:order val="3"/>
          <c:tx>
            <c:strRef>
              <c:f>'EM evol menusual lugar resd'!$M$271:$N$271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558-4EB4-AD9D-DF190548DE4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3558-4EB4-AD9D-DF190548DE47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resd'!$M$273:$M$285</c:f>
              <c:numCache>
                <c:formatCode>0.00</c:formatCode>
                <c:ptCount val="13"/>
                <c:pt idx="0">
                  <c:v>2.7826086956521738</c:v>
                </c:pt>
                <c:pt idx="1">
                  <c:v>4.2</c:v>
                </c:pt>
                <c:pt idx="2">
                  <c:v>3.2857142857142856</c:v>
                </c:pt>
                <c:pt idx="3">
                  <c:v>3.2</c:v>
                </c:pt>
                <c:pt idx="4">
                  <c:v>1.5</c:v>
                </c:pt>
                <c:pt idx="6">
                  <c:v>1</c:v>
                </c:pt>
                <c:pt idx="7">
                  <c:v>4.5999999999999996</c:v>
                </c:pt>
                <c:pt idx="8">
                  <c:v>2.4</c:v>
                </c:pt>
                <c:pt idx="12">
                  <c:v>3.0886524822695036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558-4EB4-AD9D-DF190548DE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resd'!$N$272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558-4EB4-AD9D-DF190548DE4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558-4EB4-AD9D-DF190548DE4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558-4EB4-AD9D-DF190548DE4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558-4EB4-AD9D-DF190548DE4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558-4EB4-AD9D-DF190548DE4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558-4EB4-AD9D-DF190548DE4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558-4EB4-AD9D-DF190548DE4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558-4EB4-AD9D-DF190548DE4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558-4EB4-AD9D-DF190548DE4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558-4EB4-AD9D-DF190548DE4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558-4EB4-AD9D-DF190548DE4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558-4EB4-AD9D-DF190548DE4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558-4EB4-AD9D-DF190548DE47}"/>
              </c:ext>
            </c:extLst>
          </c:dPt>
          <c:cat>
            <c:strRef>
              <c:f>'EM evol menusual lugar resd'!$B$273:$B$284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resd'!$N$273:$N$285</c:f>
              <c:numCache>
                <c:formatCode>0.00</c:formatCode>
                <c:ptCount val="13"/>
                <c:pt idx="0">
                  <c:v>-0.90489130434782616</c:v>
                </c:pt>
                <c:pt idx="1">
                  <c:v>0.51250000000000018</c:v>
                </c:pt>
                <c:pt idx="2">
                  <c:v>0.52255639097744355</c:v>
                </c:pt>
                <c:pt idx="3">
                  <c:v>0.20000000000000018</c:v>
                </c:pt>
                <c:pt idx="4">
                  <c:v>-9</c:v>
                </c:pt>
                <c:pt idx="5">
                  <c:v>0</c:v>
                </c:pt>
                <c:pt idx="6">
                  <c:v>-2.2222222222222223</c:v>
                </c:pt>
                <c:pt idx="7">
                  <c:v>2.1714285714285713</c:v>
                </c:pt>
                <c:pt idx="8">
                  <c:v>-0.93333333333333357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-0.49029488615154904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3558-4EB4-AD9D-DF190548DE47}"/>
            </c:ext>
          </c:extLst>
        </c:ser>
        <c:ser>
          <c:idx val="4"/>
          <c:order val="5"/>
          <c:tx>
            <c:strRef>
              <c:f>'EM evol menusual lugar resd'!$O$272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resd'!$O$273:$O$285</c:f>
              <c:numCache>
                <c:formatCode>0.00</c:formatCode>
                <c:ptCount val="13"/>
                <c:pt idx="0">
                  <c:v>-0.71739130434782616</c:v>
                </c:pt>
                <c:pt idx="1">
                  <c:v>0.26060606060606073</c:v>
                </c:pt>
                <c:pt idx="2">
                  <c:v>0.68045112781954886</c:v>
                </c:pt>
                <c:pt idx="3">
                  <c:v>2.1333333333333337</c:v>
                </c:pt>
                <c:pt idx="4">
                  <c:v>0.5</c:v>
                </c:pt>
                <c:pt idx="5">
                  <c:v>0</c:v>
                </c:pt>
                <c:pt idx="6">
                  <c:v>-0.15384615384615374</c:v>
                </c:pt>
                <c:pt idx="7">
                  <c:v>0.74285714285714244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0.46536481103662686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3558-4EB4-AD9D-DF190548DE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mensu TF cat 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FCB-4F0E-91F7-22B1EE748714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'!$C$9:$C$21</c:f>
              <c:numCache>
                <c:formatCode>0.00</c:formatCode>
                <c:ptCount val="13"/>
                <c:pt idx="0">
                  <c:v>2.635496183206107</c:v>
                </c:pt>
                <c:pt idx="1">
                  <c:v>2.7260385005065855</c:v>
                </c:pt>
                <c:pt idx="2">
                  <c:v>2.7059052059052058</c:v>
                </c:pt>
                <c:pt idx="3">
                  <c:v>2.924415832141154</c:v>
                </c:pt>
                <c:pt idx="4">
                  <c:v>2.7901599015990159</c:v>
                </c:pt>
                <c:pt idx="5">
                  <c:v>2.1747448979591835</c:v>
                </c:pt>
                <c:pt idx="6">
                  <c:v>2.0936858901299291</c:v>
                </c:pt>
                <c:pt idx="7">
                  <c:v>2.1728628936774803</c:v>
                </c:pt>
                <c:pt idx="8">
                  <c:v>2.0868318122555412</c:v>
                </c:pt>
                <c:pt idx="9">
                  <c:v>2.2741073337609579</c:v>
                </c:pt>
                <c:pt idx="10">
                  <c:v>2.3524916943521594</c:v>
                </c:pt>
                <c:pt idx="11">
                  <c:v>2.2576729668805271</c:v>
                </c:pt>
                <c:pt idx="12">
                  <c:v>2.4357363966575409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FCB-4F0E-91F7-22B1EE748714}"/>
            </c:ext>
          </c:extLst>
        </c:ser>
        <c:ser>
          <c:idx val="5"/>
          <c:order val="1"/>
          <c:tx>
            <c:strRef>
              <c:f>'EM evol mensu TF cat 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FCB-4F0E-91F7-22B1EE748714}"/>
              </c:ext>
            </c:extLst>
          </c:dPt>
          <c:val>
            <c:numRef>
              <c:f>'EM evol mensu TF cat '!$I$9:$I$21</c:f>
              <c:numCache>
                <c:formatCode>0.00</c:formatCode>
                <c:ptCount val="13"/>
                <c:pt idx="0">
                  <c:v>3.2322086759285513</c:v>
                </c:pt>
                <c:pt idx="1">
                  <c:v>2.7251615992338998</c:v>
                </c:pt>
                <c:pt idx="2">
                  <c:v>2.6814345991561179</c:v>
                </c:pt>
                <c:pt idx="3">
                  <c:v>2.9921472392638035</c:v>
                </c:pt>
                <c:pt idx="4">
                  <c:v>2.77670704845815</c:v>
                </c:pt>
                <c:pt idx="5">
                  <c:v>2.4949115044247789</c:v>
                </c:pt>
                <c:pt idx="6">
                  <c:v>2.5052631578947366</c:v>
                </c:pt>
                <c:pt idx="7">
                  <c:v>2.6119023397761953</c:v>
                </c:pt>
                <c:pt idx="8">
                  <c:v>2.3955875928352994</c:v>
                </c:pt>
                <c:pt idx="9">
                  <c:v>2.8807453416149067</c:v>
                </c:pt>
                <c:pt idx="10">
                  <c:v>2.6980157089706491</c:v>
                </c:pt>
                <c:pt idx="11">
                  <c:v>2.3449477351916377</c:v>
                </c:pt>
                <c:pt idx="12">
                  <c:v>2.6756725259784404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FCB-4F0E-91F7-22B1EE748714}"/>
            </c:ext>
          </c:extLst>
        </c:ser>
        <c:ser>
          <c:idx val="0"/>
          <c:order val="2"/>
          <c:tx>
            <c:strRef>
              <c:f>'EM evol mensu TF cat 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FCB-4F0E-91F7-22B1EE748714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'!$K$9:$K$21</c:f>
              <c:numCache>
                <c:formatCode>0.00</c:formatCode>
                <c:ptCount val="13"/>
                <c:pt idx="0">
                  <c:v>2.6628942486085343</c:v>
                </c:pt>
                <c:pt idx="1">
                  <c:v>2.7041745730550284</c:v>
                </c:pt>
                <c:pt idx="2">
                  <c:v>2.7572009188902631</c:v>
                </c:pt>
                <c:pt idx="3">
                  <c:v>2.4570599613152804</c:v>
                </c:pt>
                <c:pt idx="4">
                  <c:v>2.5519648912826649</c:v>
                </c:pt>
                <c:pt idx="5">
                  <c:v>2.4809854101889499</c:v>
                </c:pt>
                <c:pt idx="6">
                  <c:v>2.2105990783410139</c:v>
                </c:pt>
                <c:pt idx="7">
                  <c:v>2.5556512378902045</c:v>
                </c:pt>
                <c:pt idx="8">
                  <c:v>2.3459411634594116</c:v>
                </c:pt>
                <c:pt idx="9">
                  <c:v>2.5134645847476804</c:v>
                </c:pt>
                <c:pt idx="10">
                  <c:v>2.6623690572119258</c:v>
                </c:pt>
                <c:pt idx="11">
                  <c:v>2.587568157033806</c:v>
                </c:pt>
                <c:pt idx="12">
                  <c:v>2.5505786061867015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FCB-4F0E-91F7-22B1EE748714}"/>
            </c:ext>
          </c:extLst>
        </c:ser>
        <c:ser>
          <c:idx val="1"/>
          <c:order val="3"/>
          <c:tx>
            <c:strRef>
              <c:f>'EM evol mensu TF cat '!$M$7:$N$7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FCB-4F0E-91F7-22B1EE74871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1FCB-4F0E-91F7-22B1EE748714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'!$M$9:$M$21</c:f>
              <c:numCache>
                <c:formatCode>0.00</c:formatCode>
                <c:ptCount val="13"/>
                <c:pt idx="0">
                  <c:v>2.7949012842629863</c:v>
                </c:pt>
                <c:pt idx="1">
                  <c:v>3.1517801374141161</c:v>
                </c:pt>
                <c:pt idx="2">
                  <c:v>2.9589783281733748</c:v>
                </c:pt>
                <c:pt idx="3">
                  <c:v>2.6590819153146024</c:v>
                </c:pt>
                <c:pt idx="4">
                  <c:v>2.5066105769230771</c:v>
                </c:pt>
                <c:pt idx="5">
                  <c:v>2.5517154389505552</c:v>
                </c:pt>
                <c:pt idx="6">
                  <c:v>2.2077073807968648</c:v>
                </c:pt>
                <c:pt idx="7">
                  <c:v>3.1938599517074855</c:v>
                </c:pt>
                <c:pt idx="8">
                  <c:v>2.2301946137212503</c:v>
                </c:pt>
                <c:pt idx="12">
                  <c:v>2.6766402566005216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FCB-4F0E-91F7-22B1EE7487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mensu TF cat '!$N$8</c:f>
              <c:strCache>
                <c:ptCount val="1"/>
                <c:pt idx="0">
                  <c:v>def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FCB-4F0E-91F7-22B1EE74871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FCB-4F0E-91F7-22B1EE74871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FCB-4F0E-91F7-22B1EE74871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FCB-4F0E-91F7-22B1EE74871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FCB-4F0E-91F7-22B1EE74871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FCB-4F0E-91F7-22B1EE74871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FCB-4F0E-91F7-22B1EE74871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FCB-4F0E-91F7-22B1EE74871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FCB-4F0E-91F7-22B1EE74871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FCB-4F0E-91F7-22B1EE74871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FCB-4F0E-91F7-22B1EE74871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FCB-4F0E-91F7-22B1EE74871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FCB-4F0E-91F7-22B1EE748714}"/>
              </c:ext>
            </c:extLst>
          </c:dPt>
          <c:cat>
            <c:strRef>
              <c:f>'EM evol mensu TF cat 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'!$N$9:$N$21</c:f>
              <c:numCache>
                <c:formatCode>0.00</c:formatCode>
                <c:ptCount val="13"/>
                <c:pt idx="0">
                  <c:v>0.13200703565445204</c:v>
                </c:pt>
                <c:pt idx="1">
                  <c:v>0.44760556435908772</c:v>
                </c:pt>
                <c:pt idx="2">
                  <c:v>0.20177740928311172</c:v>
                </c:pt>
                <c:pt idx="3">
                  <c:v>0.20202195399932199</c:v>
                </c:pt>
                <c:pt idx="4">
                  <c:v>-4.5354314359587811E-2</c:v>
                </c:pt>
                <c:pt idx="5">
                  <c:v>7.0730028761605279E-2</c:v>
                </c:pt>
                <c:pt idx="6">
                  <c:v>-2.8916975441490855E-3</c:v>
                </c:pt>
                <c:pt idx="7">
                  <c:v>0.63820871381728095</c:v>
                </c:pt>
                <c:pt idx="8">
                  <c:v>-0.11574654973816134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0.1387462105709667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1FCB-4F0E-91F7-22B1EE748714}"/>
            </c:ext>
          </c:extLst>
        </c:ser>
        <c:ser>
          <c:idx val="4"/>
          <c:order val="5"/>
          <c:tx>
            <c:strRef>
              <c:f>'EM evol mensu TF cat '!$O$8</c:f>
              <c:strCache>
                <c:ptCount val="1"/>
                <c:pt idx="0">
                  <c:v>def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'EM evol mensu TF cat '!$O$9:$O$21</c:f>
              <c:numCache>
                <c:formatCode>0.00</c:formatCode>
                <c:ptCount val="13"/>
                <c:pt idx="0">
                  <c:v>0.15940510105687933</c:v>
                </c:pt>
                <c:pt idx="1">
                  <c:v>0.42574163690753064</c:v>
                </c:pt>
                <c:pt idx="2">
                  <c:v>0.25307312226816903</c:v>
                </c:pt>
                <c:pt idx="3">
                  <c:v>-0.26533391682655161</c:v>
                </c:pt>
                <c:pt idx="4">
                  <c:v>-0.28354932467593885</c:v>
                </c:pt>
                <c:pt idx="5">
                  <c:v>0.37697054099137173</c:v>
                </c:pt>
                <c:pt idx="6">
                  <c:v>0.11402149066693568</c:v>
                </c:pt>
                <c:pt idx="7">
                  <c:v>1.0209970580300052</c:v>
                </c:pt>
                <c:pt idx="8">
                  <c:v>0.14336280146570912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0.18296904943719072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1FCB-4F0E-91F7-22B1EE7487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mensu TF cat 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BF6-44AA-84C7-3A0852FA253F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'!$C$31:$C$43</c:f>
              <c:numCache>
                <c:formatCode>0.00</c:formatCode>
                <c:ptCount val="13"/>
                <c:pt idx="0">
                  <c:v>2.635496183206107</c:v>
                </c:pt>
                <c:pt idx="1">
                  <c:v>2.7260385005065855</c:v>
                </c:pt>
                <c:pt idx="2">
                  <c:v>2.7059052059052058</c:v>
                </c:pt>
                <c:pt idx="3">
                  <c:v>2.924415832141154</c:v>
                </c:pt>
                <c:pt idx="4">
                  <c:v>2.7901599015990159</c:v>
                </c:pt>
                <c:pt idx="5">
                  <c:v>2.1747448979591835</c:v>
                </c:pt>
                <c:pt idx="6">
                  <c:v>2.0936858901299291</c:v>
                </c:pt>
                <c:pt idx="7">
                  <c:v>2.1728628936774803</c:v>
                </c:pt>
                <c:pt idx="8">
                  <c:v>2.0868318122555412</c:v>
                </c:pt>
                <c:pt idx="9">
                  <c:v>2.2741073337609579</c:v>
                </c:pt>
                <c:pt idx="10">
                  <c:v>2.3524916943521594</c:v>
                </c:pt>
                <c:pt idx="11">
                  <c:v>2.2576729668805271</c:v>
                </c:pt>
                <c:pt idx="12">
                  <c:v>2.4357363966575409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BF6-44AA-84C7-3A0852FA253F}"/>
            </c:ext>
          </c:extLst>
        </c:ser>
        <c:ser>
          <c:idx val="5"/>
          <c:order val="1"/>
          <c:tx>
            <c:strRef>
              <c:f>'EM evol mensu TF cat 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BF6-44AA-84C7-3A0852FA253F}"/>
              </c:ext>
            </c:extLst>
          </c:dPt>
          <c:val>
            <c:numRef>
              <c:f>'EM evol mensu TF cat '!$I$31:$I$43</c:f>
              <c:numCache>
                <c:formatCode>0.00</c:formatCode>
                <c:ptCount val="13"/>
                <c:pt idx="0">
                  <c:v>3.2322086759285513</c:v>
                </c:pt>
                <c:pt idx="1">
                  <c:v>2.7251615992338998</c:v>
                </c:pt>
                <c:pt idx="2">
                  <c:v>2.6814345991561179</c:v>
                </c:pt>
                <c:pt idx="3">
                  <c:v>2.9921472392638035</c:v>
                </c:pt>
                <c:pt idx="4">
                  <c:v>2.77670704845815</c:v>
                </c:pt>
                <c:pt idx="5">
                  <c:v>2.4949115044247789</c:v>
                </c:pt>
                <c:pt idx="6">
                  <c:v>2.5052631578947366</c:v>
                </c:pt>
                <c:pt idx="7">
                  <c:v>2.6119023397761953</c:v>
                </c:pt>
                <c:pt idx="8">
                  <c:v>2.3955875928352994</c:v>
                </c:pt>
                <c:pt idx="9">
                  <c:v>2.8807453416149067</c:v>
                </c:pt>
                <c:pt idx="10">
                  <c:v>2.6980157089706491</c:v>
                </c:pt>
                <c:pt idx="11">
                  <c:v>2.3449477351916377</c:v>
                </c:pt>
                <c:pt idx="12">
                  <c:v>2.6756725259784404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BF6-44AA-84C7-3A0852FA253F}"/>
            </c:ext>
          </c:extLst>
        </c:ser>
        <c:ser>
          <c:idx val="0"/>
          <c:order val="2"/>
          <c:tx>
            <c:strRef>
              <c:f>'EM evol mensu TF cat 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BF6-44AA-84C7-3A0852FA253F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'!$K$31:$K$43</c:f>
              <c:numCache>
                <c:formatCode>0.00</c:formatCode>
                <c:ptCount val="13"/>
                <c:pt idx="0">
                  <c:v>2.6628942486085343</c:v>
                </c:pt>
                <c:pt idx="1">
                  <c:v>2.7041745730550284</c:v>
                </c:pt>
                <c:pt idx="2">
                  <c:v>2.7572009188902631</c:v>
                </c:pt>
                <c:pt idx="3">
                  <c:v>2.4570599613152804</c:v>
                </c:pt>
                <c:pt idx="4">
                  <c:v>2.5519648912826649</c:v>
                </c:pt>
                <c:pt idx="5">
                  <c:v>2.4809854101889499</c:v>
                </c:pt>
                <c:pt idx="6">
                  <c:v>2.2105990783410139</c:v>
                </c:pt>
                <c:pt idx="7">
                  <c:v>2.5556512378902045</c:v>
                </c:pt>
                <c:pt idx="8">
                  <c:v>2.3459411634594116</c:v>
                </c:pt>
                <c:pt idx="9">
                  <c:v>2.5134645847476804</c:v>
                </c:pt>
                <c:pt idx="10">
                  <c:v>2.6623690572119258</c:v>
                </c:pt>
                <c:pt idx="11">
                  <c:v>2.587568157033806</c:v>
                </c:pt>
                <c:pt idx="12">
                  <c:v>2.5505786061867015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BF6-44AA-84C7-3A0852FA253F}"/>
            </c:ext>
          </c:extLst>
        </c:ser>
        <c:ser>
          <c:idx val="1"/>
          <c:order val="3"/>
          <c:tx>
            <c:strRef>
              <c:f>'EM evol mensu TF cat '!$M$29:$N$29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EBF6-44AA-84C7-3A0852FA253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EBF6-44AA-84C7-3A0852FA253F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'!$M$31:$M$43</c:f>
              <c:numCache>
                <c:formatCode>0.00</c:formatCode>
                <c:ptCount val="13"/>
                <c:pt idx="0">
                  <c:v>2.7949012842629863</c:v>
                </c:pt>
                <c:pt idx="1">
                  <c:v>3.1517801374141161</c:v>
                </c:pt>
                <c:pt idx="2">
                  <c:v>2.9589783281733748</c:v>
                </c:pt>
                <c:pt idx="3">
                  <c:v>2.6590819153146024</c:v>
                </c:pt>
                <c:pt idx="4">
                  <c:v>2.5066105769230771</c:v>
                </c:pt>
                <c:pt idx="5">
                  <c:v>2.5517154389505552</c:v>
                </c:pt>
                <c:pt idx="6">
                  <c:v>2.2077073807968648</c:v>
                </c:pt>
                <c:pt idx="7">
                  <c:v>3.1938599517074855</c:v>
                </c:pt>
                <c:pt idx="8">
                  <c:v>2.2301946137212503</c:v>
                </c:pt>
                <c:pt idx="12">
                  <c:v>2.6766402566005216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BF6-44AA-84C7-3A0852FA25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mensu TF cat '!$N$30</c:f>
              <c:strCache>
                <c:ptCount val="1"/>
                <c:pt idx="0">
                  <c:v>def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BF6-44AA-84C7-3A0852FA253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BF6-44AA-84C7-3A0852FA253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BF6-44AA-84C7-3A0852FA253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BF6-44AA-84C7-3A0852FA253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BF6-44AA-84C7-3A0852FA253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BF6-44AA-84C7-3A0852FA253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BF6-44AA-84C7-3A0852FA253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BF6-44AA-84C7-3A0852FA253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BF6-44AA-84C7-3A0852FA253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BF6-44AA-84C7-3A0852FA253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BF6-44AA-84C7-3A0852FA253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BF6-44AA-84C7-3A0852FA253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BF6-44AA-84C7-3A0852FA253F}"/>
              </c:ext>
            </c:extLst>
          </c:dPt>
          <c:cat>
            <c:strRef>
              <c:f>'EM evol mensu TF cat 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'!$N$31:$N$43</c:f>
              <c:numCache>
                <c:formatCode>0.00</c:formatCode>
                <c:ptCount val="13"/>
                <c:pt idx="0">
                  <c:v>0.13200703565445204</c:v>
                </c:pt>
                <c:pt idx="1">
                  <c:v>0.44760556435908772</c:v>
                </c:pt>
                <c:pt idx="2">
                  <c:v>0.20177740928311172</c:v>
                </c:pt>
                <c:pt idx="3">
                  <c:v>0.20202195399932199</c:v>
                </c:pt>
                <c:pt idx="4">
                  <c:v>-4.5354314359587811E-2</c:v>
                </c:pt>
                <c:pt idx="5">
                  <c:v>7.0730028761605279E-2</c:v>
                </c:pt>
                <c:pt idx="6">
                  <c:v>-2.8916975441490855E-3</c:v>
                </c:pt>
                <c:pt idx="7">
                  <c:v>0.63820871381728095</c:v>
                </c:pt>
                <c:pt idx="8">
                  <c:v>-0.11574654973816134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0.1387462105709667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EBF6-44AA-84C7-3A0852FA253F}"/>
            </c:ext>
          </c:extLst>
        </c:ser>
        <c:ser>
          <c:idx val="4"/>
          <c:order val="5"/>
          <c:tx>
            <c:strRef>
              <c:f>'EM evol mensu TF cat '!$O$30</c:f>
              <c:strCache>
                <c:ptCount val="1"/>
                <c:pt idx="0">
                  <c:v>def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mensu TF cat 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'!$O$31:$O$43</c:f>
              <c:numCache>
                <c:formatCode>0.00</c:formatCode>
                <c:ptCount val="13"/>
                <c:pt idx="0">
                  <c:v>0.15940510105687933</c:v>
                </c:pt>
                <c:pt idx="1">
                  <c:v>0.42574163690753064</c:v>
                </c:pt>
                <c:pt idx="2">
                  <c:v>0.25307312226816903</c:v>
                </c:pt>
                <c:pt idx="3">
                  <c:v>-0.26533391682655161</c:v>
                </c:pt>
                <c:pt idx="4">
                  <c:v>-0.28354932467593885</c:v>
                </c:pt>
                <c:pt idx="5">
                  <c:v>0.37697054099137173</c:v>
                </c:pt>
                <c:pt idx="6">
                  <c:v>0.11402149066693568</c:v>
                </c:pt>
                <c:pt idx="7">
                  <c:v>1.0209970580300052</c:v>
                </c:pt>
                <c:pt idx="8">
                  <c:v>0.14336280146570912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0.18296904943719072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EBF6-44AA-84C7-3A0852FA25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TF'!$C$117:$D$117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15E-4B45-9A43-47DC9A100C58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TF'!$C$119:$C$131</c:f>
              <c:numCache>
                <c:formatCode>#,##0</c:formatCode>
                <c:ptCount val="13"/>
                <c:pt idx="0">
                  <c:v>336</c:v>
                </c:pt>
                <c:pt idx="1">
                  <c:v>382</c:v>
                </c:pt>
                <c:pt idx="2">
                  <c:v>296</c:v>
                </c:pt>
                <c:pt idx="3">
                  <c:v>145</c:v>
                </c:pt>
                <c:pt idx="4">
                  <c:v>167</c:v>
                </c:pt>
                <c:pt idx="5">
                  <c:v>87</c:v>
                </c:pt>
                <c:pt idx="6">
                  <c:v>128</c:v>
                </c:pt>
                <c:pt idx="7">
                  <c:v>86</c:v>
                </c:pt>
                <c:pt idx="8">
                  <c:v>141</c:v>
                </c:pt>
                <c:pt idx="9">
                  <c:v>143</c:v>
                </c:pt>
                <c:pt idx="10">
                  <c:v>282</c:v>
                </c:pt>
                <c:pt idx="11">
                  <c:v>228</c:v>
                </c:pt>
                <c:pt idx="12">
                  <c:v>2421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15E-4B45-9A43-47DC9A100C58}"/>
            </c:ext>
          </c:extLst>
        </c:ser>
        <c:ser>
          <c:idx val="5"/>
          <c:order val="1"/>
          <c:tx>
            <c:strRef>
              <c:f>'Viajeros entr evol mensu TF'!$I$117:$J$117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15E-4B45-9A43-47DC9A100C58}"/>
              </c:ext>
            </c:extLst>
          </c:dPt>
          <c:val>
            <c:numRef>
              <c:f>'Viajeros entr evol mensu TF'!$I$119:$I$131</c:f>
              <c:numCache>
                <c:formatCode>#,##0</c:formatCode>
                <c:ptCount val="13"/>
                <c:pt idx="0">
                  <c:v>277</c:v>
                </c:pt>
                <c:pt idx="1">
                  <c:v>330</c:v>
                </c:pt>
                <c:pt idx="2">
                  <c:v>308</c:v>
                </c:pt>
                <c:pt idx="3">
                  <c:v>129</c:v>
                </c:pt>
                <c:pt idx="4">
                  <c:v>143</c:v>
                </c:pt>
                <c:pt idx="5">
                  <c:v>120</c:v>
                </c:pt>
                <c:pt idx="6">
                  <c:v>82</c:v>
                </c:pt>
                <c:pt idx="7">
                  <c:v>109</c:v>
                </c:pt>
                <c:pt idx="8">
                  <c:v>163</c:v>
                </c:pt>
                <c:pt idx="9">
                  <c:v>175</c:v>
                </c:pt>
                <c:pt idx="10">
                  <c:v>264</c:v>
                </c:pt>
                <c:pt idx="11">
                  <c:v>303</c:v>
                </c:pt>
                <c:pt idx="12">
                  <c:v>2403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15E-4B45-9A43-47DC9A100C58}"/>
            </c:ext>
          </c:extLst>
        </c:ser>
        <c:ser>
          <c:idx val="0"/>
          <c:order val="2"/>
          <c:tx>
            <c:strRef>
              <c:f>'Viajeros entr evol mensu TF'!$K$117:$L$117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15E-4B45-9A43-47DC9A100C58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TF'!$K$119:$K$131</c:f>
              <c:numCache>
                <c:formatCode>#,##0</c:formatCode>
                <c:ptCount val="13"/>
                <c:pt idx="0">
                  <c:v>378</c:v>
                </c:pt>
                <c:pt idx="1">
                  <c:v>411</c:v>
                </c:pt>
                <c:pt idx="2">
                  <c:v>344</c:v>
                </c:pt>
                <c:pt idx="3">
                  <c:v>155</c:v>
                </c:pt>
                <c:pt idx="4">
                  <c:v>149</c:v>
                </c:pt>
                <c:pt idx="5">
                  <c:v>124</c:v>
                </c:pt>
                <c:pt idx="6">
                  <c:v>160</c:v>
                </c:pt>
                <c:pt idx="7">
                  <c:v>153</c:v>
                </c:pt>
                <c:pt idx="8">
                  <c:v>144</c:v>
                </c:pt>
                <c:pt idx="9">
                  <c:v>180</c:v>
                </c:pt>
                <c:pt idx="10">
                  <c:v>278</c:v>
                </c:pt>
                <c:pt idx="11">
                  <c:v>319</c:v>
                </c:pt>
                <c:pt idx="12">
                  <c:v>2795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15E-4B45-9A43-47DC9A100C58}"/>
            </c:ext>
          </c:extLst>
        </c:ser>
        <c:ser>
          <c:idx val="1"/>
          <c:order val="3"/>
          <c:tx>
            <c:strRef>
              <c:f>'Viajeros entr evol mensu TF'!$M$117:$N$117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15E-4B45-9A43-47DC9A100C5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115E-4B45-9A43-47DC9A100C58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TF'!$M$119:$M$131</c:f>
              <c:numCache>
                <c:formatCode>#,##0</c:formatCode>
                <c:ptCount val="13"/>
                <c:pt idx="0">
                  <c:v>447</c:v>
                </c:pt>
                <c:pt idx="1">
                  <c:v>472</c:v>
                </c:pt>
                <c:pt idx="2">
                  <c:v>445</c:v>
                </c:pt>
                <c:pt idx="3">
                  <c:v>248</c:v>
                </c:pt>
                <c:pt idx="4">
                  <c:v>133</c:v>
                </c:pt>
                <c:pt idx="5">
                  <c:v>100</c:v>
                </c:pt>
                <c:pt idx="6">
                  <c:v>156</c:v>
                </c:pt>
                <c:pt idx="7">
                  <c:v>122</c:v>
                </c:pt>
                <c:pt idx="8">
                  <c:v>123</c:v>
                </c:pt>
                <c:pt idx="12">
                  <c:v>2246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15E-4B45-9A43-47DC9A100C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TF'!$N$118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15E-4B45-9A43-47DC9A100C5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15E-4B45-9A43-47DC9A100C5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15E-4B45-9A43-47DC9A100C5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15E-4B45-9A43-47DC9A100C5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15E-4B45-9A43-47DC9A100C5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15E-4B45-9A43-47DC9A100C5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15E-4B45-9A43-47DC9A100C5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15E-4B45-9A43-47DC9A100C5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15E-4B45-9A43-47DC9A100C5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15E-4B45-9A43-47DC9A100C5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15E-4B45-9A43-47DC9A100C5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15E-4B45-9A43-47DC9A100C5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15E-4B45-9A43-47DC9A100C58}"/>
              </c:ext>
            </c:extLst>
          </c:dPt>
          <c:cat>
            <c:strRef>
              <c:f>'Viajeros entr evol mensu TF'!$B$119:$B$130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TF'!$N$119:$N$131</c:f>
              <c:numCache>
                <c:formatCode>0.0%</c:formatCode>
                <c:ptCount val="13"/>
                <c:pt idx="0">
                  <c:v>0.18253968253968256</c:v>
                </c:pt>
                <c:pt idx="1">
                  <c:v>0.14841849148418484</c:v>
                </c:pt>
                <c:pt idx="2">
                  <c:v>0.29360465116279078</c:v>
                </c:pt>
                <c:pt idx="3">
                  <c:v>0.60000000000000009</c:v>
                </c:pt>
                <c:pt idx="4">
                  <c:v>-0.10738255033557043</c:v>
                </c:pt>
                <c:pt idx="5">
                  <c:v>-0.19354838709677424</c:v>
                </c:pt>
                <c:pt idx="6">
                  <c:v>-2.5000000000000022E-2</c:v>
                </c:pt>
                <c:pt idx="7">
                  <c:v>-0.20261437908496727</c:v>
                </c:pt>
                <c:pt idx="8">
                  <c:v>-0.14583333333333337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0.11298315163528239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115E-4B45-9A43-47DC9A100C58}"/>
            </c:ext>
          </c:extLst>
        </c:ser>
        <c:ser>
          <c:idx val="4"/>
          <c:order val="5"/>
          <c:tx>
            <c:strRef>
              <c:f>'Viajeros entr evol mensu TF'!$O$118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TF'!$O$119:$O$131</c:f>
              <c:numCache>
                <c:formatCode>0.0%</c:formatCode>
                <c:ptCount val="13"/>
                <c:pt idx="0">
                  <c:v>0.33035714285714279</c:v>
                </c:pt>
                <c:pt idx="1">
                  <c:v>0.23560209424083767</c:v>
                </c:pt>
                <c:pt idx="2">
                  <c:v>0.50337837837837829</c:v>
                </c:pt>
                <c:pt idx="3">
                  <c:v>0.71034482758620698</c:v>
                </c:pt>
                <c:pt idx="4">
                  <c:v>-0.20359281437125754</c:v>
                </c:pt>
                <c:pt idx="5">
                  <c:v>0.14942528735632177</c:v>
                </c:pt>
                <c:pt idx="6">
                  <c:v>0.21875</c:v>
                </c:pt>
                <c:pt idx="7">
                  <c:v>0.41860465116279078</c:v>
                </c:pt>
                <c:pt idx="8">
                  <c:v>-0.12765957446808507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0.27036199095022617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115E-4B45-9A43-47DC9A100C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1187294267900032"/>
          <c:w val="0.86939722222222227"/>
          <c:h val="0.42070463713947498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mensu TF cat 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C80-4380-B81F-397BB63770A0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'!$C$53:$C$65</c:f>
              <c:numCache>
                <c:formatCode>0.00</c:formatCode>
                <c:ptCount val="13"/>
                <c:pt idx="0">
                  <c:v>2.8360163710777626</c:v>
                </c:pt>
                <c:pt idx="1">
                  <c:v>2.9724337096350748</c:v>
                </c:pt>
                <c:pt idx="2">
                  <c:v>2.9354925053533192</c:v>
                </c:pt>
                <c:pt idx="3">
                  <c:v>3.1096630642085188</c:v>
                </c:pt>
                <c:pt idx="4">
                  <c:v>2.8928571428571428</c:v>
                </c:pt>
                <c:pt idx="5">
                  <c:v>2.0373647984267453</c:v>
                </c:pt>
                <c:pt idx="6">
                  <c:v>2.0607381575123509</c:v>
                </c:pt>
                <c:pt idx="7">
                  <c:v>2.2307221542227662</c:v>
                </c:pt>
                <c:pt idx="8">
                  <c:v>2.1106602729620065</c:v>
                </c:pt>
                <c:pt idx="9">
                  <c:v>2.2029676735559089</c:v>
                </c:pt>
                <c:pt idx="10">
                  <c:v>2.5244648318042815</c:v>
                </c:pt>
                <c:pt idx="11">
                  <c:v>2.4298976434182338</c:v>
                </c:pt>
                <c:pt idx="12">
                  <c:v>2.5384814535868951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C80-4380-B81F-397BB63770A0}"/>
            </c:ext>
          </c:extLst>
        </c:ser>
        <c:ser>
          <c:idx val="5"/>
          <c:order val="1"/>
          <c:tx>
            <c:strRef>
              <c:f>'EM evol mensu TF cat 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C80-4380-B81F-397BB63770A0}"/>
              </c:ext>
            </c:extLst>
          </c:dPt>
          <c:val>
            <c:numRef>
              <c:f>'EM evol mensu TF cat '!$I$53:$I$65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3.1402254605444049</c:v>
                </c:pt>
                <c:pt idx="4">
                  <c:v>2.9780715898097387</c:v>
                </c:pt>
                <c:pt idx="5">
                  <c:v>2.5641587533479426</c:v>
                </c:pt>
                <c:pt idx="6">
                  <c:v>2.501542416452442</c:v>
                </c:pt>
                <c:pt idx="7">
                  <c:v>2.7960213776722092</c:v>
                </c:pt>
                <c:pt idx="8">
                  <c:v>2.500871296987802</c:v>
                </c:pt>
                <c:pt idx="9">
                  <c:v>2.916572077185017</c:v>
                </c:pt>
                <c:pt idx="10">
                  <c:v>2.8604146576663454</c:v>
                </c:pt>
                <c:pt idx="11">
                  <c:v>2.4325228641534689</c:v>
                </c:pt>
                <c:pt idx="12">
                  <c:v>2.7547137248133926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C80-4380-B81F-397BB63770A0}"/>
            </c:ext>
          </c:extLst>
        </c:ser>
        <c:ser>
          <c:idx val="0"/>
          <c:order val="2"/>
          <c:tx>
            <c:strRef>
              <c:f>'EM evol mensu TF cat 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C80-4380-B81F-397BB63770A0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'!$K$53:$K$65</c:f>
              <c:numCache>
                <c:formatCode>0.00</c:formatCode>
                <c:ptCount val="13"/>
                <c:pt idx="0">
                  <c:v>2.7950872656755008</c:v>
                </c:pt>
                <c:pt idx="1">
                  <c:v>2.8731359893167148</c:v>
                </c:pt>
                <c:pt idx="2">
                  <c:v>2.9364389233954453</c:v>
                </c:pt>
                <c:pt idx="3">
                  <c:v>2.5746586075665996</c:v>
                </c:pt>
                <c:pt idx="4">
                  <c:v>2.6306366047745358</c:v>
                </c:pt>
                <c:pt idx="5">
                  <c:v>2.5592901317558483</c:v>
                </c:pt>
                <c:pt idx="6">
                  <c:v>0</c:v>
                </c:pt>
                <c:pt idx="7">
                  <c:v>0</c:v>
                </c:pt>
                <c:pt idx="8">
                  <c:v>2.3941569695469176</c:v>
                </c:pt>
                <c:pt idx="9">
                  <c:v>2.651506996770721</c:v>
                </c:pt>
                <c:pt idx="10">
                  <c:v>2.8276945384243595</c:v>
                </c:pt>
                <c:pt idx="11">
                  <c:v>2.7499333511063715</c:v>
                </c:pt>
                <c:pt idx="12">
                  <c:v>2.6597626112759643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C80-4380-B81F-397BB63770A0}"/>
            </c:ext>
          </c:extLst>
        </c:ser>
        <c:ser>
          <c:idx val="1"/>
          <c:order val="3"/>
          <c:tx>
            <c:strRef>
              <c:f>'EM evol mensu TF cat '!$M$51:$N$51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7C80-4380-B81F-397BB63770A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7C80-4380-B81F-397BB63770A0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'!$M$53:$M$65</c:f>
              <c:numCache>
                <c:formatCode>0.00</c:formatCode>
                <c:ptCount val="13"/>
                <c:pt idx="0">
                  <c:v>2.9186357556843512</c:v>
                </c:pt>
                <c:pt idx="1">
                  <c:v>3.347750434998757</c:v>
                </c:pt>
                <c:pt idx="2">
                  <c:v>3.1342297174111211</c:v>
                </c:pt>
                <c:pt idx="3">
                  <c:v>2.7839800317676424</c:v>
                </c:pt>
                <c:pt idx="4">
                  <c:v>2.5609430604982206</c:v>
                </c:pt>
                <c:pt idx="5">
                  <c:v>2.6040229885057471</c:v>
                </c:pt>
                <c:pt idx="6">
                  <c:v>2.2533062054933874</c:v>
                </c:pt>
                <c:pt idx="7">
                  <c:v>3.3068565005620081</c:v>
                </c:pt>
                <c:pt idx="8">
                  <c:v>2.2749944333110665</c:v>
                </c:pt>
                <c:pt idx="12">
                  <c:v>2.7785659298361378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C80-4380-B81F-397BB63770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mensu TF cat '!$N$52</c:f>
              <c:strCache>
                <c:ptCount val="1"/>
                <c:pt idx="0">
                  <c:v>def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C80-4380-B81F-397BB63770A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C80-4380-B81F-397BB63770A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C80-4380-B81F-397BB63770A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C80-4380-B81F-397BB63770A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C80-4380-B81F-397BB63770A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C80-4380-B81F-397BB63770A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C80-4380-B81F-397BB63770A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C80-4380-B81F-397BB63770A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C80-4380-B81F-397BB63770A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C80-4380-B81F-397BB63770A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C80-4380-B81F-397BB63770A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C80-4380-B81F-397BB63770A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C80-4380-B81F-397BB63770A0}"/>
              </c:ext>
            </c:extLst>
          </c:dPt>
          <c:cat>
            <c:strRef>
              <c:f>'EM evol mensu TF cat 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'!$N$53:$N$65</c:f>
              <c:numCache>
                <c:formatCode>0.00</c:formatCode>
                <c:ptCount val="13"/>
                <c:pt idx="0">
                  <c:v>0.12354849000885038</c:v>
                </c:pt>
                <c:pt idx="1">
                  <c:v>0.47461444568204225</c:v>
                </c:pt>
                <c:pt idx="2">
                  <c:v>0.19779079401567579</c:v>
                </c:pt>
                <c:pt idx="3">
                  <c:v>0.20932142420104283</c:v>
                </c:pt>
                <c:pt idx="4">
                  <c:v>-6.9693544276315134E-2</c:v>
                </c:pt>
                <c:pt idx="5">
                  <c:v>4.4732856749898797E-2</c:v>
                </c:pt>
                <c:pt idx="6">
                  <c:v>0</c:v>
                </c:pt>
                <c:pt idx="7">
                  <c:v>0</c:v>
                </c:pt>
                <c:pt idx="8">
                  <c:v>-0.11916253623585105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8.7392810961394396E-2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7C80-4380-B81F-397BB63770A0}"/>
            </c:ext>
          </c:extLst>
        </c:ser>
        <c:ser>
          <c:idx val="4"/>
          <c:order val="5"/>
          <c:tx>
            <c:strRef>
              <c:f>'EM evol mensu TF cat '!$O$52</c:f>
              <c:strCache>
                <c:ptCount val="1"/>
                <c:pt idx="0">
                  <c:v>def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mensu TF cat 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'!$O$53:$O$65</c:f>
              <c:numCache>
                <c:formatCode>0.00</c:formatCode>
                <c:ptCount val="13"/>
                <c:pt idx="0">
                  <c:v>8.2619384606588575E-2</c:v>
                </c:pt>
                <c:pt idx="1">
                  <c:v>0.37531672536368221</c:v>
                </c:pt>
                <c:pt idx="2">
                  <c:v>0.19873721205780193</c:v>
                </c:pt>
                <c:pt idx="3">
                  <c:v>-0.32568303244087637</c:v>
                </c:pt>
                <c:pt idx="4">
                  <c:v>-0.33191408235892217</c:v>
                </c:pt>
                <c:pt idx="5">
                  <c:v>0.56665819007900176</c:v>
                </c:pt>
                <c:pt idx="6">
                  <c:v>0.19256804798103655</c:v>
                </c:pt>
                <c:pt idx="7">
                  <c:v>1.0761343463392419</c:v>
                </c:pt>
                <c:pt idx="8">
                  <c:v>0.16433416034906001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0.18040324401686281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7C80-4380-B81F-397BB63770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mensu TF cat '!$C$73:$D$73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F0E-460E-B494-15D3CE7A8127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'!$C$75:$C$87</c:f>
              <c:numCache>
                <c:formatCode>0.00</c:formatCode>
                <c:ptCount val="13"/>
                <c:pt idx="0">
                  <c:v>1.9362511893434824</c:v>
                </c:pt>
                <c:pt idx="1">
                  <c:v>1.8925399644760212</c:v>
                </c:pt>
                <c:pt idx="2">
                  <c:v>2.0984419263456089</c:v>
                </c:pt>
                <c:pt idx="3">
                  <c:v>2.3683206106870229</c:v>
                </c:pt>
                <c:pt idx="4">
                  <c:v>2.4566353187042842</c:v>
                </c:pt>
                <c:pt idx="5">
                  <c:v>2.6570771001150746</c:v>
                </c:pt>
                <c:pt idx="6">
                  <c:v>2.2135306553911205</c:v>
                </c:pt>
                <c:pt idx="7">
                  <c:v>1.9748691099476441</c:v>
                </c:pt>
                <c:pt idx="8">
                  <c:v>2.0293594306049823</c:v>
                </c:pt>
                <c:pt idx="9">
                  <c:v>2.5714285714285716</c:v>
                </c:pt>
                <c:pt idx="10">
                  <c:v>1.8065187239944522</c:v>
                </c:pt>
                <c:pt idx="11">
                  <c:v>1.7956577266922094</c:v>
                </c:pt>
                <c:pt idx="12">
                  <c:v>2.109933577132622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F0E-460E-B494-15D3CE7A8127}"/>
            </c:ext>
          </c:extLst>
        </c:ser>
        <c:ser>
          <c:idx val="5"/>
          <c:order val="1"/>
          <c:tx>
            <c:strRef>
              <c:f>'EM evol mensu TF cat 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F0E-460E-B494-15D3CE7A8127}"/>
              </c:ext>
            </c:extLst>
          </c:dPt>
          <c:val>
            <c:numRef>
              <c:f>'EM evol mensu TF cat '!$I$75:$I$87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1.7625570776255708</c:v>
                </c:pt>
                <c:pt idx="4">
                  <c:v>1.60075329566855</c:v>
                </c:pt>
                <c:pt idx="5">
                  <c:v>1.8062953995157385</c:v>
                </c:pt>
                <c:pt idx="6">
                  <c:v>2.5428571428571427</c:v>
                </c:pt>
                <c:pt idx="7">
                  <c:v>1.5124113475177305</c:v>
                </c:pt>
                <c:pt idx="8">
                  <c:v>1.641711229946524</c:v>
                </c:pt>
                <c:pt idx="9">
                  <c:v>2.6287425149700598</c:v>
                </c:pt>
                <c:pt idx="10">
                  <c:v>1.7217391304347827</c:v>
                </c:pt>
                <c:pt idx="11">
                  <c:v>1.7701317715959004</c:v>
                </c:pt>
                <c:pt idx="12">
                  <c:v>1.9616059247709998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F0E-460E-B494-15D3CE7A8127}"/>
            </c:ext>
          </c:extLst>
        </c:ser>
        <c:ser>
          <c:idx val="0"/>
          <c:order val="2"/>
          <c:tx>
            <c:strRef>
              <c:f>'EM evol mensu TF cat 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F0E-460E-B494-15D3CE7A8127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'!$K$75:$K$87</c:f>
              <c:numCache>
                <c:formatCode>0.00</c:formatCode>
                <c:ptCount val="13"/>
                <c:pt idx="0">
                  <c:v>1.8437917222963951</c:v>
                </c:pt>
                <c:pt idx="1">
                  <c:v>1.7271557271557272</c:v>
                </c:pt>
                <c:pt idx="2">
                  <c:v>1.712907117008444</c:v>
                </c:pt>
                <c:pt idx="3">
                  <c:v>1.7098150782361308</c:v>
                </c:pt>
                <c:pt idx="4">
                  <c:v>1.8241308793456033</c:v>
                </c:pt>
                <c:pt idx="5">
                  <c:v>1.8506493506493507</c:v>
                </c:pt>
                <c:pt idx="6">
                  <c:v>0</c:v>
                </c:pt>
                <c:pt idx="7">
                  <c:v>0</c:v>
                </c:pt>
                <c:pt idx="8">
                  <c:v>1.941908713692946</c:v>
                </c:pt>
                <c:pt idx="9">
                  <c:v>1.7837837837837838</c:v>
                </c:pt>
                <c:pt idx="10">
                  <c:v>1.834140435835351</c:v>
                </c:pt>
                <c:pt idx="11">
                  <c:v>1.8573141486810552</c:v>
                </c:pt>
                <c:pt idx="12">
                  <c:v>1.8250295780202446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F0E-460E-B494-15D3CE7A8127}"/>
            </c:ext>
          </c:extLst>
        </c:ser>
        <c:ser>
          <c:idx val="1"/>
          <c:order val="3"/>
          <c:tx>
            <c:strRef>
              <c:f>'EM evol mensu TF cat '!$M$73:$N$73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CF0E-460E-B494-15D3CE7A812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CF0E-460E-B494-15D3CE7A8127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'!$M$75:$M$87</c:f>
              <c:numCache>
                <c:formatCode>0.00</c:formatCode>
                <c:ptCount val="13"/>
                <c:pt idx="0">
                  <c:v>2.0355677154582765</c:v>
                </c:pt>
                <c:pt idx="1">
                  <c:v>2.141025641025641</c:v>
                </c:pt>
                <c:pt idx="2">
                  <c:v>1.9730769230769232</c:v>
                </c:pt>
                <c:pt idx="3">
                  <c:v>1.8083462132921175</c:v>
                </c:pt>
                <c:pt idx="4">
                  <c:v>2.0141129032258065</c:v>
                </c:pt>
                <c:pt idx="5">
                  <c:v>2.1756198347107438</c:v>
                </c:pt>
                <c:pt idx="6">
                  <c:v>1.9364599092284418</c:v>
                </c:pt>
                <c:pt idx="7">
                  <c:v>1.8826086956521739</c:v>
                </c:pt>
                <c:pt idx="8">
                  <c:v>1.8926174496644295</c:v>
                </c:pt>
                <c:pt idx="12">
                  <c:v>1.9907493061979649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F0E-460E-B494-15D3CE7A81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mensu TF cat '!$N$74</c:f>
              <c:strCache>
                <c:ptCount val="1"/>
                <c:pt idx="0">
                  <c:v>def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F0E-460E-B494-15D3CE7A812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F0E-460E-B494-15D3CE7A812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F0E-460E-B494-15D3CE7A812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F0E-460E-B494-15D3CE7A812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F0E-460E-B494-15D3CE7A812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F0E-460E-B494-15D3CE7A812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F0E-460E-B494-15D3CE7A812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F0E-460E-B494-15D3CE7A812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F0E-460E-B494-15D3CE7A812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F0E-460E-B494-15D3CE7A812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F0E-460E-B494-15D3CE7A812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F0E-460E-B494-15D3CE7A812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F0E-460E-B494-15D3CE7A8127}"/>
              </c:ext>
            </c:extLst>
          </c:dPt>
          <c:cat>
            <c:strRef>
              <c:f>'EM evol mensu TF cat 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'!$N$75:$N$87</c:f>
              <c:numCache>
                <c:formatCode>0.00</c:formatCode>
                <c:ptCount val="13"/>
                <c:pt idx="0">
                  <c:v>0.19177599316188143</c:v>
                </c:pt>
                <c:pt idx="1">
                  <c:v>0.41386991386991379</c:v>
                </c:pt>
                <c:pt idx="2">
                  <c:v>0.26016980606847917</c:v>
                </c:pt>
                <c:pt idx="3">
                  <c:v>9.8531135055986763E-2</c:v>
                </c:pt>
                <c:pt idx="4">
                  <c:v>0.18998202388020324</c:v>
                </c:pt>
                <c:pt idx="5">
                  <c:v>0.32497048406139317</c:v>
                </c:pt>
                <c:pt idx="6">
                  <c:v>0</c:v>
                </c:pt>
                <c:pt idx="7">
                  <c:v>0</c:v>
                </c:pt>
                <c:pt idx="8">
                  <c:v>-4.9291264028516579E-2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0.20317415589736365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CF0E-460E-B494-15D3CE7A8127}"/>
            </c:ext>
          </c:extLst>
        </c:ser>
        <c:ser>
          <c:idx val="4"/>
          <c:order val="5"/>
          <c:tx>
            <c:strRef>
              <c:f>'EM evol mensu TF cat '!$O$74</c:f>
              <c:strCache>
                <c:ptCount val="1"/>
                <c:pt idx="0">
                  <c:v>def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mensu TF cat 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'!$O$75:$O$87</c:f>
              <c:numCache>
                <c:formatCode>0.00</c:formatCode>
                <c:ptCount val="13"/>
                <c:pt idx="0">
                  <c:v>9.9316526114794135E-2</c:v>
                </c:pt>
                <c:pt idx="1">
                  <c:v>0.24848567654961973</c:v>
                </c:pt>
                <c:pt idx="2">
                  <c:v>-0.12536500326868572</c:v>
                </c:pt>
                <c:pt idx="3">
                  <c:v>-0.5599743973949054</c:v>
                </c:pt>
                <c:pt idx="4">
                  <c:v>-0.4425224154784777</c:v>
                </c:pt>
                <c:pt idx="5">
                  <c:v>-0.48145726540433076</c:v>
                </c:pt>
                <c:pt idx="6">
                  <c:v>-0.27707074616267868</c:v>
                </c:pt>
                <c:pt idx="7">
                  <c:v>-9.2260414295470161E-2</c:v>
                </c:pt>
                <c:pt idx="8">
                  <c:v>-0.13674198094055279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-0.17324732112075347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CF0E-460E-B494-15D3CE7A81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mensu TF cat '!$C$95:$D$95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222-4DCB-82E9-2C0D6669B8AC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'!$C$97:$C$109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222-4DCB-82E9-2C0D6669B8AC}"/>
            </c:ext>
          </c:extLst>
        </c:ser>
        <c:ser>
          <c:idx val="5"/>
          <c:order val="1"/>
          <c:tx>
            <c:strRef>
              <c:f>'EM evol mensu TF cat '!$I$95:$J$95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222-4DCB-82E9-2C0D6669B8AC}"/>
              </c:ext>
            </c:extLst>
          </c:dPt>
          <c:val>
            <c:numRef>
              <c:f>'EM evol mensu TF cat '!$I$97:$I$109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222-4DCB-82E9-2C0D6669B8AC}"/>
            </c:ext>
          </c:extLst>
        </c:ser>
        <c:ser>
          <c:idx val="0"/>
          <c:order val="2"/>
          <c:tx>
            <c:strRef>
              <c:f>'EM evol mensu TF cat '!$K$95:$L$95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222-4DCB-82E9-2C0D6669B8AC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'!$K$97:$K$109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222-4DCB-82E9-2C0D6669B8AC}"/>
            </c:ext>
          </c:extLst>
        </c:ser>
        <c:ser>
          <c:idx val="1"/>
          <c:order val="3"/>
          <c:tx>
            <c:strRef>
              <c:f>'EM evol mensu TF cat '!$M$95:$N$95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9222-4DCB-82E9-2C0D6669B8A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9222-4DCB-82E9-2C0D6669B8AC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'!$M$97:$M$109</c:f>
              <c:numCache>
                <c:formatCode>0.00</c:formatCode>
                <c:ptCount val="13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222-4DCB-82E9-2C0D6669B8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mensu TF cat '!$N$96</c:f>
              <c:strCache>
                <c:ptCount val="1"/>
                <c:pt idx="0">
                  <c:v>def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222-4DCB-82E9-2C0D6669B8A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222-4DCB-82E9-2C0D6669B8A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222-4DCB-82E9-2C0D6669B8A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222-4DCB-82E9-2C0D6669B8A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222-4DCB-82E9-2C0D6669B8A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222-4DCB-82E9-2C0D6669B8A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222-4DCB-82E9-2C0D6669B8A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222-4DCB-82E9-2C0D6669B8A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222-4DCB-82E9-2C0D6669B8A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222-4DCB-82E9-2C0D6669B8A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222-4DCB-82E9-2C0D6669B8A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222-4DCB-82E9-2C0D6669B8A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222-4DCB-82E9-2C0D6669B8AC}"/>
              </c:ext>
            </c:extLst>
          </c:dPt>
          <c:cat>
            <c:strRef>
              <c:f>'EM evol mensu TF cat 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'!$N$97:$N$109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9222-4DCB-82E9-2C0D6669B8AC}"/>
            </c:ext>
          </c:extLst>
        </c:ser>
        <c:ser>
          <c:idx val="4"/>
          <c:order val="5"/>
          <c:tx>
            <c:strRef>
              <c:f>'EM evol mensu TF cat '!$O$96</c:f>
              <c:strCache>
                <c:ptCount val="1"/>
                <c:pt idx="0">
                  <c:v>def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mensu TF cat 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'!$O$97:$O$109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9222-4DCB-82E9-2C0D6669B8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879304380456516"/>
          <c:y val="0.17750569674669167"/>
          <c:w val="0.87120700483091784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B56-492F-A0BB-DDE4B8730D68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mens'!$C$9:$C$21</c:f>
              <c:numCache>
                <c:formatCode>0.0%</c:formatCode>
                <c:ptCount val="13"/>
                <c:pt idx="0">
                  <c:v>0.51529999999999998</c:v>
                </c:pt>
                <c:pt idx="1">
                  <c:v>0.61759999999999993</c:v>
                </c:pt>
                <c:pt idx="2">
                  <c:v>0.5776</c:v>
                </c:pt>
                <c:pt idx="3">
                  <c:v>0.52549999999999997</c:v>
                </c:pt>
                <c:pt idx="4">
                  <c:v>0.4703</c:v>
                </c:pt>
                <c:pt idx="5">
                  <c:v>0.48659999999999998</c:v>
                </c:pt>
                <c:pt idx="6">
                  <c:v>0.50729999999999997</c:v>
                </c:pt>
                <c:pt idx="7">
                  <c:v>0.50680000000000003</c:v>
                </c:pt>
                <c:pt idx="8">
                  <c:v>0.45679999999999998</c:v>
                </c:pt>
                <c:pt idx="9">
                  <c:v>0.441</c:v>
                </c:pt>
                <c:pt idx="10">
                  <c:v>0.60680000000000001</c:v>
                </c:pt>
                <c:pt idx="11">
                  <c:v>0.53979999999999995</c:v>
                </c:pt>
                <c:pt idx="12">
                  <c:v>0.52295410715246138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B56-492F-A0BB-DDE4B8730D68}"/>
            </c:ext>
          </c:extLst>
        </c:ser>
        <c:ser>
          <c:idx val="5"/>
          <c:order val="1"/>
          <c:tx>
            <c:strRef>
              <c:f>'tasa de ocupación evol mens'!$I$7:$J$7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B56-492F-A0BB-DDE4B8730D68}"/>
              </c:ext>
            </c:extLst>
          </c:dPt>
          <c:val>
            <c:numRef>
              <c:f>'tasa de ocupación evol mens'!$I$9:$I$21</c:f>
              <c:numCache>
                <c:formatCode>0.0%</c:formatCode>
                <c:ptCount val="13"/>
                <c:pt idx="0">
                  <c:v>0.58840000000000003</c:v>
                </c:pt>
                <c:pt idx="1">
                  <c:v>0.65049999999999997</c:v>
                </c:pt>
                <c:pt idx="2">
                  <c:v>0.65599999999999992</c:v>
                </c:pt>
                <c:pt idx="3">
                  <c:v>0.61299999999999999</c:v>
                </c:pt>
                <c:pt idx="4">
                  <c:v>0.49070000000000003</c:v>
                </c:pt>
                <c:pt idx="5">
                  <c:v>0.56700000000000006</c:v>
                </c:pt>
                <c:pt idx="6">
                  <c:v>0.52110000000000001</c:v>
                </c:pt>
                <c:pt idx="7">
                  <c:v>0.49969999999999998</c:v>
                </c:pt>
                <c:pt idx="8">
                  <c:v>0.5514</c:v>
                </c:pt>
                <c:pt idx="9">
                  <c:v>0.56420000000000003</c:v>
                </c:pt>
                <c:pt idx="10">
                  <c:v>0.65629999999999999</c:v>
                </c:pt>
                <c:pt idx="11">
                  <c:v>0.58939999999999992</c:v>
                </c:pt>
                <c:pt idx="12">
                  <c:v>0.57741590694750078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B56-492F-A0BB-DDE4B8730D68}"/>
            </c:ext>
          </c:extLst>
        </c:ser>
        <c:ser>
          <c:idx val="0"/>
          <c:order val="2"/>
          <c:tx>
            <c:strRef>
              <c:f>'tasa de ocupación evol mens'!$K$7:$L$7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B56-492F-A0BB-DDE4B8730D68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mens'!$K$9:$K$21</c:f>
              <c:numCache>
                <c:formatCode>0.0%</c:formatCode>
                <c:ptCount val="13"/>
                <c:pt idx="0">
                  <c:v>0.69830000000000003</c:v>
                </c:pt>
                <c:pt idx="1">
                  <c:v>0.76769999999999994</c:v>
                </c:pt>
                <c:pt idx="2">
                  <c:v>0.75919999999999999</c:v>
                </c:pt>
                <c:pt idx="3">
                  <c:v>0.63869999999999993</c:v>
                </c:pt>
                <c:pt idx="4">
                  <c:v>0.62240000000000006</c:v>
                </c:pt>
                <c:pt idx="5">
                  <c:v>0.52149999999999996</c:v>
                </c:pt>
                <c:pt idx="6">
                  <c:v>0.46679999999999999</c:v>
                </c:pt>
                <c:pt idx="7">
                  <c:v>0.60020000000000007</c:v>
                </c:pt>
                <c:pt idx="8">
                  <c:v>0.53320000000000001</c:v>
                </c:pt>
                <c:pt idx="9">
                  <c:v>0.53239999999999998</c:v>
                </c:pt>
                <c:pt idx="10">
                  <c:v>0.65459999999999996</c:v>
                </c:pt>
                <c:pt idx="11">
                  <c:v>0.56869999999999998</c:v>
                </c:pt>
                <c:pt idx="12">
                  <c:v>0.61259601883208059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B56-492F-A0BB-DDE4B8730D68}"/>
            </c:ext>
          </c:extLst>
        </c:ser>
        <c:ser>
          <c:idx val="1"/>
          <c:order val="3"/>
          <c:tx>
            <c:strRef>
              <c:f>'tasa de ocupación evol mens'!$M$7:$N$7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rgbClr val="58B6C0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5B56-492F-A0BB-DDE4B8730D6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5B56-492F-A0BB-DDE4B8730D68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mens'!$M$9:$M$21</c:f>
              <c:numCache>
                <c:formatCode>0.0%</c:formatCode>
                <c:ptCount val="13"/>
                <c:pt idx="0">
                  <c:v>0.69889999999999997</c:v>
                </c:pt>
                <c:pt idx="1">
                  <c:v>0.77560000000000007</c:v>
                </c:pt>
                <c:pt idx="2">
                  <c:v>0.73299999999999998</c:v>
                </c:pt>
                <c:pt idx="3">
                  <c:v>0.66559999999999997</c:v>
                </c:pt>
                <c:pt idx="4">
                  <c:v>0.5998</c:v>
                </c:pt>
                <c:pt idx="5">
                  <c:v>0.501</c:v>
                </c:pt>
                <c:pt idx="6">
                  <c:v>0.48599999999999999</c:v>
                </c:pt>
                <c:pt idx="7">
                  <c:v>0.44380000000000003</c:v>
                </c:pt>
                <c:pt idx="8">
                  <c:v>0.56189999999999996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5B56-492F-A0BB-DDE4B8730D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'tasa de ocupación evol mens'!$N$8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B56-492F-A0BB-DDE4B8730D6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B56-492F-A0BB-DDE4B8730D6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B56-492F-A0BB-DDE4B8730D6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B56-492F-A0BB-DDE4B8730D6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B56-492F-A0BB-DDE4B8730D6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B56-492F-A0BB-DDE4B8730D6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B56-492F-A0BB-DDE4B8730D6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B56-492F-A0BB-DDE4B8730D6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B56-492F-A0BB-DDE4B8730D6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B56-492F-A0BB-DDE4B8730D6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B56-492F-A0BB-DDE4B8730D6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B56-492F-A0BB-DDE4B8730D6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B56-492F-A0BB-DDE4B8730D68}"/>
              </c:ext>
            </c:extLst>
          </c:dPt>
          <c:cat>
            <c:strRef>
              <c:f>'tasa de ocupación evol mens'!$B$9:$B$20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mens'!$N$9:$N$21</c:f>
              <c:numCache>
                <c:formatCode>0.0%</c:formatCode>
                <c:ptCount val="13"/>
                <c:pt idx="0">
                  <c:v>8.5922955749673235E-4</c:v>
                </c:pt>
                <c:pt idx="1">
                  <c:v>1.0290478051322216E-2</c:v>
                </c:pt>
                <c:pt idx="2">
                  <c:v>-3.4510010537407765E-2</c:v>
                </c:pt>
                <c:pt idx="3">
                  <c:v>4.2116799749491118E-2</c:v>
                </c:pt>
                <c:pt idx="4">
                  <c:v>-3.6311053984575903E-2</c:v>
                </c:pt>
                <c:pt idx="5">
                  <c:v>-3.9309683604985546E-2</c:v>
                </c:pt>
                <c:pt idx="6">
                  <c:v>4.1131105398457546E-2</c:v>
                </c:pt>
                <c:pt idx="7">
                  <c:v>-0.26057980673108971</c:v>
                </c:pt>
                <c:pt idx="8">
                  <c:v>5.382595648912214E-2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5B56-492F-A0BB-DDE4B8730D68}"/>
            </c:ext>
          </c:extLst>
        </c:ser>
        <c:ser>
          <c:idx val="4"/>
          <c:order val="5"/>
          <c:tx>
            <c:strRef>
              <c:f>'tasa de ocupación evol mens'!$O$8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'tasa de ocupación evol mens'!$O$9:$O$21</c:f>
              <c:numCache>
                <c:formatCode>0.0%</c:formatCode>
                <c:ptCount val="13"/>
                <c:pt idx="0">
                  <c:v>0.35629730254220848</c:v>
                </c:pt>
                <c:pt idx="1">
                  <c:v>0.25582901554404169</c:v>
                </c:pt>
                <c:pt idx="2">
                  <c:v>0.26904432132963985</c:v>
                </c:pt>
                <c:pt idx="3">
                  <c:v>0.26660323501427219</c:v>
                </c:pt>
                <c:pt idx="4">
                  <c:v>0.27535615564533278</c:v>
                </c:pt>
                <c:pt idx="5">
                  <c:v>2.9593094944512899E-2</c:v>
                </c:pt>
                <c:pt idx="6">
                  <c:v>-4.1986989946777076E-2</c:v>
                </c:pt>
                <c:pt idx="7">
                  <c:v>-0.12430939226519333</c:v>
                </c:pt>
                <c:pt idx="8">
                  <c:v>0.23007880910682998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5B56-492F-A0BB-DDE4B8730D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546570048309177"/>
          <c:y val="0.19562368325463131"/>
          <c:w val="0.87427463768115943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mens'!$I$95:$J$95</c:f>
              <c:strCache>
                <c:ptCount val="1"/>
              </c:strCache>
            </c:strRef>
          </c:tx>
          <c:spPr>
            <a:ln w="25400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185-4B43-84A1-09302DBB6147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mens'!$I$97:$I$109</c:f>
              <c:numCache>
                <c:formatCode>General</c:formatCode>
                <c:ptCount val="13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185-4B43-84A1-09302DBB6147}"/>
            </c:ext>
          </c:extLst>
        </c:ser>
        <c:ser>
          <c:idx val="0"/>
          <c:order val="1"/>
          <c:tx>
            <c:strRef>
              <c:f>'tasa de ocupación evol mens'!$K$95:$L$95</c:f>
              <c:strCache>
                <c:ptCount val="1"/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185-4B43-84A1-09302DBB6147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mens'!$K$97:$K$109</c:f>
              <c:numCache>
                <c:formatCode>General</c:formatCode>
                <c:ptCount val="13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185-4B43-84A1-09302DBB6147}"/>
            </c:ext>
          </c:extLst>
        </c:ser>
        <c:ser>
          <c:idx val="1"/>
          <c:order val="2"/>
          <c:tx>
            <c:strRef>
              <c:f>'tasa de ocupación evol mens'!$M$95:$N$95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185-4B43-84A1-09302DBB6147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mens'!$M$97:$M$109</c:f>
              <c:numCache>
                <c:formatCode>0.0%</c:formatCode>
                <c:ptCount val="13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185-4B43-84A1-09302DBB61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3"/>
          <c:tx>
            <c:strRef>
              <c:f>'tasa de ocupación evol mens'!$N$96</c:f>
              <c:strCache>
                <c:ptCount val="1"/>
                <c:pt idx="0">
                  <c:v>var 24/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185-4B43-84A1-09302DBB614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185-4B43-84A1-09302DBB614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185-4B43-84A1-09302DBB614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185-4B43-84A1-09302DBB614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185-4B43-84A1-09302DBB614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185-4B43-84A1-09302DBB614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185-4B43-84A1-09302DBB614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185-4B43-84A1-09302DBB614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185-4B43-84A1-09302DBB614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185-4B43-84A1-09302DBB614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185-4B43-84A1-09302DBB614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185-4B43-84A1-09302DBB614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185-4B43-84A1-09302DBB6147}"/>
              </c:ext>
            </c:extLst>
          </c:dPt>
          <c:cat>
            <c:strRef>
              <c:f>'tasa de ocupación evol mens'!$B$97:$B$108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mens'!$N$97:$N$109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185-4B43-84A1-09302DBB6147}"/>
            </c:ext>
          </c:extLst>
        </c:ser>
        <c:ser>
          <c:idx val="4"/>
          <c:order val="4"/>
          <c:tx>
            <c:strRef>
              <c:f>'tasa de ocupación evol mens'!$O$96</c:f>
              <c:strCache>
                <c:ptCount val="1"/>
                <c:pt idx="0">
                  <c:v>var 24/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'tasa de ocupación evol mens'!$O$97:$O$109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9185-4B43-84A1-09302DBB61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1739082125603864"/>
          <c:y val="0.15564305555555558"/>
          <c:w val="0.8970059178743961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706-4164-A4F3-9EB9019CEE08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mens'!$I$75:$I$87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0.40850000000000003</c:v>
                </c:pt>
                <c:pt idx="4">
                  <c:v>0.43520000000000003</c:v>
                </c:pt>
                <c:pt idx="5">
                  <c:v>0.3947</c:v>
                </c:pt>
                <c:pt idx="6">
                  <c:v>0.50130000000000008</c:v>
                </c:pt>
                <c:pt idx="7">
                  <c:v>0.43680000000000002</c:v>
                </c:pt>
                <c:pt idx="8">
                  <c:v>0.48729999999999996</c:v>
                </c:pt>
                <c:pt idx="9">
                  <c:v>0.67430000000000012</c:v>
                </c:pt>
                <c:pt idx="10">
                  <c:v>0.62860000000000005</c:v>
                </c:pt>
                <c:pt idx="11">
                  <c:v>0.61899999999999999</c:v>
                </c:pt>
                <c:pt idx="12">
                  <c:v>0.58309999999999995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706-4164-A4F3-9EB9019CEE08}"/>
            </c:ext>
          </c:extLst>
        </c:ser>
        <c:ser>
          <c:idx val="0"/>
          <c:order val="1"/>
          <c:tx>
            <c:strRef>
              <c:f>'tasa de ocupación evol mens'!$K$73:$L$73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706-4164-A4F3-9EB9019CEE08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mens'!$K$75:$K$87</c:f>
              <c:numCache>
                <c:formatCode>0.0%</c:formatCode>
                <c:ptCount val="13"/>
                <c:pt idx="0">
                  <c:v>0.70709999999999995</c:v>
                </c:pt>
                <c:pt idx="1">
                  <c:v>0.76080000000000003</c:v>
                </c:pt>
                <c:pt idx="2">
                  <c:v>0.72709999999999997</c:v>
                </c:pt>
                <c:pt idx="3">
                  <c:v>0.63600000000000001</c:v>
                </c:pt>
                <c:pt idx="4">
                  <c:v>0.45669999999999999</c:v>
                </c:pt>
                <c:pt idx="5">
                  <c:v>0.45240000000000002</c:v>
                </c:pt>
                <c:pt idx="6">
                  <c:v>0</c:v>
                </c:pt>
                <c:pt idx="7">
                  <c:v>0</c:v>
                </c:pt>
                <c:pt idx="8">
                  <c:v>0.49520000000000003</c:v>
                </c:pt>
                <c:pt idx="9">
                  <c:v>0.55409999999999993</c:v>
                </c:pt>
                <c:pt idx="10">
                  <c:v>0.69180000000000008</c:v>
                </c:pt>
                <c:pt idx="11">
                  <c:v>0.6845</c:v>
                </c:pt>
                <c:pt idx="12">
                  <c:v>0.6139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706-4164-A4F3-9EB9019CEE08}"/>
            </c:ext>
          </c:extLst>
        </c:ser>
        <c:ser>
          <c:idx val="1"/>
          <c:order val="2"/>
          <c:tx>
            <c:strRef>
              <c:f>'tasa de ocupación evol mens'!$M$73:$N$73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706-4164-A4F3-9EB9019CEE08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mens'!$M$75:$M$87</c:f>
              <c:numCache>
                <c:formatCode>0.0%</c:formatCode>
                <c:ptCount val="13"/>
                <c:pt idx="0">
                  <c:v>0.65749999999999997</c:v>
                </c:pt>
                <c:pt idx="1">
                  <c:v>0.81700000000000006</c:v>
                </c:pt>
                <c:pt idx="2">
                  <c:v>0.68010000000000004</c:v>
                </c:pt>
                <c:pt idx="3">
                  <c:v>0.53420000000000001</c:v>
                </c:pt>
                <c:pt idx="4">
                  <c:v>0.44140000000000001</c:v>
                </c:pt>
                <c:pt idx="5">
                  <c:v>0.48080000000000001</c:v>
                </c:pt>
                <c:pt idx="6">
                  <c:v>0.56559999999999999</c:v>
                </c:pt>
                <c:pt idx="7">
                  <c:v>0.1913</c:v>
                </c:pt>
                <c:pt idx="8">
                  <c:v>0.5151</c:v>
                </c:pt>
                <c:pt idx="12">
                  <c:v>0.54255555555555557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706-4164-A4F3-9EB9019CEE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3"/>
          <c:tx>
            <c:strRef>
              <c:f>'tasa de ocupación evol mens'!$N$74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706-4164-A4F3-9EB9019CEE0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706-4164-A4F3-9EB9019CEE0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706-4164-A4F3-9EB9019CEE0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706-4164-A4F3-9EB9019CEE0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706-4164-A4F3-9EB9019CEE0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706-4164-A4F3-9EB9019CEE0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706-4164-A4F3-9EB9019CEE0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706-4164-A4F3-9EB9019CEE0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706-4164-A4F3-9EB9019CEE0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706-4164-A4F3-9EB9019CEE0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706-4164-A4F3-9EB9019CEE0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706-4164-A4F3-9EB9019CEE0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706-4164-A4F3-9EB9019CEE08}"/>
              </c:ext>
            </c:extLst>
          </c:dPt>
          <c:cat>
            <c:strRef>
              <c:f>'tasa de ocupación evol mens'!$B$53:$B$64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mens'!$N$75:$N$87</c:f>
              <c:numCache>
                <c:formatCode>0.0%</c:formatCode>
                <c:ptCount val="13"/>
                <c:pt idx="0">
                  <c:v>-7.0145665393862244E-2</c:v>
                </c:pt>
                <c:pt idx="1">
                  <c:v>7.3869610935856977E-2</c:v>
                </c:pt>
                <c:pt idx="2">
                  <c:v>-6.4640352083619734E-2</c:v>
                </c:pt>
                <c:pt idx="3">
                  <c:v>-0.16006289308176103</c:v>
                </c:pt>
                <c:pt idx="4">
                  <c:v>-3.3501204291657483E-2</c:v>
                </c:pt>
                <c:pt idx="5">
                  <c:v>6.2776304155614415E-2</c:v>
                </c:pt>
                <c:pt idx="6">
                  <c:v>0</c:v>
                </c:pt>
                <c:pt idx="7">
                  <c:v>0</c:v>
                </c:pt>
                <c:pt idx="8">
                  <c:v>4.0185783521809348E-2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-0.10162045341305426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706-4164-A4F3-9EB9019CEE08}"/>
            </c:ext>
          </c:extLst>
        </c:ser>
        <c:ser>
          <c:idx val="4"/>
          <c:order val="4"/>
          <c:tx>
            <c:strRef>
              <c:f>'tasa de ocupación evol mens'!$O$74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'tasa de ocupación evol mens'!$O$75:$O$87</c:f>
              <c:numCache>
                <c:formatCode>0.0%</c:formatCode>
                <c:ptCount val="13"/>
                <c:pt idx="0">
                  <c:v>0.58243080625752097</c:v>
                </c:pt>
                <c:pt idx="1">
                  <c:v>0.69607639609715588</c:v>
                </c:pt>
                <c:pt idx="2">
                  <c:v>0.12431806910233112</c:v>
                </c:pt>
                <c:pt idx="3">
                  <c:v>2.0244461420932058E-2</c:v>
                </c:pt>
                <c:pt idx="4">
                  <c:v>-8.0416666666666581E-2</c:v>
                </c:pt>
                <c:pt idx="5">
                  <c:v>-1.2933689180866459E-2</c:v>
                </c:pt>
                <c:pt idx="6">
                  <c:v>0.32304093567251457</c:v>
                </c:pt>
                <c:pt idx="7">
                  <c:v>-0.50324591015320697</c:v>
                </c:pt>
                <c:pt idx="8">
                  <c:v>7.0448877805486365E-2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0.13981060458471317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B706-4164-A4F3-9EB9019CEE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879304380456516"/>
          <c:y val="0.13474552527311315"/>
          <c:w val="0.87120700483091784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EA5-43E4-967E-C1BA0CFF0ED1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mens'!$C$31:$C$43</c:f>
              <c:numCache>
                <c:formatCode>0.0%</c:formatCode>
                <c:ptCount val="13"/>
                <c:pt idx="0">
                  <c:v>0.51529999999999998</c:v>
                </c:pt>
                <c:pt idx="1">
                  <c:v>0.61759999999999993</c:v>
                </c:pt>
                <c:pt idx="2">
                  <c:v>0.5776</c:v>
                </c:pt>
                <c:pt idx="3">
                  <c:v>0.52549999999999997</c:v>
                </c:pt>
                <c:pt idx="4">
                  <c:v>0.4703</c:v>
                </c:pt>
                <c:pt idx="5">
                  <c:v>0.48659999999999998</c:v>
                </c:pt>
                <c:pt idx="6">
                  <c:v>0.50729999999999997</c:v>
                </c:pt>
                <c:pt idx="7">
                  <c:v>0.50680000000000003</c:v>
                </c:pt>
                <c:pt idx="8">
                  <c:v>0.45679999999999998</c:v>
                </c:pt>
                <c:pt idx="9">
                  <c:v>0.441</c:v>
                </c:pt>
                <c:pt idx="10">
                  <c:v>0.60680000000000001</c:v>
                </c:pt>
                <c:pt idx="11">
                  <c:v>0.53979999999999995</c:v>
                </c:pt>
                <c:pt idx="12">
                  <c:v>0.52295410715246138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EA5-43E4-967E-C1BA0CFF0ED1}"/>
            </c:ext>
          </c:extLst>
        </c:ser>
        <c:ser>
          <c:idx val="5"/>
          <c:order val="1"/>
          <c:tx>
            <c:strRef>
              <c:f>'tasa de ocupación evol mens'!$I$29:$J$29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EA5-43E4-967E-C1BA0CFF0ED1}"/>
              </c:ext>
            </c:extLst>
          </c:dPt>
          <c:val>
            <c:numRef>
              <c:f>'tasa de ocupación evol mens'!$I$31:$I$43</c:f>
              <c:numCache>
                <c:formatCode>0.0%</c:formatCode>
                <c:ptCount val="13"/>
                <c:pt idx="0">
                  <c:v>0.58840000000000003</c:v>
                </c:pt>
                <c:pt idx="1">
                  <c:v>0.65049999999999997</c:v>
                </c:pt>
                <c:pt idx="2">
                  <c:v>0.65599999999999992</c:v>
                </c:pt>
                <c:pt idx="3">
                  <c:v>0.61299999999999999</c:v>
                </c:pt>
                <c:pt idx="4">
                  <c:v>0.49070000000000003</c:v>
                </c:pt>
                <c:pt idx="5">
                  <c:v>0.56700000000000006</c:v>
                </c:pt>
                <c:pt idx="6">
                  <c:v>0.52110000000000001</c:v>
                </c:pt>
                <c:pt idx="7">
                  <c:v>0.49969999999999998</c:v>
                </c:pt>
                <c:pt idx="8">
                  <c:v>0.5514</c:v>
                </c:pt>
                <c:pt idx="9">
                  <c:v>0.56420000000000003</c:v>
                </c:pt>
                <c:pt idx="10">
                  <c:v>0.65629999999999999</c:v>
                </c:pt>
                <c:pt idx="11">
                  <c:v>0.58939999999999992</c:v>
                </c:pt>
                <c:pt idx="12">
                  <c:v>0.57741590694750078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EA5-43E4-967E-C1BA0CFF0ED1}"/>
            </c:ext>
          </c:extLst>
        </c:ser>
        <c:ser>
          <c:idx val="0"/>
          <c:order val="2"/>
          <c:tx>
            <c:strRef>
              <c:f>'tasa de ocupación evol mens'!$K$29:$L$29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EA5-43E4-967E-C1BA0CFF0ED1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mens'!$K$31:$K$43</c:f>
              <c:numCache>
                <c:formatCode>0.0%</c:formatCode>
                <c:ptCount val="13"/>
                <c:pt idx="0">
                  <c:v>0.69830000000000003</c:v>
                </c:pt>
                <c:pt idx="1">
                  <c:v>0.76769999999999994</c:v>
                </c:pt>
                <c:pt idx="2">
                  <c:v>0.75919999999999999</c:v>
                </c:pt>
                <c:pt idx="3">
                  <c:v>0.63869999999999993</c:v>
                </c:pt>
                <c:pt idx="4">
                  <c:v>0.62240000000000006</c:v>
                </c:pt>
                <c:pt idx="5">
                  <c:v>0.52149999999999996</c:v>
                </c:pt>
                <c:pt idx="6">
                  <c:v>0.46679999999999999</c:v>
                </c:pt>
                <c:pt idx="7">
                  <c:v>0.60020000000000007</c:v>
                </c:pt>
                <c:pt idx="8">
                  <c:v>0.53320000000000001</c:v>
                </c:pt>
                <c:pt idx="9">
                  <c:v>0.53239999999999998</c:v>
                </c:pt>
                <c:pt idx="10">
                  <c:v>0.65459999999999996</c:v>
                </c:pt>
                <c:pt idx="11">
                  <c:v>0.56869999999999998</c:v>
                </c:pt>
                <c:pt idx="12">
                  <c:v>0.61259601883208059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EA5-43E4-967E-C1BA0CFF0ED1}"/>
            </c:ext>
          </c:extLst>
        </c:ser>
        <c:ser>
          <c:idx val="1"/>
          <c:order val="3"/>
          <c:tx>
            <c:strRef>
              <c:f>'tasa de ocupación evol mens'!$M$29:$N$29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rgbClr val="58B6C0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BEA5-43E4-967E-C1BA0CFF0ED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BEA5-43E4-967E-C1BA0CFF0ED1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mens'!$M$31:$M$43</c:f>
              <c:numCache>
                <c:formatCode>0.0%</c:formatCode>
                <c:ptCount val="13"/>
                <c:pt idx="0">
                  <c:v>0.69889999999999997</c:v>
                </c:pt>
                <c:pt idx="1">
                  <c:v>0.80330000000000001</c:v>
                </c:pt>
                <c:pt idx="2">
                  <c:v>0.73299999999999998</c:v>
                </c:pt>
                <c:pt idx="3">
                  <c:v>0.66559999999999997</c:v>
                </c:pt>
                <c:pt idx="4">
                  <c:v>0.5998</c:v>
                </c:pt>
                <c:pt idx="5">
                  <c:v>0.501</c:v>
                </c:pt>
                <c:pt idx="6">
                  <c:v>0.48599999999999999</c:v>
                </c:pt>
                <c:pt idx="7">
                  <c:v>0.44380000000000003</c:v>
                </c:pt>
                <c:pt idx="8">
                  <c:v>0.56189999999999996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BEA5-43E4-967E-C1BA0CFF0E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'tasa de ocupación evol mens'!$N$30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EA5-43E4-967E-C1BA0CFF0ED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EA5-43E4-967E-C1BA0CFF0ED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EA5-43E4-967E-C1BA0CFF0ED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EA5-43E4-967E-C1BA0CFF0ED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EA5-43E4-967E-C1BA0CFF0ED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EA5-43E4-967E-C1BA0CFF0ED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EA5-43E4-967E-C1BA0CFF0ED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EA5-43E4-967E-C1BA0CFF0ED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EA5-43E4-967E-C1BA0CFF0ED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EA5-43E4-967E-C1BA0CFF0ED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EA5-43E4-967E-C1BA0CFF0ED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EA5-43E4-967E-C1BA0CFF0ED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EA5-43E4-967E-C1BA0CFF0ED1}"/>
              </c:ext>
            </c:extLst>
          </c:dPt>
          <c:cat>
            <c:strRef>
              <c:f>'tasa de ocupación evol mens'!$B$31:$B$42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mens'!$N$31:$N$43</c:f>
              <c:numCache>
                <c:formatCode>0.0%</c:formatCode>
                <c:ptCount val="13"/>
                <c:pt idx="0">
                  <c:v>8.5922955749673235E-4</c:v>
                </c:pt>
                <c:pt idx="1">
                  <c:v>4.6372280838869351E-2</c:v>
                </c:pt>
                <c:pt idx="2">
                  <c:v>-3.4510010537407765E-2</c:v>
                </c:pt>
                <c:pt idx="3">
                  <c:v>4.2116799749491118E-2</c:v>
                </c:pt>
                <c:pt idx="4">
                  <c:v>-3.6311053984575903E-2</c:v>
                </c:pt>
                <c:pt idx="5">
                  <c:v>-3.9309683604985546E-2</c:v>
                </c:pt>
                <c:pt idx="6">
                  <c:v>4.1131105398457546E-2</c:v>
                </c:pt>
                <c:pt idx="7">
                  <c:v>-0.26057980673108971</c:v>
                </c:pt>
                <c:pt idx="8">
                  <c:v>5.382595648912214E-2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BEA5-43E4-967E-C1BA0CFF0ED1}"/>
            </c:ext>
          </c:extLst>
        </c:ser>
        <c:ser>
          <c:idx val="4"/>
          <c:order val="5"/>
          <c:tx>
            <c:strRef>
              <c:f>'tasa de ocupación evol mens'!$O$30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'tasa de ocupación evol mens'!$B$31:$B$42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mens'!$O$31:$O$43</c:f>
              <c:numCache>
                <c:formatCode>0.0%</c:formatCode>
                <c:ptCount val="13"/>
                <c:pt idx="0">
                  <c:v>0.35629730254220848</c:v>
                </c:pt>
                <c:pt idx="1">
                  <c:v>0.30068005181347157</c:v>
                </c:pt>
                <c:pt idx="2">
                  <c:v>0.26904432132963985</c:v>
                </c:pt>
                <c:pt idx="3">
                  <c:v>0.26660323501427219</c:v>
                </c:pt>
                <c:pt idx="4">
                  <c:v>0.27535615564533278</c:v>
                </c:pt>
                <c:pt idx="5">
                  <c:v>2.9593094944512899E-2</c:v>
                </c:pt>
                <c:pt idx="6">
                  <c:v>-4.1986989946777076E-2</c:v>
                </c:pt>
                <c:pt idx="7">
                  <c:v>-0.12430939226519333</c:v>
                </c:pt>
                <c:pt idx="8">
                  <c:v>0.23007880910682998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BEA5-43E4-967E-C1BA0CFF0E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879304380456516"/>
          <c:y val="0.15001701508510548"/>
          <c:w val="0.87120700483091784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D10-4E36-A006-1D28C2A79FD1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mens'!$C$53:$C$65</c:f>
              <c:numCache>
                <c:formatCode>0.0%</c:formatCode>
                <c:ptCount val="13"/>
                <c:pt idx="0">
                  <c:v>0.54079999999999995</c:v>
                </c:pt>
                <c:pt idx="1">
                  <c:v>0.6522</c:v>
                </c:pt>
                <c:pt idx="2">
                  <c:v>0.5706</c:v>
                </c:pt>
                <c:pt idx="3">
                  <c:v>0.52600000000000002</c:v>
                </c:pt>
                <c:pt idx="4">
                  <c:v>0.46779999999999999</c:v>
                </c:pt>
                <c:pt idx="5">
                  <c:v>0.4864</c:v>
                </c:pt>
                <c:pt idx="6">
                  <c:v>0.53700000000000003</c:v>
                </c:pt>
                <c:pt idx="7">
                  <c:v>0.55200000000000005</c:v>
                </c:pt>
                <c:pt idx="8">
                  <c:v>0.44770000000000004</c:v>
                </c:pt>
                <c:pt idx="9">
                  <c:v>0.43259999999999998</c:v>
                </c:pt>
                <c:pt idx="10">
                  <c:v>0.62130000000000007</c:v>
                </c:pt>
                <c:pt idx="11">
                  <c:v>0.53110000000000002</c:v>
                </c:pt>
                <c:pt idx="12">
                  <c:v>0.53227032255517392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D10-4E36-A006-1D28C2A79FD1}"/>
            </c:ext>
          </c:extLst>
        </c:ser>
        <c:ser>
          <c:idx val="5"/>
          <c:order val="1"/>
          <c:tx>
            <c:strRef>
              <c:f>'tasa de ocupación evol mens'!$I$51:$J$51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D10-4E36-A006-1D28C2A79FD1}"/>
              </c:ext>
            </c:extLst>
          </c:dPt>
          <c:val>
            <c:numRef>
              <c:f>'tasa de ocupación evol mens'!$I$53:$I$65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0.63450000000000006</c:v>
                </c:pt>
                <c:pt idx="4">
                  <c:v>0.4965</c:v>
                </c:pt>
                <c:pt idx="5">
                  <c:v>0.58509999999999995</c:v>
                </c:pt>
                <c:pt idx="6">
                  <c:v>0.5232</c:v>
                </c:pt>
                <c:pt idx="7">
                  <c:v>0.50629999999999997</c:v>
                </c:pt>
                <c:pt idx="8">
                  <c:v>0.55810000000000004</c:v>
                </c:pt>
                <c:pt idx="9">
                  <c:v>0.55259999999999998</c:v>
                </c:pt>
                <c:pt idx="10">
                  <c:v>0.65920000000000001</c:v>
                </c:pt>
                <c:pt idx="11">
                  <c:v>0.58630000000000004</c:v>
                </c:pt>
                <c:pt idx="12">
                  <c:v>0.58309999999999995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D10-4E36-A006-1D28C2A79FD1}"/>
            </c:ext>
          </c:extLst>
        </c:ser>
        <c:ser>
          <c:idx val="0"/>
          <c:order val="2"/>
          <c:tx>
            <c:strRef>
              <c:f>'tasa de ocupación evol mens'!$K$51:$L$51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D10-4E36-A006-1D28C2A79FD1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mens'!$K$53:$K$65</c:f>
              <c:numCache>
                <c:formatCode>0.0%</c:formatCode>
                <c:ptCount val="13"/>
                <c:pt idx="0">
                  <c:v>0.69739999999999991</c:v>
                </c:pt>
                <c:pt idx="1">
                  <c:v>0.76840000000000008</c:v>
                </c:pt>
                <c:pt idx="2">
                  <c:v>0.76249999999999996</c:v>
                </c:pt>
                <c:pt idx="3">
                  <c:v>0.63890000000000002</c:v>
                </c:pt>
                <c:pt idx="4">
                  <c:v>0.63979999999999992</c:v>
                </c:pt>
                <c:pt idx="5">
                  <c:v>0.52880000000000005</c:v>
                </c:pt>
                <c:pt idx="6">
                  <c:v>0</c:v>
                </c:pt>
                <c:pt idx="7">
                  <c:v>0</c:v>
                </c:pt>
                <c:pt idx="8">
                  <c:v>0.53720000000000001</c:v>
                </c:pt>
                <c:pt idx="9">
                  <c:v>0.52969999999999995</c:v>
                </c:pt>
                <c:pt idx="10">
                  <c:v>0.65010000000000001</c:v>
                </c:pt>
                <c:pt idx="11">
                  <c:v>0.55459999999999998</c:v>
                </c:pt>
                <c:pt idx="12">
                  <c:v>0.6139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D10-4E36-A006-1D28C2A79FD1}"/>
            </c:ext>
          </c:extLst>
        </c:ser>
        <c:ser>
          <c:idx val="1"/>
          <c:order val="3"/>
          <c:tx>
            <c:strRef>
              <c:f>'tasa de ocupación evol mens'!$M$51:$N$51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rgbClr val="58B6C0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D10-4E36-A006-1D28C2A79FD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1D10-4E36-A006-1D28C2A79FD1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mens'!$M$53:$M$65</c:f>
              <c:numCache>
                <c:formatCode>0.0%</c:formatCode>
                <c:ptCount val="13"/>
                <c:pt idx="0">
                  <c:v>0.70389999999999997</c:v>
                </c:pt>
                <c:pt idx="1">
                  <c:v>0.80169999999999997</c:v>
                </c:pt>
                <c:pt idx="2">
                  <c:v>0.73939999999999995</c:v>
                </c:pt>
                <c:pt idx="3">
                  <c:v>0.68159999999999998</c:v>
                </c:pt>
                <c:pt idx="4">
                  <c:v>0.61899999999999999</c:v>
                </c:pt>
                <c:pt idx="5">
                  <c:v>0.50340000000000007</c:v>
                </c:pt>
                <c:pt idx="6">
                  <c:v>0.4763</c:v>
                </c:pt>
                <c:pt idx="7">
                  <c:v>0.47450000000000003</c:v>
                </c:pt>
                <c:pt idx="8">
                  <c:v>0.56759999999999999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D10-4E36-A006-1D28C2A79F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'tasa de ocupación evol mens'!$N$52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D10-4E36-A006-1D28C2A79FD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D10-4E36-A006-1D28C2A79FD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D10-4E36-A006-1D28C2A79FD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D10-4E36-A006-1D28C2A79FD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D10-4E36-A006-1D28C2A79FD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D10-4E36-A006-1D28C2A79FD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D10-4E36-A006-1D28C2A79FD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D10-4E36-A006-1D28C2A79FD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D10-4E36-A006-1D28C2A79FD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D10-4E36-A006-1D28C2A79FD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D10-4E36-A006-1D28C2A79FD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D10-4E36-A006-1D28C2A79FD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D10-4E36-A006-1D28C2A79FD1}"/>
              </c:ext>
            </c:extLst>
          </c:dPt>
          <c:cat>
            <c:strRef>
              <c:f>'tasa de ocupación evol mens'!$B$53:$B$64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mens'!$N$53:$N$65</c:f>
              <c:numCache>
                <c:formatCode>0.0%</c:formatCode>
                <c:ptCount val="13"/>
                <c:pt idx="0">
                  <c:v>9.3203326641813078E-3</c:v>
                </c:pt>
                <c:pt idx="1">
                  <c:v>4.3336803748047714E-2</c:v>
                </c:pt>
                <c:pt idx="2">
                  <c:v>-3.0295081967213089E-2</c:v>
                </c:pt>
                <c:pt idx="3">
                  <c:v>6.6833620284864503E-2</c:v>
                </c:pt>
                <c:pt idx="4">
                  <c:v>-3.2510159424820162E-2</c:v>
                </c:pt>
                <c:pt idx="5">
                  <c:v>-4.8033282904689778E-2</c:v>
                </c:pt>
                <c:pt idx="6">
                  <c:v>0</c:v>
                </c:pt>
                <c:pt idx="7">
                  <c:v>0</c:v>
                </c:pt>
                <c:pt idx="8">
                  <c:v>5.6589724497393856E-2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1D10-4E36-A006-1D28C2A79FD1}"/>
            </c:ext>
          </c:extLst>
        </c:ser>
        <c:ser>
          <c:idx val="4"/>
          <c:order val="5"/>
          <c:tx>
            <c:strRef>
              <c:f>'tasa de ocupación evol mens'!$O$52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'tasa de ocupación evol mens'!$B$53:$B$64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mens'!$O$53:$O$65</c:f>
              <c:numCache>
                <c:formatCode>0.0%</c:formatCode>
                <c:ptCount val="13"/>
                <c:pt idx="0">
                  <c:v>0.30159023668639051</c:v>
                </c:pt>
                <c:pt idx="1">
                  <c:v>0.22922416436675852</c:v>
                </c:pt>
                <c:pt idx="2">
                  <c:v>0.2958289519803714</c:v>
                </c:pt>
                <c:pt idx="3">
                  <c:v>0.29581749049429651</c:v>
                </c:pt>
                <c:pt idx="4">
                  <c:v>0.32321504916631039</c:v>
                </c:pt>
                <c:pt idx="5">
                  <c:v>3.4950657894736947E-2</c:v>
                </c:pt>
                <c:pt idx="6">
                  <c:v>-0.11303538175046557</c:v>
                </c:pt>
                <c:pt idx="7">
                  <c:v>-0.14039855072463769</c:v>
                </c:pt>
                <c:pt idx="8">
                  <c:v>0.26781326781326764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1D10-4E36-A006-1D28C2A79F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8426500876382174E-3"/>
          <c:y val="0.5733020131929728"/>
          <c:w val="0.97760879170679205"/>
          <c:h val="0.2247541019961255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'distribución españoles x Resid'!$J$5</c:f>
              <c:strCache>
                <c:ptCount val="1"/>
                <c:pt idx="0">
                  <c:v>acumulado septiembre 2023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Resid'!$J$8,'distribución españoles x Resid'!$J$10:$J$11)</c:f>
              <c:numCache>
                <c:formatCode>#,##0</c:formatCode>
                <c:ptCount val="3"/>
                <c:pt idx="0">
                  <c:v>20325</c:v>
                </c:pt>
                <c:pt idx="1">
                  <c:v>1363</c:v>
                </c:pt>
                <c:pt idx="2">
                  <c:v>8172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06-4D7D-B49E-DD7857962AB8}"/>
            </c:ext>
          </c:extLst>
        </c:ser>
        <c:ser>
          <c:idx val="0"/>
          <c:order val="1"/>
          <c:tx>
            <c:strRef>
              <c:f>'distribución españoles x Resid'!$N$5</c:f>
              <c:strCache>
                <c:ptCount val="1"/>
                <c:pt idx="0">
                  <c:v>acumulado septiembre 2024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Resid'!$N$8,'distribución españoles x Resid'!$N$10:$N$11)</c:f>
              <c:numCache>
                <c:formatCode>#,##0</c:formatCode>
                <c:ptCount val="3"/>
                <c:pt idx="0">
                  <c:v>17951</c:v>
                </c:pt>
                <c:pt idx="1">
                  <c:v>1397</c:v>
                </c:pt>
                <c:pt idx="2">
                  <c:v>6805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506-4D7D-B49E-DD7857962A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noFill/>
            <a:ln w="12700">
              <a:solidFill>
                <a:srgbClr val="9BBB59">
                  <a:lumMod val="75000"/>
                </a:srgbClr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B506-4D7D-B49E-DD7857962AB8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B506-4D7D-B49E-DD7857962AB8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B506-4D7D-B49E-DD7857962AB8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506-4D7D-B49E-DD7857962AB8}"/>
                </c:ext>
              </c:extLst>
            </c:dLbl>
            <c:dLbl>
              <c:idx val="1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506-4D7D-B49E-DD7857962AB8}"/>
                </c:ext>
              </c:extLst>
            </c:dLbl>
            <c:dLbl>
              <c:idx val="2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506-4D7D-B49E-DD7857962AB8}"/>
                </c:ext>
              </c:extLst>
            </c:dLbl>
            <c:dLbl>
              <c:idx val="3"/>
              <c:layout>
                <c:manualLayout>
                  <c:x val="3.8095238095238099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506-4D7D-B49E-DD7857962AB8}"/>
                </c:ext>
              </c:extLst>
            </c:dLbl>
            <c:dLbl>
              <c:idx val="4"/>
              <c:layout>
                <c:manualLayout>
                  <c:x val="3.5854341736694599E-2"/>
                  <c:y val="8.09146877748460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506-4D7D-B49E-DD7857962AB8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506-4D7D-B49E-DD7857962AB8}"/>
                </c:ext>
              </c:extLst>
            </c:dLbl>
            <c:spPr>
              <a:noFill/>
              <a:ln>
                <a:solidFill>
                  <a:srgbClr val="9BBB59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bg1">
                        <a:lumMod val="6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('distribución españoles x Resid'!$S$8,'distribución españoles x Resid'!$S$10,'distribución españoles x Resid'!$S$11)</c:f>
              <c:numCache>
                <c:formatCode>0.0%</c:formatCode>
                <c:ptCount val="3"/>
                <c:pt idx="0">
                  <c:v>0.6863839712461286</c:v>
                </c:pt>
                <c:pt idx="1">
                  <c:v>5.3416434061101976E-2</c:v>
                </c:pt>
                <c:pt idx="2">
                  <c:v>0.26019959469276949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506-4D7D-B49E-DD7857962A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'distribución españoles x Resid'!$O$5</c:f>
              <c:strCache>
                <c:ptCount val="1"/>
                <c:pt idx="0">
                  <c:v>var. 24/23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506-4D7D-B49E-DD7857962AB8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506-4D7D-B49E-DD7857962AB8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506-4D7D-B49E-DD7857962AB8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506-4D7D-B49E-DD7857962AB8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506-4D7D-B49E-DD7857962AB8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506-4D7D-B49E-DD7857962AB8}"/>
              </c:ext>
            </c:extLst>
          </c:dPt>
          <c:dLbls>
            <c:dLbl>
              <c:idx val="0"/>
              <c:layout>
                <c:manualLayout>
                  <c:x val="-5.6085850813717919E-2"/>
                  <c:y val="-0.388277533883691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506-4D7D-B49E-DD7857962AB8}"/>
                </c:ext>
              </c:extLst>
            </c:dLbl>
            <c:dLbl>
              <c:idx val="1"/>
              <c:layout>
                <c:manualLayout>
                  <c:x val="-4.1760392381352811E-2"/>
                  <c:y val="-0.305844772657881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506-4D7D-B49E-DD7857962AB8}"/>
                </c:ext>
              </c:extLst>
            </c:dLbl>
            <c:dLbl>
              <c:idx val="2"/>
              <c:layout>
                <c:manualLayout>
                  <c:x val="-2.9322635206400466E-2"/>
                  <c:y val="-0.268635901524967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506-4D7D-B49E-DD7857962AB8}"/>
                </c:ext>
              </c:extLst>
            </c:dLbl>
            <c:dLbl>
              <c:idx val="3"/>
              <c:layout>
                <c:manualLayout>
                  <c:x val="-2.617759233913217E-2"/>
                  <c:y val="-0.235970545292881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506-4D7D-B49E-DD7857962AB8}"/>
                </c:ext>
              </c:extLst>
            </c:dLbl>
            <c:dLbl>
              <c:idx val="4"/>
              <c:layout>
                <c:manualLayout>
                  <c:x val="-3.7427537735676572E-2"/>
                  <c:y val="-0.208312812996707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506-4D7D-B49E-DD7857962AB8}"/>
                </c:ext>
              </c:extLst>
            </c:dLbl>
            <c:dLbl>
              <c:idx val="5"/>
              <c:layout>
                <c:manualLayout>
                  <c:x val="-5.2666710778799711E-2"/>
                  <c:y val="-0.23808253519761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506-4D7D-B49E-DD7857962AB8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Resid'!$O$8,'distribución españoles x Resid'!$O$10:$O$11)</c:f>
              <c:numCache>
                <c:formatCode>0.0%</c:formatCode>
                <c:ptCount val="3"/>
                <c:pt idx="0">
                  <c:v>-0.11680196801968024</c:v>
                </c:pt>
                <c:pt idx="1">
                  <c:v>2.49449743213499E-2</c:v>
                </c:pt>
                <c:pt idx="2">
                  <c:v>-0.16727851199216837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506-4D7D-B49E-DD7857962AB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3.9550600542806305E-2"/>
          <c:y val="0.12537201577809509"/>
          <c:w val="0.86702381074488111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05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Resid'!$N$5</c:f>
          <c:strCache>
            <c:ptCount val="1"/>
            <c:pt idx="0">
              <c:v>acumulado septiembre 2024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135460146906506"/>
          <c:y val="0.2283322201574197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Resid'!$N$5</c:f>
              <c:strCache>
                <c:ptCount val="1"/>
                <c:pt idx="0">
                  <c:v>acumulado septiembre 2024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C27D-4886-BCE6-DA0213947CE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C27D-4886-BCE6-DA0213947CE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C27D-4886-BCE6-DA0213947CE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C27D-4886-BCE6-DA0213947CE5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C27D-4886-BCE6-DA0213947CE5}"/>
              </c:ext>
            </c:extLst>
          </c:dPt>
          <c:dLbls>
            <c:dLbl>
              <c:idx val="0"/>
              <c:layout>
                <c:manualLayout>
                  <c:x val="-7.2623912404118932E-2"/>
                  <c:y val="-7.3875805916643569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27D-4886-BCE6-DA0213947CE5}"/>
                </c:ext>
              </c:extLst>
            </c:dLbl>
            <c:dLbl>
              <c:idx val="1"/>
              <c:layout>
                <c:manualLayout>
                  <c:x val="3.6318654252135235E-2"/>
                  <c:y val="0.13190362168375808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27D-4886-BCE6-DA0213947CE5}"/>
                </c:ext>
              </c:extLst>
            </c:dLbl>
            <c:dLbl>
              <c:idx val="2"/>
              <c:layout>
                <c:manualLayout>
                  <c:x val="2.4638777203978012E-2"/>
                  <c:y val="-4.13174550526827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27D-4886-BCE6-DA0213947CE5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27D-4886-BCE6-DA0213947CE5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27D-4886-BCE6-DA0213947CE5}"/>
                </c:ext>
              </c:extLst>
            </c:dLbl>
            <c:dLbl>
              <c:idx val="5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27D-4886-BCE6-DA0213947CE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Resid'!$N$8,'distribución españoles x Resid'!$N$10:$N$11)</c:f>
              <c:numCache>
                <c:formatCode>#,##0</c:formatCode>
                <c:ptCount val="3"/>
                <c:pt idx="0">
                  <c:v>17951</c:v>
                </c:pt>
                <c:pt idx="1">
                  <c:v>1397</c:v>
                </c:pt>
                <c:pt idx="2">
                  <c:v>6805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C27D-4886-BCE6-DA0213947C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81210082"/>
          <c:y val="0.13979901161003525"/>
          <c:w val="0.85077925409699728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TF'!$C$139:$D$139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53A-44D2-82B6-AFE962308C76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TF'!$C$141:$C$153</c:f>
              <c:numCache>
                <c:formatCode>#,##0</c:formatCode>
                <c:ptCount val="13"/>
                <c:pt idx="0">
                  <c:v>380</c:v>
                </c:pt>
                <c:pt idx="1">
                  <c:v>477</c:v>
                </c:pt>
                <c:pt idx="2">
                  <c:v>628</c:v>
                </c:pt>
                <c:pt idx="3">
                  <c:v>410</c:v>
                </c:pt>
                <c:pt idx="4">
                  <c:v>195</c:v>
                </c:pt>
                <c:pt idx="5">
                  <c:v>96</c:v>
                </c:pt>
                <c:pt idx="6">
                  <c:v>88</c:v>
                </c:pt>
                <c:pt idx="7">
                  <c:v>140</c:v>
                </c:pt>
                <c:pt idx="8">
                  <c:v>179</c:v>
                </c:pt>
                <c:pt idx="9">
                  <c:v>397</c:v>
                </c:pt>
                <c:pt idx="10">
                  <c:v>536</c:v>
                </c:pt>
                <c:pt idx="11">
                  <c:v>379</c:v>
                </c:pt>
                <c:pt idx="12">
                  <c:v>3905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53A-44D2-82B6-AFE962308C76}"/>
            </c:ext>
          </c:extLst>
        </c:ser>
        <c:ser>
          <c:idx val="5"/>
          <c:order val="2"/>
          <c:tx>
            <c:strRef>
              <c:f>'Viajeros entr evol mensu TF'!$I$139:$J$139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53A-44D2-82B6-AFE962308C76}"/>
              </c:ext>
            </c:extLst>
          </c:dPt>
          <c:val>
            <c:numRef>
              <c:f>'Viajeros entr evol mensu TF'!$I$141:$I$153</c:f>
              <c:numCache>
                <c:formatCode>#,##0</c:formatCode>
                <c:ptCount val="13"/>
                <c:pt idx="0">
                  <c:v>309</c:v>
                </c:pt>
                <c:pt idx="1">
                  <c:v>390</c:v>
                </c:pt>
                <c:pt idx="2">
                  <c:v>431</c:v>
                </c:pt>
                <c:pt idx="3">
                  <c:v>352</c:v>
                </c:pt>
                <c:pt idx="4">
                  <c:v>190</c:v>
                </c:pt>
                <c:pt idx="5">
                  <c:v>171</c:v>
                </c:pt>
                <c:pt idx="6">
                  <c:v>136</c:v>
                </c:pt>
                <c:pt idx="7">
                  <c:v>193</c:v>
                </c:pt>
                <c:pt idx="8">
                  <c:v>224</c:v>
                </c:pt>
                <c:pt idx="9">
                  <c:v>318</c:v>
                </c:pt>
                <c:pt idx="10">
                  <c:v>407</c:v>
                </c:pt>
                <c:pt idx="11">
                  <c:v>361</c:v>
                </c:pt>
                <c:pt idx="12">
                  <c:v>3482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53A-44D2-82B6-AFE962308C76}"/>
            </c:ext>
          </c:extLst>
        </c:ser>
        <c:ser>
          <c:idx val="0"/>
          <c:order val="3"/>
          <c:tx>
            <c:strRef>
              <c:f>'Viajeros entr evol mensu TF'!$K$139:$L$139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53A-44D2-82B6-AFE962308C76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TF'!$K$141:$K$153</c:f>
              <c:numCache>
                <c:formatCode>#,##0</c:formatCode>
                <c:ptCount val="13"/>
                <c:pt idx="0">
                  <c:v>460</c:v>
                </c:pt>
                <c:pt idx="1">
                  <c:v>440</c:v>
                </c:pt>
                <c:pt idx="2">
                  <c:v>450</c:v>
                </c:pt>
                <c:pt idx="3">
                  <c:v>358</c:v>
                </c:pt>
                <c:pt idx="4">
                  <c:v>188</c:v>
                </c:pt>
                <c:pt idx="5">
                  <c:v>128</c:v>
                </c:pt>
                <c:pt idx="6">
                  <c:v>108</c:v>
                </c:pt>
                <c:pt idx="7">
                  <c:v>235</c:v>
                </c:pt>
                <c:pt idx="8">
                  <c:v>222</c:v>
                </c:pt>
                <c:pt idx="9">
                  <c:v>304</c:v>
                </c:pt>
                <c:pt idx="10">
                  <c:v>499</c:v>
                </c:pt>
                <c:pt idx="11">
                  <c:v>422</c:v>
                </c:pt>
                <c:pt idx="12">
                  <c:v>3814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53A-44D2-82B6-AFE962308C76}"/>
            </c:ext>
          </c:extLst>
        </c:ser>
        <c:ser>
          <c:idx val="1"/>
          <c:order val="4"/>
          <c:tx>
            <c:strRef>
              <c:f>'Viajeros entr evol mensu TF'!$M$139:$N$139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F53A-44D2-82B6-AFE962308C7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F53A-44D2-82B6-AFE962308C76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TF'!$M$141:$M$153</c:f>
              <c:numCache>
                <c:formatCode>#,##0</c:formatCode>
                <c:ptCount val="13"/>
                <c:pt idx="0">
                  <c:v>643</c:v>
                </c:pt>
                <c:pt idx="1">
                  <c:v>537</c:v>
                </c:pt>
                <c:pt idx="2">
                  <c:v>565</c:v>
                </c:pt>
                <c:pt idx="3">
                  <c:v>348</c:v>
                </c:pt>
                <c:pt idx="4">
                  <c:v>242</c:v>
                </c:pt>
                <c:pt idx="5">
                  <c:v>154</c:v>
                </c:pt>
                <c:pt idx="6">
                  <c:v>124</c:v>
                </c:pt>
                <c:pt idx="7">
                  <c:v>173</c:v>
                </c:pt>
                <c:pt idx="8">
                  <c:v>224</c:v>
                </c:pt>
                <c:pt idx="12">
                  <c:v>3010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53A-44D2-82B6-AFE962308C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6"/>
                <c:order val="1"/>
                <c:tx>
                  <c:strRef>
                    <c:extLst>
                      <c:ext uri="{02D57815-91ED-43cb-92C2-25804820EDAC}">
                        <c15:formulaRef>
                          <c15:sqref>'Viajeros entr evol mensu TF'!$G$139:$H$139</c15:sqref>
                        </c15:formulaRef>
                      </c:ext>
                    </c:extLst>
                    <c:strCache>
                      <c:ptCount val="1"/>
                      <c:pt idx="0">
                        <c:v>2021</c:v>
                      </c:pt>
                    </c:strCache>
                  </c:strRef>
                </c:tx>
                <c:spPr>
                  <a:ln w="25400" cap="rnd">
                    <a:solidFill>
                      <a:srgbClr val="0047BA">
                        <a:lumMod val="20000"/>
                        <a:lumOff val="80000"/>
                      </a:srgb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rgbClr val="0047BA">
                        <a:lumMod val="20000"/>
                        <a:lumOff val="80000"/>
                      </a:srgbClr>
                    </a:solidFill>
                    <a:ln w="9525"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  <a:ln w="9525">
                        <a:solidFill>
                          <a:srgbClr val="0047BA">
                            <a:lumMod val="20000"/>
                            <a:lumOff val="80000"/>
                          </a:srgbClr>
                        </a:solidFill>
                      </a:ln>
                      <a:effectLst/>
                    </c:spPr>
                  </c:marker>
                  <c:bubble3D val="0"/>
                  <c:spPr>
                    <a:ln w="25400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E-F53A-44D2-82B6-AFE962308C76}"/>
                    </c:ext>
                  </c:extLst>
                </c:dPt>
                <c:val>
                  <c:numRef>
                    <c:extLst>
                      <c:ext uri="{02D57815-91ED-43cb-92C2-25804820EDAC}">
                        <c15:formulaRef>
                          <c15:sqref>('Viajeros entr evol mensu TF'!$G$141:$G$152,'Viajeros entr evol mensu TF'!$G$153)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89</c:v>
                      </c:pt>
                      <c:pt idx="1">
                        <c:v>92</c:v>
                      </c:pt>
                      <c:pt idx="2">
                        <c:v>167</c:v>
                      </c:pt>
                      <c:pt idx="3">
                        <c:v>83</c:v>
                      </c:pt>
                      <c:pt idx="4">
                        <c:v>122</c:v>
                      </c:pt>
                      <c:pt idx="5">
                        <c:v>106</c:v>
                      </c:pt>
                      <c:pt idx="6">
                        <c:v>120</c:v>
                      </c:pt>
                      <c:pt idx="7">
                        <c:v>203</c:v>
                      </c:pt>
                      <c:pt idx="8">
                        <c:v>194</c:v>
                      </c:pt>
                      <c:pt idx="9">
                        <c:v>402</c:v>
                      </c:pt>
                      <c:pt idx="10">
                        <c:v>469</c:v>
                      </c:pt>
                      <c:pt idx="11">
                        <c:v>348</c:v>
                      </c:pt>
                      <c:pt idx="12">
                        <c:v>2395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F-F53A-44D2-82B6-AFE962308C76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5"/>
          <c:tx>
            <c:strRef>
              <c:f>'Viajeros entr evol mensu TF'!$N$140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53A-44D2-82B6-AFE962308C7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53A-44D2-82B6-AFE962308C7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53A-44D2-82B6-AFE962308C7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53A-44D2-82B6-AFE962308C7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53A-44D2-82B6-AFE962308C7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53A-44D2-82B6-AFE962308C7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53A-44D2-82B6-AFE962308C7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53A-44D2-82B6-AFE962308C7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53A-44D2-82B6-AFE962308C7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53A-44D2-82B6-AFE962308C7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53A-44D2-82B6-AFE962308C7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53A-44D2-82B6-AFE962308C7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53A-44D2-82B6-AFE962308C76}"/>
              </c:ext>
            </c:extLst>
          </c:dPt>
          <c:cat>
            <c:strRef>
              <c:f>'Viajeros entr evol mensu TF'!$B$141:$B$152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TF'!$N$141:$N$153</c:f>
              <c:numCache>
                <c:formatCode>0.0%</c:formatCode>
                <c:ptCount val="13"/>
                <c:pt idx="0">
                  <c:v>0.39782608695652177</c:v>
                </c:pt>
                <c:pt idx="1">
                  <c:v>0.22045454545454546</c:v>
                </c:pt>
                <c:pt idx="2">
                  <c:v>0.25555555555555554</c:v>
                </c:pt>
                <c:pt idx="3">
                  <c:v>-2.7932960893854775E-2</c:v>
                </c:pt>
                <c:pt idx="4">
                  <c:v>0.2872340425531914</c:v>
                </c:pt>
                <c:pt idx="5">
                  <c:v>0.203125</c:v>
                </c:pt>
                <c:pt idx="6">
                  <c:v>0.14814814814814814</c:v>
                </c:pt>
                <c:pt idx="7">
                  <c:v>-0.2638297872340426</c:v>
                </c:pt>
                <c:pt idx="8">
                  <c:v>9.009009009008917E-3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0.16261104673619164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F53A-44D2-82B6-AFE962308C76}"/>
            </c:ext>
          </c:extLst>
        </c:ser>
        <c:ser>
          <c:idx val="4"/>
          <c:order val="6"/>
          <c:tx>
            <c:strRef>
              <c:f>'Viajeros entr evol mensu TF'!$O$140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TF'!$O$141:$O$153</c:f>
              <c:numCache>
                <c:formatCode>0.0%</c:formatCode>
                <c:ptCount val="13"/>
                <c:pt idx="0">
                  <c:v>0.69210526315789478</c:v>
                </c:pt>
                <c:pt idx="1">
                  <c:v>0.12578616352201255</c:v>
                </c:pt>
                <c:pt idx="2">
                  <c:v>-0.10031847133757965</c:v>
                </c:pt>
                <c:pt idx="3">
                  <c:v>-0.15121951219512197</c:v>
                </c:pt>
                <c:pt idx="4">
                  <c:v>0.24102564102564106</c:v>
                </c:pt>
                <c:pt idx="5">
                  <c:v>0.60416666666666674</c:v>
                </c:pt>
                <c:pt idx="6">
                  <c:v>0.40909090909090917</c:v>
                </c:pt>
                <c:pt idx="7">
                  <c:v>0.23571428571428577</c:v>
                </c:pt>
                <c:pt idx="8">
                  <c:v>0.25139664804469275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0.16081758580794436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F53A-44D2-82B6-AFE962308C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3CD-4F51-9F0E-BB9D63387A65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3CD-4F51-9F0E-BB9D63387A65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3CD-4F51-9F0E-BB9D63387A65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3CD-4F51-9F0E-BB9D63387A65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3CD-4F51-9F0E-BB9D63387A65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3CD-4F51-9F0E-BB9D63387A65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3CD-4F51-9F0E-BB9D63387A65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3CD-4F51-9F0E-BB9D63387A65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3CD-4F51-9F0E-BB9D63387A65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3CD-4F51-9F0E-BB9D63387A6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B3CD-4F51-9F0E-BB9D63387A65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3CD-4F51-9F0E-BB9D63387A65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3CD-4F51-9F0E-BB9D63387A65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3CD-4F51-9F0E-BB9D63387A65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3CD-4F51-9F0E-BB9D63387A6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B3CD-4F51-9F0E-BB9D63387A65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B3CD-4F51-9F0E-BB9D63387A65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3CD-4F51-9F0E-BB9D63387A65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3CD-4F51-9F0E-BB9D63387A65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3CD-4F51-9F0E-BB9D63387A65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3CD-4F51-9F0E-BB9D63387A65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3CD-4F51-9F0E-BB9D63387A65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3CD-4F51-9F0E-BB9D63387A65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3CD-4F51-9F0E-BB9D63387A65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3CD-4F51-9F0E-BB9D63387A65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3CD-4F51-9F0E-BB9D63387A65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3CD-4F51-9F0E-BB9D63387A65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3CD-4F51-9F0E-BB9D63387A65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3CD-4F51-9F0E-BB9D63387A65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3CD-4F51-9F0E-BB9D63387A65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3CD-4F51-9F0E-BB9D63387A65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B3CD-4F51-9F0E-BB9D63387A65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B3CD-4F51-9F0E-BB9D63387A65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B3CD-4F51-9F0E-BB9D63387A65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B3CD-4F51-9F0E-BB9D63387A6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B3CD-4F51-9F0E-BB9D63387A6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B3CD-4F51-9F0E-BB9D63387A6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B3CD-4F51-9F0E-BB9D63387A6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B3CD-4F51-9F0E-BB9D63387A6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B3CD-4F51-9F0E-BB9D63387A6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B3CD-4F51-9F0E-BB9D63387A6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B3CD-4F51-9F0E-BB9D63387A65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B3CD-4F51-9F0E-BB9D63387A65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B3CD-4F51-9F0E-BB9D63387A65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B3CD-4F51-9F0E-BB9D63387A65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B3CD-4F51-9F0E-BB9D63387A65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B3CD-4F51-9F0E-BB9D63387A65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B3CD-4F51-9F0E-BB9D63387A65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B3CD-4F51-9F0E-BB9D63387A65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B3CD-4F51-9F0E-BB9D63387A65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B3CD-4F51-9F0E-BB9D63387A65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B3CD-4F51-9F0E-BB9D63387A65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B3CD-4F51-9F0E-BB9D63387A65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B3CD-4F51-9F0E-BB9D63387A65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B3CD-4F51-9F0E-BB9D63387A65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B3CD-4F51-9F0E-BB9D63387A65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B3CD-4F51-9F0E-BB9D63387A65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B3CD-4F51-9F0E-BB9D63387A65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B3CD-4F51-9F0E-BB9D63387A65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B3CD-4F51-9F0E-BB9D63387A65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B3CD-4F51-9F0E-BB9D63387A65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B3CD-4F51-9F0E-BB9D63387A65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B3CD-4F51-9F0E-BB9D63387A65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B3CD-4F51-9F0E-BB9D63387A65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B3CD-4F51-9F0E-BB9D63387A65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B3CD-4F51-9F0E-BB9D63387A65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B3CD-4F51-9F0E-BB9D63387A65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B3CD-4F51-9F0E-BB9D63387A65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B3CD-4F51-9F0E-BB9D63387A65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B3CD-4F51-9F0E-BB9D63387A65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B3CD-4F51-9F0E-BB9D63387A65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B3CD-4F51-9F0E-BB9D63387A65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B3CD-4F51-9F0E-BB9D63387A65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B3CD-4F51-9F0E-BB9D63387A65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B3CD-4F51-9F0E-BB9D63387A65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B3CD-4F51-9F0E-BB9D63387A65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B3CD-4F51-9F0E-BB9D63387A65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B3CD-4F51-9F0E-BB9D63387A65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B3CD-4F51-9F0E-BB9D63387A65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B3CD-4F51-9F0E-BB9D63387A65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B3CD-4F51-9F0E-BB9D63387A65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B3CD-4F51-9F0E-BB9D63387A65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B3CD-4F51-9F0E-BB9D63387A65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B3CD-4F51-9F0E-BB9D63387A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cate'!$O$5</c:f>
          <c:strCache>
            <c:ptCount val="1"/>
            <c:pt idx="0">
              <c:v>acumulado septiembre 2024</c:v>
            </c:pt>
          </c:strCache>
        </c:strRef>
      </c:tx>
      <c:layout>
        <c:manualLayout>
          <c:xMode val="edge"/>
          <c:yMode val="edge"/>
          <c:x val="1.9790128254955335E-2"/>
          <c:y val="0.113786413224224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227838455676912"/>
          <c:y val="0.27985647838041661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cate'!$O$5</c:f>
              <c:strCache>
                <c:ptCount val="1"/>
                <c:pt idx="0">
                  <c:v>acumulado septiembre 2024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42EB-406F-A58A-BBE7B631C7AE}"/>
              </c:ext>
            </c:extLst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42EB-406F-A58A-BBE7B631C7AE}"/>
              </c:ext>
            </c:extLst>
          </c:dPt>
          <c:dLbls>
            <c:dLbl>
              <c:idx val="0"/>
              <c:layout>
                <c:manualLayout>
                  <c:x val="5.8624923664234739E-2"/>
                  <c:y val="2.6266777414537038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2EB-406F-A58A-BBE7B631C7AE}"/>
                </c:ext>
              </c:extLst>
            </c:dLbl>
            <c:dLbl>
              <c:idx val="1"/>
              <c:layout>
                <c:manualLayout>
                  <c:x val="-2.8012260925233727E-2"/>
                  <c:y val="-8.9147432115961704E-3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2EB-406F-A58A-BBE7B631C7AE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españoles x cate'!$B$8:$B$9,'distribución españoles x cate'!$B$11:$B$12)</c:f>
              <c:strCache>
                <c:ptCount val="2"/>
                <c:pt idx="0">
                  <c:v>1, 2, 3 Estrellas</c:v>
                </c:pt>
                <c:pt idx="1">
                  <c:v>4, 5 Estrellas</c:v>
                </c:pt>
              </c:strCache>
            </c:strRef>
          </c:cat>
          <c:val>
            <c:numRef>
              <c:f>('distribución españoles x cate'!$O$8:$O$9,'distribución españoles x cate'!$O$11:$O$12)</c:f>
              <c:numCache>
                <c:formatCode>#,##0</c:formatCode>
                <c:ptCount val="2"/>
                <c:pt idx="0">
                  <c:v>3940</c:v>
                </c:pt>
                <c:pt idx="1">
                  <c:v>22213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2EB-406F-A58A-BBE7B631C7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8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cate'!$B$3</c:f>
          <c:strCache>
            <c:ptCount val="1"/>
            <c:pt idx="0">
              <c:v>Viajeros españoles entrados en los hoteles y apartamentos de San Cristóbal de La Laguna por tipología y categoría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51033901177778"/>
          <c:y val="0.19147788492398393"/>
          <c:w val="0.84489659872277323"/>
          <c:h val="0.43516144913512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españoles x cate'!$D$5</c:f>
              <c:strCache>
                <c:ptCount val="1"/>
                <c:pt idx="0">
                  <c:v>acumulado septiembre 2020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españoles x cate'!$B$7:$B$12</c:f>
              <c:strCache>
                <c:ptCount val="4"/>
                <c:pt idx="0">
                  <c:v>Hoteles</c:v>
                </c:pt>
                <c:pt idx="1">
                  <c:v>1, 2, 3 Estrellas</c:v>
                </c:pt>
                <c:pt idx="2">
                  <c:v>4, 5 Estrellas</c:v>
                </c:pt>
                <c:pt idx="3">
                  <c:v>Apartamentos</c:v>
                </c:pt>
              </c:strCache>
            </c:strRef>
          </c:cat>
          <c:val>
            <c:numRef>
              <c:f>'distribución españoles x cate'!$D$7:$D$12</c:f>
              <c:numCache>
                <c:formatCode>#,##0</c:formatCode>
                <c:ptCount val="4"/>
                <c:pt idx="0">
                  <c:v>11031</c:v>
                </c:pt>
                <c:pt idx="1">
                  <c:v>2731</c:v>
                </c:pt>
                <c:pt idx="2">
                  <c:v>4723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E2-4084-A904-C55D590C0880}"/>
            </c:ext>
          </c:extLst>
        </c:ser>
        <c:ser>
          <c:idx val="1"/>
          <c:order val="1"/>
          <c:tx>
            <c:strRef>
              <c:f>'distribución españoles x cate'!$K$5</c:f>
              <c:strCache>
                <c:ptCount val="1"/>
                <c:pt idx="0">
                  <c:v>acumulado septiembre 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cate'!$K$7:$K$12</c:f>
              <c:numCache>
                <c:formatCode>#,##0</c:formatCode>
                <c:ptCount val="4"/>
                <c:pt idx="0">
                  <c:v>29860</c:v>
                </c:pt>
                <c:pt idx="1">
                  <c:v>3131</c:v>
                </c:pt>
                <c:pt idx="2">
                  <c:v>20171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E2-4084-A904-C55D590C0880}"/>
            </c:ext>
          </c:extLst>
        </c:ser>
        <c:ser>
          <c:idx val="2"/>
          <c:order val="2"/>
          <c:tx>
            <c:strRef>
              <c:f>'distribución españoles x cate'!$O$5</c:f>
              <c:strCache>
                <c:ptCount val="1"/>
                <c:pt idx="0">
                  <c:v>acumulado septiembre 2024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cate'!$O$7:$O$12</c:f>
              <c:numCache>
                <c:formatCode>#,##0</c:formatCode>
                <c:ptCount val="4"/>
                <c:pt idx="0">
                  <c:v>26153</c:v>
                </c:pt>
                <c:pt idx="1">
                  <c:v>3940</c:v>
                </c:pt>
                <c:pt idx="2">
                  <c:v>22213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1E2-4084-A904-C55D590C08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españoles x cate'!$P$5</c:f>
              <c:strCache>
                <c:ptCount val="1"/>
                <c:pt idx="0">
                  <c:v>var. 24/23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cate'!$P$7:$P$12</c:f>
              <c:numCache>
                <c:formatCode>0.0%</c:formatCode>
                <c:ptCount val="4"/>
                <c:pt idx="0">
                  <c:v>-0.12414601473543196</c:v>
                </c:pt>
                <c:pt idx="1">
                  <c:v>0.25838390290641966</c:v>
                </c:pt>
                <c:pt idx="2">
                  <c:v>0.10123444549105143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1E2-4084-A904-C55D590C0880}"/>
            </c:ext>
          </c:extLst>
        </c:ser>
        <c:ser>
          <c:idx val="4"/>
          <c:order val="4"/>
          <c:tx>
            <c:strRef>
              <c:f>'distribución españoles x cate'!$R$5</c:f>
              <c:strCache>
                <c:ptCount val="1"/>
                <c:pt idx="0">
                  <c:v>var. 24/19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cate'!$R$7:$R$12</c:f>
              <c:numCache>
                <c:formatCode>0.0%</c:formatCode>
                <c:ptCount val="4"/>
                <c:pt idx="0">
                  <c:v>-3.9987813237870595E-3</c:v>
                </c:pt>
                <c:pt idx="1">
                  <c:v>-0.4052830188679245</c:v>
                </c:pt>
                <c:pt idx="2">
                  <c:v>0.13141139917485867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1E2-4084-A904-C55D590C0880}"/>
            </c:ext>
          </c:extLst>
        </c:ser>
        <c:ser>
          <c:idx val="5"/>
          <c:order val="5"/>
          <c:tx>
            <c:strRef>
              <c:f>'distribución españoles x cate'!$F$5</c:f>
              <c:strCache>
                <c:ptCount val="1"/>
                <c:pt idx="0">
                  <c:v>%/s total Tenerife 2021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cate'!$F$7:$F$12</c:f>
              <c:numCache>
                <c:formatCode>0.0%</c:formatCode>
                <c:ptCount val="4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1E2-4084-A904-C55D590C0880}"/>
            </c:ext>
          </c:extLst>
        </c:ser>
        <c:ser>
          <c:idx val="6"/>
          <c:order val="6"/>
          <c:tx>
            <c:strRef>
              <c:f>'distribución españoles x cate'!$T$5</c:f>
              <c:strCache>
                <c:ptCount val="1"/>
                <c:pt idx="0">
                  <c:v>%/s total Tenerife 2024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cate'!$T$7:$T$12</c:f>
              <c:numCache>
                <c:formatCode>0.0%</c:formatCode>
                <c:ptCount val="4"/>
                <c:pt idx="0">
                  <c:v>1</c:v>
                </c:pt>
                <c:pt idx="1">
                  <c:v>0.15065193285665124</c:v>
                </c:pt>
                <c:pt idx="2">
                  <c:v>0.84934806714334876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1E2-4084-A904-C55D590C08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peninsulare x cate'!$O$5</c:f>
          <c:strCache>
            <c:ptCount val="1"/>
            <c:pt idx="0">
              <c:v>acumulado septiembre 2024</c:v>
            </c:pt>
          </c:strCache>
        </c:strRef>
      </c:tx>
      <c:layout>
        <c:manualLayout>
          <c:xMode val="edge"/>
          <c:yMode val="edge"/>
          <c:x val="1.9790128254955335E-2"/>
          <c:y val="0.113786413224224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227838455676912"/>
          <c:y val="0.27985647838041661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peninsulare x cate'!$O$5</c:f>
              <c:strCache>
                <c:ptCount val="1"/>
                <c:pt idx="0">
                  <c:v>acumulado septiembre 2024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0C58-4BCF-8547-493EAF35B25D}"/>
              </c:ext>
            </c:extLst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0C58-4BCF-8547-493EAF35B25D}"/>
              </c:ext>
            </c:extLst>
          </c:dPt>
          <c:dLbls>
            <c:dLbl>
              <c:idx val="0"/>
              <c:layout>
                <c:manualLayout>
                  <c:x val="5.8624923664234739E-2"/>
                  <c:y val="2.6266777414537038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C58-4BCF-8547-493EAF35B25D}"/>
                </c:ext>
              </c:extLst>
            </c:dLbl>
            <c:dLbl>
              <c:idx val="1"/>
              <c:layout>
                <c:manualLayout>
                  <c:x val="-2.8012260925233727E-2"/>
                  <c:y val="-8.9147432115961704E-3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C58-4BCF-8547-493EAF35B25D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peninsulare x cate'!$B$8:$B$9,'distribución peninsulare x cate'!$B$11:$B$12)</c:f>
              <c:strCache>
                <c:ptCount val="2"/>
                <c:pt idx="0">
                  <c:v>1, 2, 3 Estrellas</c:v>
                </c:pt>
                <c:pt idx="1">
                  <c:v>4, 5 Estrellas</c:v>
                </c:pt>
              </c:strCache>
            </c:strRef>
          </c:cat>
          <c:val>
            <c:numRef>
              <c:f>('distribución peninsulare x cate'!$O$8:$O$9,'distribución peninsulare x cate'!$O$11:$O$12)</c:f>
              <c:numCache>
                <c:formatCode>#,##0</c:formatCode>
                <c:ptCount val="2"/>
                <c:pt idx="0">
                  <c:v>1099</c:v>
                </c:pt>
                <c:pt idx="1">
                  <c:v>16852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C58-4BCF-8547-493EAF35B2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8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peninsulare x cate'!$B$3</c:f>
          <c:strCache>
            <c:ptCount val="1"/>
            <c:pt idx="0">
              <c:v>Viajeros peninsulares entrados en los hoteles y apartamentos de San Cristóbal de La Laguna por tipología y categoría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51033901177778"/>
          <c:y val="0.19147788492398393"/>
          <c:w val="0.84489659872277323"/>
          <c:h val="0.43516144913512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peninsulare x cate'!$D$5</c:f>
              <c:strCache>
                <c:ptCount val="1"/>
                <c:pt idx="0">
                  <c:v>acumulado septiembre 2020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peninsulare x cate'!$B$7:$B$12</c:f>
              <c:strCache>
                <c:ptCount val="4"/>
                <c:pt idx="0">
                  <c:v>Hoteles</c:v>
                </c:pt>
                <c:pt idx="1">
                  <c:v>1, 2, 3 Estrellas</c:v>
                </c:pt>
                <c:pt idx="2">
                  <c:v>4, 5 Estrellas</c:v>
                </c:pt>
                <c:pt idx="3">
                  <c:v>Apartamentos</c:v>
                </c:pt>
              </c:strCache>
            </c:strRef>
          </c:cat>
          <c:val>
            <c:numRef>
              <c:f>'distribución peninsulare x cate'!$D$7:$D$12</c:f>
              <c:numCache>
                <c:formatCode>#,##0</c:formatCode>
                <c:ptCount val="4"/>
                <c:pt idx="0">
                  <c:v>5101</c:v>
                </c:pt>
                <c:pt idx="1">
                  <c:v>668</c:v>
                </c:pt>
                <c:pt idx="2">
                  <c:v>2547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44-489A-A6C2-B53FE185E47F}"/>
            </c:ext>
          </c:extLst>
        </c:ser>
        <c:ser>
          <c:idx val="1"/>
          <c:order val="1"/>
          <c:tx>
            <c:strRef>
              <c:f>'distribución peninsulare x cate'!$K$5</c:f>
              <c:strCache>
                <c:ptCount val="1"/>
                <c:pt idx="0">
                  <c:v>acumulado septiembre 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peninsulare x cate'!$K$7:$K$12</c:f>
              <c:numCache>
                <c:formatCode>#,##0</c:formatCode>
                <c:ptCount val="4"/>
                <c:pt idx="0">
                  <c:v>20325</c:v>
                </c:pt>
                <c:pt idx="1">
                  <c:v>924</c:v>
                </c:pt>
                <c:pt idx="2">
                  <c:v>15491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544-489A-A6C2-B53FE185E47F}"/>
            </c:ext>
          </c:extLst>
        </c:ser>
        <c:ser>
          <c:idx val="2"/>
          <c:order val="2"/>
          <c:tx>
            <c:strRef>
              <c:f>'distribución peninsulare x cate'!$O$5</c:f>
              <c:strCache>
                <c:ptCount val="1"/>
                <c:pt idx="0">
                  <c:v>acumulado septiembre 2024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peninsulare x cate'!$O$7:$O$12</c:f>
              <c:numCache>
                <c:formatCode>#,##0</c:formatCode>
                <c:ptCount val="4"/>
                <c:pt idx="0">
                  <c:v>17951</c:v>
                </c:pt>
                <c:pt idx="1">
                  <c:v>1099</c:v>
                </c:pt>
                <c:pt idx="2">
                  <c:v>16852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544-489A-A6C2-B53FE185E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peninsulare x cate'!$P$5</c:f>
              <c:strCache>
                <c:ptCount val="1"/>
                <c:pt idx="0">
                  <c:v>var. 24/23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peninsulare x cate'!$P$7:$P$12</c:f>
              <c:numCache>
                <c:formatCode>0.0%</c:formatCode>
                <c:ptCount val="4"/>
                <c:pt idx="0">
                  <c:v>-0.11680196801968024</c:v>
                </c:pt>
                <c:pt idx="1">
                  <c:v>0.18939393939393945</c:v>
                </c:pt>
                <c:pt idx="2">
                  <c:v>8.7857465625201803E-2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544-489A-A6C2-B53FE185E47F}"/>
            </c:ext>
          </c:extLst>
        </c:ser>
        <c:ser>
          <c:idx val="4"/>
          <c:order val="4"/>
          <c:tx>
            <c:strRef>
              <c:f>'distribución peninsulare x cate'!$R$5</c:f>
              <c:strCache>
                <c:ptCount val="1"/>
                <c:pt idx="0">
                  <c:v>var. 24/19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peninsulare x cate'!$R$7:$R$12</c:f>
              <c:numCache>
                <c:formatCode>0.0%</c:formatCode>
                <c:ptCount val="4"/>
                <c:pt idx="0">
                  <c:v>0.34484566976326048</c:v>
                </c:pt>
                <c:pt idx="1">
                  <c:v>-0.35618043350908024</c:v>
                </c:pt>
                <c:pt idx="2">
                  <c:v>0.44764195515849159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544-489A-A6C2-B53FE185E47F}"/>
            </c:ext>
          </c:extLst>
        </c:ser>
        <c:ser>
          <c:idx val="5"/>
          <c:order val="5"/>
          <c:tx>
            <c:strRef>
              <c:f>'distribución peninsulare x cate'!$F$5</c:f>
              <c:strCache>
                <c:ptCount val="1"/>
                <c:pt idx="0">
                  <c:v>%/s total Tenerife 2021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peninsulare x cate'!$F$7:$F$12</c:f>
              <c:numCache>
                <c:formatCode>0.0%</c:formatCode>
                <c:ptCount val="4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544-489A-A6C2-B53FE185E47F}"/>
            </c:ext>
          </c:extLst>
        </c:ser>
        <c:ser>
          <c:idx val="6"/>
          <c:order val="6"/>
          <c:tx>
            <c:strRef>
              <c:f>'distribución peninsulare x cate'!$T$5</c:f>
              <c:strCache>
                <c:ptCount val="1"/>
                <c:pt idx="0">
                  <c:v>%/s total Tenerife 2024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peninsulare x cate'!$T$7:$T$12</c:f>
              <c:numCache>
                <c:formatCode>0.0%</c:formatCode>
                <c:ptCount val="4"/>
                <c:pt idx="0">
                  <c:v>1</c:v>
                </c:pt>
                <c:pt idx="1">
                  <c:v>6.1222216032533007E-2</c:v>
                </c:pt>
                <c:pt idx="2">
                  <c:v>0.93877778396746703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544-489A-A6C2-B53FE185E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canarios x cate'!$O$5</c:f>
          <c:strCache>
            <c:ptCount val="1"/>
            <c:pt idx="0">
              <c:v>acumulado septiembre 2024</c:v>
            </c:pt>
          </c:strCache>
        </c:strRef>
      </c:tx>
      <c:layout>
        <c:manualLayout>
          <c:xMode val="edge"/>
          <c:yMode val="edge"/>
          <c:x val="1.9790128254955335E-2"/>
          <c:y val="0.113786413224224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227838455676912"/>
          <c:y val="0.27985647838041661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canarios x cate'!$O$5</c:f>
              <c:strCache>
                <c:ptCount val="1"/>
                <c:pt idx="0">
                  <c:v>acumulado septiembre 2024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601F-400B-86B0-0AD3EE35BA52}"/>
              </c:ext>
            </c:extLst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601F-400B-86B0-0AD3EE35BA52}"/>
              </c:ext>
            </c:extLst>
          </c:dPt>
          <c:dLbls>
            <c:dLbl>
              <c:idx val="0"/>
              <c:layout>
                <c:manualLayout>
                  <c:x val="5.8624923664234739E-2"/>
                  <c:y val="2.6266777414537038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01F-400B-86B0-0AD3EE35BA52}"/>
                </c:ext>
              </c:extLst>
            </c:dLbl>
            <c:dLbl>
              <c:idx val="1"/>
              <c:layout>
                <c:manualLayout>
                  <c:x val="-2.8012260925233727E-2"/>
                  <c:y val="-8.9147432115961704E-3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01F-400B-86B0-0AD3EE35BA52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canarios x cate'!$B$8:$B$9,'distribución canarios x cate'!$B$11:$B$12)</c:f>
              <c:strCache>
                <c:ptCount val="2"/>
                <c:pt idx="0">
                  <c:v>1, 2, 3 Estrellas</c:v>
                </c:pt>
                <c:pt idx="1">
                  <c:v>4, 5 Estrellas</c:v>
                </c:pt>
              </c:strCache>
            </c:strRef>
          </c:cat>
          <c:val>
            <c:numRef>
              <c:f>('distribución canarios x cate'!$O$8:$O$9,'distribución canarios x cate'!$O$11:$O$12)</c:f>
              <c:numCache>
                <c:formatCode>#,##0</c:formatCode>
                <c:ptCount val="2"/>
                <c:pt idx="0">
                  <c:v>2841</c:v>
                </c:pt>
                <c:pt idx="1">
                  <c:v>5361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01F-400B-86B0-0AD3EE35BA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8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canarios x cate'!$B$3</c:f>
          <c:strCache>
            <c:ptCount val="1"/>
            <c:pt idx="0">
              <c:v>Viajeros canarios entrados en los hoteles y apartamentos de San Cristóbal de La Laguna por tipología y categoría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51033901177778"/>
          <c:y val="0.19147788492398393"/>
          <c:w val="0.84489659872277323"/>
          <c:h val="0.43516144913512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canarios x cate'!$D$5</c:f>
              <c:strCache>
                <c:ptCount val="1"/>
                <c:pt idx="0">
                  <c:v>acumulado septiembre 2020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canarios x cate'!$B$7:$B$12</c:f>
              <c:strCache>
                <c:ptCount val="4"/>
                <c:pt idx="0">
                  <c:v>Hoteles</c:v>
                </c:pt>
                <c:pt idx="1">
                  <c:v>1, 2, 3 Estrellas</c:v>
                </c:pt>
                <c:pt idx="2">
                  <c:v>4, 5 Estrellas</c:v>
                </c:pt>
                <c:pt idx="3">
                  <c:v>Apartamentos</c:v>
                </c:pt>
              </c:strCache>
            </c:strRef>
          </c:cat>
          <c:val>
            <c:numRef>
              <c:f>'distribución canarios x cate'!$D$7:$D$12</c:f>
              <c:numCache>
                <c:formatCode>#,##0</c:formatCode>
                <c:ptCount val="4"/>
                <c:pt idx="0">
                  <c:v>5930</c:v>
                </c:pt>
                <c:pt idx="1">
                  <c:v>2063</c:v>
                </c:pt>
                <c:pt idx="2">
                  <c:v>2176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1D6-465B-BFC2-08ACF26A5620}"/>
            </c:ext>
          </c:extLst>
        </c:ser>
        <c:ser>
          <c:idx val="1"/>
          <c:order val="1"/>
          <c:tx>
            <c:strRef>
              <c:f>'distribución canarios x cate'!$K$5</c:f>
              <c:strCache>
                <c:ptCount val="1"/>
                <c:pt idx="0">
                  <c:v>acumulado septiembre 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canarios x cate'!$K$7:$K$12</c:f>
              <c:numCache>
                <c:formatCode>#,##0</c:formatCode>
                <c:ptCount val="4"/>
                <c:pt idx="0">
                  <c:v>9535</c:v>
                </c:pt>
                <c:pt idx="1">
                  <c:v>2207</c:v>
                </c:pt>
                <c:pt idx="2">
                  <c:v>4680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1D6-465B-BFC2-08ACF26A5620}"/>
            </c:ext>
          </c:extLst>
        </c:ser>
        <c:ser>
          <c:idx val="2"/>
          <c:order val="2"/>
          <c:tx>
            <c:strRef>
              <c:f>'distribución canarios x cate'!$O$5</c:f>
              <c:strCache>
                <c:ptCount val="1"/>
                <c:pt idx="0">
                  <c:v>acumulado septiembre 2024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canarios x cate'!$O$7:$O$12</c:f>
              <c:numCache>
                <c:formatCode>#,##0</c:formatCode>
                <c:ptCount val="4"/>
                <c:pt idx="0">
                  <c:v>8202</c:v>
                </c:pt>
                <c:pt idx="1">
                  <c:v>2841</c:v>
                </c:pt>
                <c:pt idx="2">
                  <c:v>5361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1D6-465B-BFC2-08ACF26A56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canarios x cate'!$P$5</c:f>
              <c:strCache>
                <c:ptCount val="1"/>
                <c:pt idx="0">
                  <c:v>var. 24/23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canarios x cate'!$P$7:$P$12</c:f>
              <c:numCache>
                <c:formatCode>0.0%</c:formatCode>
                <c:ptCount val="4"/>
                <c:pt idx="0">
                  <c:v>-0.13980073413738858</c:v>
                </c:pt>
                <c:pt idx="1">
                  <c:v>0.28726778432260991</c:v>
                </c:pt>
                <c:pt idx="2">
                  <c:v>0.14551282051282044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1D6-465B-BFC2-08ACF26A5620}"/>
            </c:ext>
          </c:extLst>
        </c:ser>
        <c:ser>
          <c:idx val="4"/>
          <c:order val="4"/>
          <c:tx>
            <c:strRef>
              <c:f>'distribución canarios x cate'!$R$5</c:f>
              <c:strCache>
                <c:ptCount val="1"/>
                <c:pt idx="0">
                  <c:v>var. 24/19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canarios x cate'!$R$7:$R$12</c:f>
              <c:numCache>
                <c:formatCode>0.0%</c:formatCode>
                <c:ptCount val="4"/>
                <c:pt idx="0">
                  <c:v>-0.36467854376452358</c:v>
                </c:pt>
                <c:pt idx="1">
                  <c:v>-0.42232614884099229</c:v>
                </c:pt>
                <c:pt idx="2">
                  <c:v>-0.32920420420420415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1D6-465B-BFC2-08ACF26A5620}"/>
            </c:ext>
          </c:extLst>
        </c:ser>
        <c:ser>
          <c:idx val="5"/>
          <c:order val="5"/>
          <c:tx>
            <c:strRef>
              <c:f>'distribución canarios x cate'!$F$5</c:f>
              <c:strCache>
                <c:ptCount val="1"/>
                <c:pt idx="0">
                  <c:v>%/s total Tenerife 2021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canarios x cate'!$F$7:$F$12</c:f>
              <c:numCache>
                <c:formatCode>0.0%</c:formatCode>
                <c:ptCount val="4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1D6-465B-BFC2-08ACF26A5620}"/>
            </c:ext>
          </c:extLst>
        </c:ser>
        <c:ser>
          <c:idx val="6"/>
          <c:order val="6"/>
          <c:tx>
            <c:strRef>
              <c:f>'distribución canarios x cate'!$T$5</c:f>
              <c:strCache>
                <c:ptCount val="1"/>
                <c:pt idx="0">
                  <c:v>%/s total Tenerife 2024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canarios x cate'!$T$7:$T$12</c:f>
              <c:numCache>
                <c:formatCode>0.0%</c:formatCode>
                <c:ptCount val="4"/>
                <c:pt idx="0">
                  <c:v>1</c:v>
                </c:pt>
                <c:pt idx="1">
                  <c:v>0.34637893196781272</c:v>
                </c:pt>
                <c:pt idx="2">
                  <c:v>0.65362106803218722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1D6-465B-BFC2-08ACF26A56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mun al'!$O$5</c:f>
          <c:strCache>
            <c:ptCount val="1"/>
            <c:pt idx="0">
              <c:v>acumulado septiembre 2024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3757176234101782"/>
          <c:y val="0.19060850703570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mun al'!$O$5</c:f>
              <c:strCache>
                <c:ptCount val="1"/>
                <c:pt idx="0">
                  <c:v>acumulado septiembre 2024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891E-41F3-B870-98F3C7E1EDE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891E-41F3-B870-98F3C7E1EDE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891E-41F3-B870-98F3C7E1EDE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891E-41F3-B870-98F3C7E1EDE5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891E-41F3-B870-98F3C7E1EDE5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891E-41F3-B870-98F3C7E1EDE5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891E-41F3-B870-98F3C7E1EDE5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891E-41F3-B870-98F3C7E1EDE5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891E-41F3-B870-98F3C7E1EDE5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891E-41F3-B870-98F3C7E1EDE5}"/>
              </c:ext>
            </c:extLst>
          </c:dPt>
          <c:dLbls>
            <c:dLbl>
              <c:idx val="0"/>
              <c:layout>
                <c:manualLayout>
                  <c:x val="-7.5339122360884497E-2"/>
                  <c:y val="4.59714145008051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91E-41F3-B870-98F3C7E1EDE5}"/>
                </c:ext>
              </c:extLst>
            </c:dLbl>
            <c:dLbl>
              <c:idx val="1"/>
              <c:layout>
                <c:manualLayout>
                  <c:x val="-9.3387190520987984E-2"/>
                  <c:y val="4.819605911875211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91E-41F3-B870-98F3C7E1EDE5}"/>
                </c:ext>
              </c:extLst>
            </c:dLbl>
            <c:dLbl>
              <c:idx val="2"/>
              <c:layout>
                <c:manualLayout>
                  <c:x val="-0.11098057931923191"/>
                  <c:y val="1.177616325717542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91E-41F3-B870-98F3C7E1EDE5}"/>
                </c:ext>
              </c:extLst>
            </c:dLbl>
            <c:dLbl>
              <c:idx val="3"/>
              <c:layout>
                <c:manualLayout>
                  <c:x val="-0.13331713361065792"/>
                  <c:y val="1.20034749697046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91E-41F3-B870-98F3C7E1EDE5}"/>
                </c:ext>
              </c:extLst>
            </c:dLbl>
            <c:dLbl>
              <c:idx val="4"/>
              <c:layout>
                <c:manualLayout>
                  <c:x val="1.1125366254599619E-2"/>
                  <c:y val="-4.838153839343518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91E-41F3-B870-98F3C7E1EDE5}"/>
                </c:ext>
              </c:extLst>
            </c:dLbl>
            <c:dLbl>
              <c:idx val="5"/>
              <c:layout>
                <c:manualLayout>
                  <c:x val="4.6608807014449298E-2"/>
                  <c:y val="-6.15330813795851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91E-41F3-B870-98F3C7E1EDE5}"/>
                </c:ext>
              </c:extLst>
            </c:dLbl>
            <c:dLbl>
              <c:idx val="6"/>
              <c:layout>
                <c:manualLayout>
                  <c:x val="9.1737743332696367E-2"/>
                  <c:y val="-0.1007623906463554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91E-41F3-B870-98F3C7E1EDE5}"/>
                </c:ext>
              </c:extLst>
            </c:dLbl>
            <c:dLbl>
              <c:idx val="7"/>
              <c:layout>
                <c:manualLayout>
                  <c:x val="0.12098099885836359"/>
                  <c:y val="-1.9219902501646183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91E-41F3-B870-98F3C7E1EDE5}"/>
                </c:ext>
              </c:extLst>
            </c:dLbl>
            <c:dLbl>
              <c:idx val="8"/>
              <c:layout>
                <c:manualLayout>
                  <c:x val="0.16659745802158807"/>
                  <c:y val="3.23181035961509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91E-41F3-B870-98F3C7E1EDE5}"/>
                </c:ext>
              </c:extLst>
            </c:dLbl>
            <c:dLbl>
              <c:idx val="9"/>
              <c:layout>
                <c:manualLayout>
                  <c:x val="-5.8337222491707218E-2"/>
                  <c:y val="1.835979216582467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008261552331535"/>
                      <c:h val="0.165144061841180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891E-41F3-B870-98F3C7E1EDE5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españoles x mun al'!$B$7:$B$16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españoles x mun al'!$O$7:$O$16</c:f>
              <c:numCache>
                <c:formatCode>#,##0</c:formatCode>
                <c:ptCount val="10"/>
                <c:pt idx="0">
                  <c:v>132009</c:v>
                </c:pt>
                <c:pt idx="1">
                  <c:v>91109</c:v>
                </c:pt>
                <c:pt idx="2">
                  <c:v>8742</c:v>
                </c:pt>
                <c:pt idx="3">
                  <c:v>305825</c:v>
                </c:pt>
                <c:pt idx="4">
                  <c:v>40492</c:v>
                </c:pt>
                <c:pt idx="5">
                  <c:v>115851</c:v>
                </c:pt>
                <c:pt idx="6">
                  <c:v>26153</c:v>
                </c:pt>
                <c:pt idx="7">
                  <c:v>22996</c:v>
                </c:pt>
                <c:pt idx="8">
                  <c:v>48762</c:v>
                </c:pt>
                <c:pt idx="9">
                  <c:v>42965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891E-41F3-B870-98F3C7E1ED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AF7-4B03-89CE-8070278EAEAE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AF7-4B03-89CE-8070278EAEAE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AF7-4B03-89CE-8070278EAEAE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AF7-4B03-89CE-8070278EAEAE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AF7-4B03-89CE-8070278EAEAE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AF7-4B03-89CE-8070278EAEAE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AF7-4B03-89CE-8070278EAEAE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AF7-4B03-89CE-8070278EAEAE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AF7-4B03-89CE-8070278EAEAE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AF7-4B03-89CE-8070278EAEA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4AF7-4B03-89CE-8070278EAEAE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AF7-4B03-89CE-8070278EAEAE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AF7-4B03-89CE-8070278EAEAE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AF7-4B03-89CE-8070278EAEAE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AF7-4B03-89CE-8070278EAEA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4AF7-4B03-89CE-8070278EAEAE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4AF7-4B03-89CE-8070278EAEAE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AF7-4B03-89CE-8070278EAEAE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AF7-4B03-89CE-8070278EAEAE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AF7-4B03-89CE-8070278EAEAE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AF7-4B03-89CE-8070278EAEAE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AF7-4B03-89CE-8070278EAEAE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AF7-4B03-89CE-8070278EAEAE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AF7-4B03-89CE-8070278EAEAE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AF7-4B03-89CE-8070278EAEAE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AF7-4B03-89CE-8070278EAEAE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AF7-4B03-89CE-8070278EAEAE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AF7-4B03-89CE-8070278EAEAE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AF7-4B03-89CE-8070278EAEAE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AF7-4B03-89CE-8070278EAEAE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AF7-4B03-89CE-8070278EAEAE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4AF7-4B03-89CE-8070278EAEAE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4AF7-4B03-89CE-8070278EAEAE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4AF7-4B03-89CE-8070278EAEAE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4AF7-4B03-89CE-8070278EAEA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4AF7-4B03-89CE-8070278EAEA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4AF7-4B03-89CE-8070278EAEA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4AF7-4B03-89CE-8070278EAEA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4AF7-4B03-89CE-8070278EAEA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4AF7-4B03-89CE-8070278EAEA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4AF7-4B03-89CE-8070278EAEA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4AF7-4B03-89CE-8070278EAEAE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4AF7-4B03-89CE-8070278EAEAE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4AF7-4B03-89CE-8070278EAEAE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4AF7-4B03-89CE-8070278EAEAE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4AF7-4B03-89CE-8070278EAEAE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4AF7-4B03-89CE-8070278EAEAE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4AF7-4B03-89CE-8070278EAEAE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4AF7-4B03-89CE-8070278EAEAE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4AF7-4B03-89CE-8070278EAEAE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4AF7-4B03-89CE-8070278EAEAE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4AF7-4B03-89CE-8070278EAEAE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4AF7-4B03-89CE-8070278EAEAE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4AF7-4B03-89CE-8070278EAEAE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4AF7-4B03-89CE-8070278EAEAE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4AF7-4B03-89CE-8070278EAEAE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4AF7-4B03-89CE-8070278EAEAE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4AF7-4B03-89CE-8070278EAEAE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4AF7-4B03-89CE-8070278EAEAE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4AF7-4B03-89CE-8070278EAEAE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4AF7-4B03-89CE-8070278EAEAE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4AF7-4B03-89CE-8070278EAEAE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4AF7-4B03-89CE-8070278EAEAE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4AF7-4B03-89CE-8070278EAEAE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4AF7-4B03-89CE-8070278EAEAE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4AF7-4B03-89CE-8070278EAEAE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4AF7-4B03-89CE-8070278EAEAE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4AF7-4B03-89CE-8070278EAEAE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4AF7-4B03-89CE-8070278EAEAE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4AF7-4B03-89CE-8070278EAEAE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4AF7-4B03-89CE-8070278EAEAE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4AF7-4B03-89CE-8070278EAEAE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4AF7-4B03-89CE-8070278EAEAE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4AF7-4B03-89CE-8070278EAEAE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4AF7-4B03-89CE-8070278EAEAE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4AF7-4B03-89CE-8070278EAEAE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4AF7-4B03-89CE-8070278EAEAE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4AF7-4B03-89CE-8070278EAEAE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4AF7-4B03-89CE-8070278EAEAE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4AF7-4B03-89CE-8070278EAEAE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4AF7-4B03-89CE-8070278EAEAE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4AF7-4B03-89CE-8070278EAEAE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4AF7-4B03-89CE-8070278EAEAE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4AF7-4B03-89CE-8070278EAE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mun al'!$B$3</c:f>
          <c:strCache>
            <c:ptCount val="1"/>
            <c:pt idx="0">
              <c:v>Viajeros españoles entrados en los hoteles y apartamentos de Tenerife por municipio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727254388005181"/>
          <c:y val="0.16206612589429406"/>
          <c:w val="0.82272741511946601"/>
          <c:h val="0.40574969010543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españoles x mun al'!$D$5</c:f>
              <c:strCache>
                <c:ptCount val="1"/>
                <c:pt idx="0">
                  <c:v>acumulado septiembre 2020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0">
                <a:spAutoFit/>
              </a:bodyPr>
              <a:lstStyle/>
              <a:p>
                <a:pPr algn="ctr" rtl="0">
                  <a:defRPr lang="en-US"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españoles x mun al'!$B$7:$B$16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españoles x mun al'!$D$7:$D$16</c:f>
              <c:numCache>
                <c:formatCode>#,##0</c:formatCode>
                <c:ptCount val="10"/>
                <c:pt idx="0">
                  <c:v>76613</c:v>
                </c:pt>
                <c:pt idx="1">
                  <c:v>34195</c:v>
                </c:pt>
                <c:pt idx="2">
                  <c:v>2129</c:v>
                </c:pt>
                <c:pt idx="3">
                  <c:v>75068</c:v>
                </c:pt>
                <c:pt idx="4">
                  <c:v>24373</c:v>
                </c:pt>
                <c:pt idx="5">
                  <c:v>36330</c:v>
                </c:pt>
                <c:pt idx="6">
                  <c:v>11031</c:v>
                </c:pt>
                <c:pt idx="7">
                  <c:v>14652</c:v>
                </c:pt>
                <c:pt idx="8">
                  <c:v>16922</c:v>
                </c:pt>
                <c:pt idx="9">
                  <c:v>64322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647-4C48-AA64-6F0A6F7460D7}"/>
            </c:ext>
          </c:extLst>
        </c:ser>
        <c:ser>
          <c:idx val="1"/>
          <c:order val="1"/>
          <c:tx>
            <c:strRef>
              <c:f>'distribución españoles x mun al'!$K$5</c:f>
              <c:strCache>
                <c:ptCount val="1"/>
                <c:pt idx="0">
                  <c:v>acumulado septiembre 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mun al'!$K$7:$K$16</c:f>
              <c:numCache>
                <c:formatCode>#,##0</c:formatCode>
                <c:ptCount val="10"/>
                <c:pt idx="0">
                  <c:v>148781</c:v>
                </c:pt>
                <c:pt idx="1">
                  <c:v>94395</c:v>
                </c:pt>
                <c:pt idx="2">
                  <c:v>16405</c:v>
                </c:pt>
                <c:pt idx="3">
                  <c:v>277292</c:v>
                </c:pt>
                <c:pt idx="4">
                  <c:v>43389</c:v>
                </c:pt>
                <c:pt idx="5">
                  <c:v>108324</c:v>
                </c:pt>
                <c:pt idx="6">
                  <c:v>29860</c:v>
                </c:pt>
                <c:pt idx="7">
                  <c:v>26474</c:v>
                </c:pt>
                <c:pt idx="8">
                  <c:v>39183</c:v>
                </c:pt>
                <c:pt idx="9">
                  <c:v>46703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647-4C48-AA64-6F0A6F7460D7}"/>
            </c:ext>
          </c:extLst>
        </c:ser>
        <c:ser>
          <c:idx val="2"/>
          <c:order val="2"/>
          <c:tx>
            <c:strRef>
              <c:f>'distribución españoles x mun al'!$O$5</c:f>
              <c:strCache>
                <c:ptCount val="1"/>
                <c:pt idx="0">
                  <c:v>acumulado septiembre 2024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mun al'!$O$7:$O$16</c:f>
              <c:numCache>
                <c:formatCode>#,##0</c:formatCode>
                <c:ptCount val="10"/>
                <c:pt idx="0">
                  <c:v>132009</c:v>
                </c:pt>
                <c:pt idx="1">
                  <c:v>91109</c:v>
                </c:pt>
                <c:pt idx="2">
                  <c:v>8742</c:v>
                </c:pt>
                <c:pt idx="3">
                  <c:v>305825</c:v>
                </c:pt>
                <c:pt idx="4">
                  <c:v>40492</c:v>
                </c:pt>
                <c:pt idx="5">
                  <c:v>115851</c:v>
                </c:pt>
                <c:pt idx="6">
                  <c:v>26153</c:v>
                </c:pt>
                <c:pt idx="7">
                  <c:v>22996</c:v>
                </c:pt>
                <c:pt idx="8">
                  <c:v>48762</c:v>
                </c:pt>
                <c:pt idx="9">
                  <c:v>42965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647-4C48-AA64-6F0A6F7460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españoles x mun al'!$P$5</c:f>
              <c:strCache>
                <c:ptCount val="1"/>
                <c:pt idx="0">
                  <c:v>var. 24/23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al'!$P$7:$P$16</c:f>
              <c:numCache>
                <c:formatCode>0.0%</c:formatCode>
                <c:ptCount val="10"/>
                <c:pt idx="0">
                  <c:v>-0.11272944798058893</c:v>
                </c:pt>
                <c:pt idx="1">
                  <c:v>-3.4811165845648584E-2</c:v>
                </c:pt>
                <c:pt idx="2">
                  <c:v>-0.46711368485217919</c:v>
                </c:pt>
                <c:pt idx="3">
                  <c:v>0.10289874933283327</c:v>
                </c:pt>
                <c:pt idx="4">
                  <c:v>-6.6768074857682769E-2</c:v>
                </c:pt>
                <c:pt idx="5">
                  <c:v>6.9485986484989493E-2</c:v>
                </c:pt>
                <c:pt idx="6">
                  <c:v>-0.12414601473543196</c:v>
                </c:pt>
                <c:pt idx="7">
                  <c:v>-0.13137417843922339</c:v>
                </c:pt>
                <c:pt idx="8">
                  <c:v>0.24446826429829271</c:v>
                </c:pt>
                <c:pt idx="9">
                  <c:v>-8.003768494529262E-2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647-4C48-AA64-6F0A6F7460D7}"/>
            </c:ext>
          </c:extLst>
        </c:ser>
        <c:ser>
          <c:idx val="4"/>
          <c:order val="4"/>
          <c:tx>
            <c:strRef>
              <c:f>'distribución españoles x mun al'!$R$5</c:f>
              <c:strCache>
                <c:ptCount val="1"/>
                <c:pt idx="0">
                  <c:v>var. 24/19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al'!$R$7:$R$16</c:f>
              <c:numCache>
                <c:formatCode>0.0%</c:formatCode>
                <c:ptCount val="10"/>
                <c:pt idx="0">
                  <c:v>-0.2790963105353983</c:v>
                </c:pt>
                <c:pt idx="1">
                  <c:v>-9.8715970243748008E-2</c:v>
                </c:pt>
                <c:pt idx="2">
                  <c:v>2.9681978798586472E-2</c:v>
                </c:pt>
                <c:pt idx="3">
                  <c:v>9.2013740109121001E-2</c:v>
                </c:pt>
                <c:pt idx="4">
                  <c:v>0.7050699006232104</c:v>
                </c:pt>
                <c:pt idx="5">
                  <c:v>0.32379962063212742</c:v>
                </c:pt>
                <c:pt idx="6">
                  <c:v>-3.9987813237870595E-3</c:v>
                </c:pt>
                <c:pt idx="7">
                  <c:v>-0.38798105072656619</c:v>
                </c:pt>
                <c:pt idx="8">
                  <c:v>0.43874660686887768</c:v>
                </c:pt>
                <c:pt idx="9">
                  <c:v>1.5600992790450352E-2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647-4C48-AA64-6F0A6F7460D7}"/>
            </c:ext>
          </c:extLst>
        </c:ser>
        <c:ser>
          <c:idx val="5"/>
          <c:order val="5"/>
          <c:tx>
            <c:strRef>
              <c:f>'distribución españoles x mun al'!$F$5</c:f>
              <c:strCache>
                <c:ptCount val="1"/>
                <c:pt idx="0">
                  <c:v>%/s total Tenerife 2021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al'!$F$7:$F$16</c:f>
              <c:numCache>
                <c:formatCode>0.0%</c:formatCode>
                <c:ptCount val="10"/>
                <c:pt idx="0">
                  <c:v>0.34293463475759051</c:v>
                </c:pt>
                <c:pt idx="1">
                  <c:v>0.10269985078687255</c:v>
                </c:pt>
                <c:pt idx="2">
                  <c:v>6.5010758184051503E-3</c:v>
                </c:pt>
                <c:pt idx="3">
                  <c:v>0.20943092916086165</c:v>
                </c:pt>
                <c:pt idx="4">
                  <c:v>6.2415603900975246E-2</c:v>
                </c:pt>
                <c:pt idx="5">
                  <c:v>0.11350090269820202</c:v>
                </c:pt>
                <c:pt idx="6">
                  <c:v>2.3013445669109584E-2</c:v>
                </c:pt>
                <c:pt idx="7">
                  <c:v>6.2019900579540488E-2</c:v>
                </c:pt>
                <c:pt idx="8">
                  <c:v>3.1857414903176347E-2</c:v>
                </c:pt>
                <c:pt idx="9">
                  <c:v>4.5626241725266484E-2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647-4C48-AA64-6F0A6F7460D7}"/>
            </c:ext>
          </c:extLst>
        </c:ser>
        <c:ser>
          <c:idx val="6"/>
          <c:order val="6"/>
          <c:tx>
            <c:strRef>
              <c:f>'distribución españoles x mun al'!$T$5</c:f>
              <c:strCache>
                <c:ptCount val="1"/>
                <c:pt idx="0">
                  <c:v>%/s total Tenerife 2024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al'!$T$7:$T$16</c:f>
              <c:numCache>
                <c:formatCode>0.0%</c:formatCode>
                <c:ptCount val="10"/>
                <c:pt idx="0">
                  <c:v>0.15811278901526404</c:v>
                </c:pt>
                <c:pt idx="1">
                  <c:v>0.10912512097199199</c:v>
                </c:pt>
                <c:pt idx="2">
                  <c:v>1.0470664890813794E-2</c:v>
                </c:pt>
                <c:pt idx="3">
                  <c:v>0.36629959851671567</c:v>
                </c:pt>
                <c:pt idx="4">
                  <c:v>4.8498989105334268E-2</c:v>
                </c:pt>
                <c:pt idx="5">
                  <c:v>0.13875966578193422</c:v>
                </c:pt>
                <c:pt idx="6">
                  <c:v>3.1324559470310362E-2</c:v>
                </c:pt>
                <c:pt idx="7">
                  <c:v>2.7543286413767333E-2</c:v>
                </c:pt>
                <c:pt idx="8">
                  <c:v>5.8404319538533769E-2</c:v>
                </c:pt>
                <c:pt idx="9">
                  <c:v>5.1461006295334552E-2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647-4C48-AA64-6F0A6F7460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TF'!$C$161:$D$161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422-477E-90DD-BD7F505C1712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TF'!$C$163:$C$175</c:f>
              <c:numCache>
                <c:formatCode>#,##0</c:formatCode>
                <c:ptCount val="13"/>
                <c:pt idx="0">
                  <c:v>369</c:v>
                </c:pt>
                <c:pt idx="1">
                  <c:v>333</c:v>
                </c:pt>
                <c:pt idx="2">
                  <c:v>444</c:v>
                </c:pt>
                <c:pt idx="3">
                  <c:v>365</c:v>
                </c:pt>
                <c:pt idx="4">
                  <c:v>321</c:v>
                </c:pt>
                <c:pt idx="5">
                  <c:v>183</c:v>
                </c:pt>
                <c:pt idx="6">
                  <c:v>203</c:v>
                </c:pt>
                <c:pt idx="7">
                  <c:v>380</c:v>
                </c:pt>
                <c:pt idx="8">
                  <c:v>211</c:v>
                </c:pt>
                <c:pt idx="9">
                  <c:v>329</c:v>
                </c:pt>
                <c:pt idx="10">
                  <c:v>378</c:v>
                </c:pt>
                <c:pt idx="11">
                  <c:v>338</c:v>
                </c:pt>
                <c:pt idx="12">
                  <c:v>3854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422-477E-90DD-BD7F505C1712}"/>
            </c:ext>
          </c:extLst>
        </c:ser>
        <c:ser>
          <c:idx val="5"/>
          <c:order val="1"/>
          <c:tx>
            <c:strRef>
              <c:f>'Viajeros entr evol mensu TF'!$I$161:$J$161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422-477E-90DD-BD7F505C1712}"/>
              </c:ext>
            </c:extLst>
          </c:dPt>
          <c:val>
            <c:numRef>
              <c:f>'Viajeros entr evol mensu TF'!$I$163:$I$175</c:f>
              <c:numCache>
                <c:formatCode>#,##0</c:formatCode>
                <c:ptCount val="13"/>
                <c:pt idx="0">
                  <c:v>325</c:v>
                </c:pt>
                <c:pt idx="1">
                  <c:v>388</c:v>
                </c:pt>
                <c:pt idx="2">
                  <c:v>383</c:v>
                </c:pt>
                <c:pt idx="3">
                  <c:v>282</c:v>
                </c:pt>
                <c:pt idx="4">
                  <c:v>279</c:v>
                </c:pt>
                <c:pt idx="5">
                  <c:v>122</c:v>
                </c:pt>
                <c:pt idx="6">
                  <c:v>200</c:v>
                </c:pt>
                <c:pt idx="7">
                  <c:v>410</c:v>
                </c:pt>
                <c:pt idx="8">
                  <c:v>154</c:v>
                </c:pt>
                <c:pt idx="9">
                  <c:v>223</c:v>
                </c:pt>
                <c:pt idx="10">
                  <c:v>289</c:v>
                </c:pt>
                <c:pt idx="11">
                  <c:v>357</c:v>
                </c:pt>
                <c:pt idx="12">
                  <c:v>3412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422-477E-90DD-BD7F505C1712}"/>
            </c:ext>
          </c:extLst>
        </c:ser>
        <c:ser>
          <c:idx val="0"/>
          <c:order val="2"/>
          <c:tx>
            <c:strRef>
              <c:f>'Viajeros entr evol mensu TF'!$K$161:$L$161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422-477E-90DD-BD7F505C1712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TF'!$K$163:$K$175</c:f>
              <c:numCache>
                <c:formatCode>#,##0</c:formatCode>
                <c:ptCount val="13"/>
                <c:pt idx="0">
                  <c:v>488</c:v>
                </c:pt>
                <c:pt idx="1">
                  <c:v>402</c:v>
                </c:pt>
                <c:pt idx="2">
                  <c:v>468</c:v>
                </c:pt>
                <c:pt idx="3">
                  <c:v>300</c:v>
                </c:pt>
                <c:pt idx="4">
                  <c:v>309</c:v>
                </c:pt>
                <c:pt idx="5">
                  <c:v>150</c:v>
                </c:pt>
                <c:pt idx="6">
                  <c:v>186</c:v>
                </c:pt>
                <c:pt idx="7">
                  <c:v>328</c:v>
                </c:pt>
                <c:pt idx="8">
                  <c:v>208</c:v>
                </c:pt>
                <c:pt idx="9">
                  <c:v>290</c:v>
                </c:pt>
                <c:pt idx="10">
                  <c:v>452</c:v>
                </c:pt>
                <c:pt idx="11">
                  <c:v>304</c:v>
                </c:pt>
                <c:pt idx="12">
                  <c:v>3885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422-477E-90DD-BD7F505C1712}"/>
            </c:ext>
          </c:extLst>
        </c:ser>
        <c:ser>
          <c:idx val="1"/>
          <c:order val="3"/>
          <c:tx>
            <c:strRef>
              <c:f>'Viajeros entr evol mensu TF'!$M$161:$N$161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6422-477E-90DD-BD7F505C171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6422-477E-90DD-BD7F505C1712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TF'!$M$163:$M$175</c:f>
              <c:numCache>
                <c:formatCode>#,##0</c:formatCode>
                <c:ptCount val="13"/>
                <c:pt idx="0">
                  <c:v>385</c:v>
                </c:pt>
                <c:pt idx="1">
                  <c:v>456</c:v>
                </c:pt>
                <c:pt idx="2">
                  <c:v>490</c:v>
                </c:pt>
                <c:pt idx="3">
                  <c:v>339</c:v>
                </c:pt>
                <c:pt idx="4">
                  <c:v>294</c:v>
                </c:pt>
                <c:pt idx="5">
                  <c:v>118</c:v>
                </c:pt>
                <c:pt idx="6">
                  <c:v>184</c:v>
                </c:pt>
                <c:pt idx="7">
                  <c:v>334</c:v>
                </c:pt>
                <c:pt idx="8">
                  <c:v>152</c:v>
                </c:pt>
                <c:pt idx="12">
                  <c:v>2752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422-477E-90DD-BD7F505C17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TF'!$N$162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422-477E-90DD-BD7F505C171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422-477E-90DD-BD7F505C171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422-477E-90DD-BD7F505C171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422-477E-90DD-BD7F505C171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422-477E-90DD-BD7F505C171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422-477E-90DD-BD7F505C171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422-477E-90DD-BD7F505C171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422-477E-90DD-BD7F505C171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422-477E-90DD-BD7F505C171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422-477E-90DD-BD7F505C171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422-477E-90DD-BD7F505C171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422-477E-90DD-BD7F505C171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422-477E-90DD-BD7F505C1712}"/>
              </c:ext>
            </c:extLst>
          </c:dPt>
          <c:cat>
            <c:strRef>
              <c:f>'Viajeros entr evol mensu TF'!$B$163:$B$174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TF'!$N$163:$N$175</c:f>
              <c:numCache>
                <c:formatCode>0.0%</c:formatCode>
                <c:ptCount val="13"/>
                <c:pt idx="0">
                  <c:v>-0.21106557377049184</c:v>
                </c:pt>
                <c:pt idx="1">
                  <c:v>0.13432835820895517</c:v>
                </c:pt>
                <c:pt idx="2">
                  <c:v>4.7008547008547064E-2</c:v>
                </c:pt>
                <c:pt idx="3">
                  <c:v>0.12999999999999989</c:v>
                </c:pt>
                <c:pt idx="4">
                  <c:v>-4.8543689320388328E-2</c:v>
                </c:pt>
                <c:pt idx="5">
                  <c:v>-0.21333333333333337</c:v>
                </c:pt>
                <c:pt idx="6">
                  <c:v>-1.0752688172043001E-2</c:v>
                </c:pt>
                <c:pt idx="7">
                  <c:v>1.8292682926829285E-2</c:v>
                </c:pt>
                <c:pt idx="8">
                  <c:v>-0.26923076923076927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-3.0644593166607947E-2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6422-477E-90DD-BD7F505C1712}"/>
            </c:ext>
          </c:extLst>
        </c:ser>
        <c:ser>
          <c:idx val="4"/>
          <c:order val="5"/>
          <c:tx>
            <c:strRef>
              <c:f>'Viajeros entr evol mensu TF'!$O$162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TF'!$O$163:$O$175</c:f>
              <c:numCache>
                <c:formatCode>0.0%</c:formatCode>
                <c:ptCount val="13"/>
                <c:pt idx="0">
                  <c:v>4.3360433604336057E-2</c:v>
                </c:pt>
                <c:pt idx="1">
                  <c:v>0.36936936936936937</c:v>
                </c:pt>
                <c:pt idx="2">
                  <c:v>0.10360360360360366</c:v>
                </c:pt>
                <c:pt idx="3">
                  <c:v>-7.1232876712328808E-2</c:v>
                </c:pt>
                <c:pt idx="4">
                  <c:v>-8.411214953271029E-2</c:v>
                </c:pt>
                <c:pt idx="5">
                  <c:v>-0.35519125683060104</c:v>
                </c:pt>
                <c:pt idx="6">
                  <c:v>-9.3596059113300489E-2</c:v>
                </c:pt>
                <c:pt idx="7">
                  <c:v>-0.12105263157894741</c:v>
                </c:pt>
                <c:pt idx="8">
                  <c:v>-0.27962085308056872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-2.0291918832324618E-2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6422-477E-90DD-BD7F505C17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 x munici'!$O$5</c:f>
          <c:strCache>
            <c:ptCount val="1"/>
            <c:pt idx="0">
              <c:v>acumulado septiembre 2024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3757176234101782"/>
          <c:y val="0.19060850703570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peninsula x munici'!$O$5</c:f>
              <c:strCache>
                <c:ptCount val="1"/>
                <c:pt idx="0">
                  <c:v>acumulado septiembre 2024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E6A2-45CB-B069-DE48AFB3546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E6A2-45CB-B069-DE48AFB3546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E6A2-45CB-B069-DE48AFB3546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E6A2-45CB-B069-DE48AFB35462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E6A2-45CB-B069-DE48AFB35462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E6A2-45CB-B069-DE48AFB35462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E6A2-45CB-B069-DE48AFB35462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E6A2-45CB-B069-DE48AFB35462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E6A2-45CB-B069-DE48AFB35462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E6A2-45CB-B069-DE48AFB35462}"/>
              </c:ext>
            </c:extLst>
          </c:dPt>
          <c:dLbls>
            <c:dLbl>
              <c:idx val="0"/>
              <c:layout>
                <c:manualLayout>
                  <c:x val="-7.5339122360884497E-2"/>
                  <c:y val="4.59714145008051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6A2-45CB-B069-DE48AFB35462}"/>
                </c:ext>
              </c:extLst>
            </c:dLbl>
            <c:dLbl>
              <c:idx val="1"/>
              <c:layout>
                <c:manualLayout>
                  <c:x val="-9.3387190520987984E-2"/>
                  <c:y val="4.819605911875211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6A2-45CB-B069-DE48AFB35462}"/>
                </c:ext>
              </c:extLst>
            </c:dLbl>
            <c:dLbl>
              <c:idx val="2"/>
              <c:layout>
                <c:manualLayout>
                  <c:x val="-0.11098057931923191"/>
                  <c:y val="1.177616325717542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6A2-45CB-B069-DE48AFB35462}"/>
                </c:ext>
              </c:extLst>
            </c:dLbl>
            <c:dLbl>
              <c:idx val="3"/>
              <c:layout>
                <c:manualLayout>
                  <c:x val="-0.13331713361065792"/>
                  <c:y val="1.20034749697046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6A2-45CB-B069-DE48AFB35462}"/>
                </c:ext>
              </c:extLst>
            </c:dLbl>
            <c:dLbl>
              <c:idx val="4"/>
              <c:layout>
                <c:manualLayout>
                  <c:x val="1.1125366254599619E-2"/>
                  <c:y val="-4.838153839343518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6A2-45CB-B069-DE48AFB35462}"/>
                </c:ext>
              </c:extLst>
            </c:dLbl>
            <c:dLbl>
              <c:idx val="5"/>
              <c:layout>
                <c:manualLayout>
                  <c:x val="4.6608807014449298E-2"/>
                  <c:y val="-6.15330813795851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6A2-45CB-B069-DE48AFB35462}"/>
                </c:ext>
              </c:extLst>
            </c:dLbl>
            <c:dLbl>
              <c:idx val="6"/>
              <c:layout>
                <c:manualLayout>
                  <c:x val="9.1737743332696367E-2"/>
                  <c:y val="-0.1007623906463554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6A2-45CB-B069-DE48AFB35462}"/>
                </c:ext>
              </c:extLst>
            </c:dLbl>
            <c:dLbl>
              <c:idx val="7"/>
              <c:layout>
                <c:manualLayout>
                  <c:x val="0.12098099885836359"/>
                  <c:y val="-1.9219902501646183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6A2-45CB-B069-DE48AFB35462}"/>
                </c:ext>
              </c:extLst>
            </c:dLbl>
            <c:dLbl>
              <c:idx val="8"/>
              <c:layout>
                <c:manualLayout>
                  <c:x val="0.16659745802158807"/>
                  <c:y val="3.23181035961509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6A2-45CB-B069-DE48AFB35462}"/>
                </c:ext>
              </c:extLst>
            </c:dLbl>
            <c:dLbl>
              <c:idx val="9"/>
              <c:layout>
                <c:manualLayout>
                  <c:x val="-5.8337222491707218E-2"/>
                  <c:y val="1.835979216582467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008261552331535"/>
                      <c:h val="0.165144061841180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E6A2-45CB-B069-DE48AFB35462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peninsula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peninsula x munici'!$O$7:$O$16</c:f>
              <c:numCache>
                <c:formatCode>#,##0</c:formatCode>
                <c:ptCount val="10"/>
                <c:pt idx="0">
                  <c:v>81243</c:v>
                </c:pt>
                <c:pt idx="1">
                  <c:v>49661</c:v>
                </c:pt>
                <c:pt idx="2">
                  <c:v>2811</c:v>
                </c:pt>
                <c:pt idx="3">
                  <c:v>219443</c:v>
                </c:pt>
                <c:pt idx="4">
                  <c:v>27150</c:v>
                </c:pt>
                <c:pt idx="5">
                  <c:v>58416</c:v>
                </c:pt>
                <c:pt idx="6">
                  <c:v>17951</c:v>
                </c:pt>
                <c:pt idx="7">
                  <c:v>7991</c:v>
                </c:pt>
                <c:pt idx="8">
                  <c:v>17927</c:v>
                </c:pt>
                <c:pt idx="9">
                  <c:v>14118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E6A2-45CB-B069-DE48AFB354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2EF-4C6D-A855-18B61D9C2DBF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2EF-4C6D-A855-18B61D9C2DBF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EF-4C6D-A855-18B61D9C2DBF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2EF-4C6D-A855-18B61D9C2DBF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2EF-4C6D-A855-18B61D9C2DBF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EF-4C6D-A855-18B61D9C2DBF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2EF-4C6D-A855-18B61D9C2DBF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2EF-4C6D-A855-18B61D9C2DBF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2EF-4C6D-A855-18B61D9C2DBF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2EF-4C6D-A855-18B61D9C2DB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02EF-4C6D-A855-18B61D9C2DBF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2EF-4C6D-A855-18B61D9C2DBF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2EF-4C6D-A855-18B61D9C2DBF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2EF-4C6D-A855-18B61D9C2DBF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2EF-4C6D-A855-18B61D9C2DB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02EF-4C6D-A855-18B61D9C2DBF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02EF-4C6D-A855-18B61D9C2DBF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2EF-4C6D-A855-18B61D9C2DBF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2EF-4C6D-A855-18B61D9C2DBF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2EF-4C6D-A855-18B61D9C2DBF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2EF-4C6D-A855-18B61D9C2DBF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2EF-4C6D-A855-18B61D9C2DBF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2EF-4C6D-A855-18B61D9C2DBF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2EF-4C6D-A855-18B61D9C2DBF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2EF-4C6D-A855-18B61D9C2DBF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2EF-4C6D-A855-18B61D9C2DBF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2EF-4C6D-A855-18B61D9C2DBF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2EF-4C6D-A855-18B61D9C2DBF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2EF-4C6D-A855-18B61D9C2DBF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2EF-4C6D-A855-18B61D9C2DBF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2EF-4C6D-A855-18B61D9C2DBF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02EF-4C6D-A855-18B61D9C2DBF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02EF-4C6D-A855-18B61D9C2DBF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02EF-4C6D-A855-18B61D9C2DBF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02EF-4C6D-A855-18B61D9C2DB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02EF-4C6D-A855-18B61D9C2DB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02EF-4C6D-A855-18B61D9C2DB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02EF-4C6D-A855-18B61D9C2DB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02EF-4C6D-A855-18B61D9C2DB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02EF-4C6D-A855-18B61D9C2DB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02EF-4C6D-A855-18B61D9C2DB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02EF-4C6D-A855-18B61D9C2DBF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02EF-4C6D-A855-18B61D9C2DBF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02EF-4C6D-A855-18B61D9C2DBF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02EF-4C6D-A855-18B61D9C2DBF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02EF-4C6D-A855-18B61D9C2DBF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02EF-4C6D-A855-18B61D9C2DBF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02EF-4C6D-A855-18B61D9C2DBF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02EF-4C6D-A855-18B61D9C2DBF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02EF-4C6D-A855-18B61D9C2DBF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02EF-4C6D-A855-18B61D9C2DBF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02EF-4C6D-A855-18B61D9C2DBF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02EF-4C6D-A855-18B61D9C2DBF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02EF-4C6D-A855-18B61D9C2DBF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02EF-4C6D-A855-18B61D9C2DBF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02EF-4C6D-A855-18B61D9C2DBF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02EF-4C6D-A855-18B61D9C2DBF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02EF-4C6D-A855-18B61D9C2DBF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02EF-4C6D-A855-18B61D9C2DBF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02EF-4C6D-A855-18B61D9C2DBF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02EF-4C6D-A855-18B61D9C2DBF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02EF-4C6D-A855-18B61D9C2DBF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02EF-4C6D-A855-18B61D9C2DBF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02EF-4C6D-A855-18B61D9C2DBF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02EF-4C6D-A855-18B61D9C2DBF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02EF-4C6D-A855-18B61D9C2DBF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02EF-4C6D-A855-18B61D9C2DBF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02EF-4C6D-A855-18B61D9C2DBF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02EF-4C6D-A855-18B61D9C2DBF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02EF-4C6D-A855-18B61D9C2DBF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02EF-4C6D-A855-18B61D9C2DBF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02EF-4C6D-A855-18B61D9C2DBF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02EF-4C6D-A855-18B61D9C2DBF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02EF-4C6D-A855-18B61D9C2DBF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02EF-4C6D-A855-18B61D9C2DBF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02EF-4C6D-A855-18B61D9C2DBF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02EF-4C6D-A855-18B61D9C2DBF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02EF-4C6D-A855-18B61D9C2DBF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02EF-4C6D-A855-18B61D9C2DBF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02EF-4C6D-A855-18B61D9C2DBF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02EF-4C6D-A855-18B61D9C2DBF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02EF-4C6D-A855-18B61D9C2DBF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02EF-4C6D-A855-18B61D9C2DBF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02EF-4C6D-A855-18B61D9C2D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 x munici'!$B$3</c:f>
          <c:strCache>
            <c:ptCount val="1"/>
            <c:pt idx="0">
              <c:v>Viajeros peninsulares entrados en los hoteles y apartamentos de Tenerife por municipio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727254388005181"/>
          <c:y val="0.16206612589429406"/>
          <c:w val="0.82272741511946601"/>
          <c:h val="0.40574969010543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peninsula x munici'!$D$5</c:f>
              <c:strCache>
                <c:ptCount val="1"/>
                <c:pt idx="0">
                  <c:v>acumulado septiembre 2020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0">
                <a:spAutoFit/>
              </a:bodyPr>
              <a:lstStyle/>
              <a:p>
                <a:pPr algn="ctr" rtl="0">
                  <a:defRPr lang="en-US"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peninsula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peninsula x munici'!$D$7:$D$16</c:f>
              <c:numCache>
                <c:formatCode>#,##0</c:formatCode>
                <c:ptCount val="10"/>
                <c:pt idx="0">
                  <c:v>33771</c:v>
                </c:pt>
                <c:pt idx="1">
                  <c:v>18052</c:v>
                </c:pt>
                <c:pt idx="2">
                  <c:v>626</c:v>
                </c:pt>
                <c:pt idx="3">
                  <c:v>58827</c:v>
                </c:pt>
                <c:pt idx="4">
                  <c:v>22315</c:v>
                </c:pt>
                <c:pt idx="5">
                  <c:v>19639</c:v>
                </c:pt>
                <c:pt idx="6">
                  <c:v>5101</c:v>
                </c:pt>
                <c:pt idx="7">
                  <c:v>4587</c:v>
                </c:pt>
                <c:pt idx="8">
                  <c:v>10850</c:v>
                </c:pt>
                <c:pt idx="9">
                  <c:v>30441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06-4120-A3C5-4A4C19A6292C}"/>
            </c:ext>
          </c:extLst>
        </c:ser>
        <c:ser>
          <c:idx val="1"/>
          <c:order val="1"/>
          <c:tx>
            <c:strRef>
              <c:f>'distribución peninsula x munici'!$K$5</c:f>
              <c:strCache>
                <c:ptCount val="1"/>
                <c:pt idx="0">
                  <c:v>acumulado septiembre 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 x munici'!$K$7:$K$16</c:f>
              <c:numCache>
                <c:formatCode>#,##0</c:formatCode>
                <c:ptCount val="10"/>
                <c:pt idx="0">
                  <c:v>85390</c:v>
                </c:pt>
                <c:pt idx="1">
                  <c:v>52383</c:v>
                </c:pt>
                <c:pt idx="2">
                  <c:v>4123</c:v>
                </c:pt>
                <c:pt idx="3">
                  <c:v>201213</c:v>
                </c:pt>
                <c:pt idx="4">
                  <c:v>26621</c:v>
                </c:pt>
                <c:pt idx="5">
                  <c:v>59509</c:v>
                </c:pt>
                <c:pt idx="6">
                  <c:v>20325</c:v>
                </c:pt>
                <c:pt idx="7">
                  <c:v>9010</c:v>
                </c:pt>
                <c:pt idx="8">
                  <c:v>10712</c:v>
                </c:pt>
                <c:pt idx="9">
                  <c:v>12728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C06-4120-A3C5-4A4C19A6292C}"/>
            </c:ext>
          </c:extLst>
        </c:ser>
        <c:ser>
          <c:idx val="2"/>
          <c:order val="2"/>
          <c:tx>
            <c:strRef>
              <c:f>'distribución peninsula x munici'!$O$5</c:f>
              <c:strCache>
                <c:ptCount val="1"/>
                <c:pt idx="0">
                  <c:v>acumulado septiembre 2024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 x munici'!$O$7:$O$16</c:f>
              <c:numCache>
                <c:formatCode>#,##0</c:formatCode>
                <c:ptCount val="10"/>
                <c:pt idx="0">
                  <c:v>81243</c:v>
                </c:pt>
                <c:pt idx="1">
                  <c:v>49661</c:v>
                </c:pt>
                <c:pt idx="2">
                  <c:v>2811</c:v>
                </c:pt>
                <c:pt idx="3">
                  <c:v>219443</c:v>
                </c:pt>
                <c:pt idx="4">
                  <c:v>27150</c:v>
                </c:pt>
                <c:pt idx="5">
                  <c:v>58416</c:v>
                </c:pt>
                <c:pt idx="6">
                  <c:v>17951</c:v>
                </c:pt>
                <c:pt idx="7">
                  <c:v>7991</c:v>
                </c:pt>
                <c:pt idx="8">
                  <c:v>17927</c:v>
                </c:pt>
                <c:pt idx="9">
                  <c:v>14118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C06-4120-A3C5-4A4C19A629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peninsula x munici'!$P$5</c:f>
              <c:strCache>
                <c:ptCount val="1"/>
                <c:pt idx="0">
                  <c:v>var. 24/23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 x munici'!$P$7:$P$16</c:f>
              <c:numCache>
                <c:formatCode>0.0%</c:formatCode>
                <c:ptCount val="10"/>
                <c:pt idx="0">
                  <c:v>-4.8565405785220728E-2</c:v>
                </c:pt>
                <c:pt idx="1">
                  <c:v>-5.1963423248000296E-2</c:v>
                </c:pt>
                <c:pt idx="2">
                  <c:v>-0.31821489206888187</c:v>
                </c:pt>
                <c:pt idx="3">
                  <c:v>9.0600507919468498E-2</c:v>
                </c:pt>
                <c:pt idx="4">
                  <c:v>1.9871529995116655E-2</c:v>
                </c:pt>
                <c:pt idx="5">
                  <c:v>-1.8366969702061864E-2</c:v>
                </c:pt>
                <c:pt idx="6">
                  <c:v>-0.11680196801968024</c:v>
                </c:pt>
                <c:pt idx="7">
                  <c:v>-0.11309655937846841</c:v>
                </c:pt>
                <c:pt idx="8">
                  <c:v>0.67354368932038833</c:v>
                </c:pt>
                <c:pt idx="9">
                  <c:v>0.10920804525455696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C06-4120-A3C5-4A4C19A6292C}"/>
            </c:ext>
          </c:extLst>
        </c:ser>
        <c:ser>
          <c:idx val="4"/>
          <c:order val="4"/>
          <c:tx>
            <c:strRef>
              <c:f>'distribución peninsula x munici'!$R$5</c:f>
              <c:strCache>
                <c:ptCount val="1"/>
                <c:pt idx="0">
                  <c:v>var. 24/19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 x munici'!$R$7:$R$16</c:f>
              <c:numCache>
                <c:formatCode>0.0%</c:formatCode>
                <c:ptCount val="10"/>
                <c:pt idx="0">
                  <c:v>-8.2331812226087764E-2</c:v>
                </c:pt>
                <c:pt idx="1">
                  <c:v>-0.17510755277976175</c:v>
                </c:pt>
                <c:pt idx="2">
                  <c:v>-0.20390824129141882</c:v>
                </c:pt>
                <c:pt idx="3">
                  <c:v>-1.977486934381556E-2</c:v>
                </c:pt>
                <c:pt idx="4">
                  <c:v>0.87060768912773878</c:v>
                </c:pt>
                <c:pt idx="5">
                  <c:v>0.35025310311351499</c:v>
                </c:pt>
                <c:pt idx="6">
                  <c:v>0.34484566976326048</c:v>
                </c:pt>
                <c:pt idx="7">
                  <c:v>-0.512951788870604</c:v>
                </c:pt>
                <c:pt idx="8">
                  <c:v>0.17492462970245115</c:v>
                </c:pt>
                <c:pt idx="9">
                  <c:v>-0.15939267639178323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C06-4120-A3C5-4A4C19A6292C}"/>
            </c:ext>
          </c:extLst>
        </c:ser>
        <c:ser>
          <c:idx val="5"/>
          <c:order val="5"/>
          <c:tx>
            <c:strRef>
              <c:f>'distribución peninsula x munici'!$F$5</c:f>
              <c:strCache>
                <c:ptCount val="1"/>
                <c:pt idx="0">
                  <c:v>%/s total Tenerife 2021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 x munici'!$F$7:$F$16</c:f>
              <c:numCache>
                <c:formatCode>0.0%</c:formatCode>
                <c:ptCount val="10"/>
                <c:pt idx="0">
                  <c:v>0.34792393263580029</c:v>
                </c:pt>
                <c:pt idx="1">
                  <c:v>9.3978533616328394E-2</c:v>
                </c:pt>
                <c:pt idx="2">
                  <c:v>6.9291125829698125E-3</c:v>
                </c:pt>
                <c:pt idx="3">
                  <c:v>0.28810389758138777</c:v>
                </c:pt>
                <c:pt idx="4">
                  <c:v>5.6559903582589402E-2</c:v>
                </c:pt>
                <c:pt idx="5">
                  <c:v>0.12049332153002201</c:v>
                </c:pt>
                <c:pt idx="6">
                  <c:v>2.4687407786630262E-2</c:v>
                </c:pt>
                <c:pt idx="7">
                  <c:v>3.2064477365728448E-2</c:v>
                </c:pt>
                <c:pt idx="8">
                  <c:v>9.1511214923367355E-3</c:v>
                </c:pt>
                <c:pt idx="9">
                  <c:v>2.0108291826206905E-2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C06-4120-A3C5-4A4C19A6292C}"/>
            </c:ext>
          </c:extLst>
        </c:ser>
        <c:ser>
          <c:idx val="6"/>
          <c:order val="6"/>
          <c:tx>
            <c:strRef>
              <c:f>'distribución peninsula x munici'!$T$5</c:f>
              <c:strCache>
                <c:ptCount val="1"/>
                <c:pt idx="0">
                  <c:v>%/s total Tenerife 2024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 x munici'!$T$7:$T$16</c:f>
              <c:numCache>
                <c:formatCode>0.0%</c:formatCode>
                <c:ptCount val="10"/>
                <c:pt idx="0">
                  <c:v>0.16356191024559552</c:v>
                </c:pt>
                <c:pt idx="1">
                  <c:v>9.9979666244556689E-2</c:v>
                </c:pt>
                <c:pt idx="2">
                  <c:v>5.659226391201322E-3</c:v>
                </c:pt>
                <c:pt idx="3">
                  <c:v>0.4417921084896449</c:v>
                </c:pt>
                <c:pt idx="4">
                  <c:v>5.4659550523342544E-2</c:v>
                </c:pt>
                <c:pt idx="5">
                  <c:v>0.11760560970061061</c:v>
                </c:pt>
                <c:pt idx="6">
                  <c:v>3.6139727125028435E-2</c:v>
                </c:pt>
                <c:pt idx="7">
                  <c:v>1.6087825717570177E-2</c:v>
                </c:pt>
                <c:pt idx="8">
                  <c:v>3.6091409290311668E-2</c:v>
                </c:pt>
                <c:pt idx="9">
                  <c:v>2.8422966272138125E-2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C06-4120-A3C5-4A4C19A629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canarias x munici'!$O$5</c:f>
          <c:strCache>
            <c:ptCount val="1"/>
            <c:pt idx="0">
              <c:v>acumulado septiembre 2024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3757176234101782"/>
          <c:y val="0.19060850703570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canarias x munici'!$O$5</c:f>
              <c:strCache>
                <c:ptCount val="1"/>
                <c:pt idx="0">
                  <c:v>acumulado septiembre 2024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81C1-4327-AA20-53B43E60431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81C1-4327-AA20-53B43E60431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81C1-4327-AA20-53B43E60431F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81C1-4327-AA20-53B43E60431F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81C1-4327-AA20-53B43E60431F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81C1-4327-AA20-53B43E60431F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81C1-4327-AA20-53B43E60431F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81C1-4327-AA20-53B43E60431F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81C1-4327-AA20-53B43E60431F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81C1-4327-AA20-53B43E60431F}"/>
              </c:ext>
            </c:extLst>
          </c:dPt>
          <c:dLbls>
            <c:dLbl>
              <c:idx val="0"/>
              <c:layout>
                <c:manualLayout>
                  <c:x val="-7.5339122360884497E-2"/>
                  <c:y val="4.59714145008051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1C1-4327-AA20-53B43E60431F}"/>
                </c:ext>
              </c:extLst>
            </c:dLbl>
            <c:dLbl>
              <c:idx val="1"/>
              <c:layout>
                <c:manualLayout>
                  <c:x val="-9.3387190520987984E-2"/>
                  <c:y val="4.819605911875211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1C1-4327-AA20-53B43E60431F}"/>
                </c:ext>
              </c:extLst>
            </c:dLbl>
            <c:dLbl>
              <c:idx val="2"/>
              <c:layout>
                <c:manualLayout>
                  <c:x val="-0.11098057931923191"/>
                  <c:y val="1.177616325717542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1C1-4327-AA20-53B43E60431F}"/>
                </c:ext>
              </c:extLst>
            </c:dLbl>
            <c:dLbl>
              <c:idx val="3"/>
              <c:layout>
                <c:manualLayout>
                  <c:x val="-0.13331713361065792"/>
                  <c:y val="1.20034749697046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1C1-4327-AA20-53B43E60431F}"/>
                </c:ext>
              </c:extLst>
            </c:dLbl>
            <c:dLbl>
              <c:idx val="4"/>
              <c:layout>
                <c:manualLayout>
                  <c:x val="1.1125366254599619E-2"/>
                  <c:y val="-4.838153839343518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1C1-4327-AA20-53B43E60431F}"/>
                </c:ext>
              </c:extLst>
            </c:dLbl>
            <c:dLbl>
              <c:idx val="5"/>
              <c:layout>
                <c:manualLayout>
                  <c:x val="4.6608807014449298E-2"/>
                  <c:y val="-6.15330813795851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1C1-4327-AA20-53B43E60431F}"/>
                </c:ext>
              </c:extLst>
            </c:dLbl>
            <c:dLbl>
              <c:idx val="6"/>
              <c:layout>
                <c:manualLayout>
                  <c:x val="9.1737743332696367E-2"/>
                  <c:y val="-0.1007623906463554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1C1-4327-AA20-53B43E60431F}"/>
                </c:ext>
              </c:extLst>
            </c:dLbl>
            <c:dLbl>
              <c:idx val="7"/>
              <c:layout>
                <c:manualLayout>
                  <c:x val="0.12098099885836359"/>
                  <c:y val="-1.9219902501646183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1C1-4327-AA20-53B43E60431F}"/>
                </c:ext>
              </c:extLst>
            </c:dLbl>
            <c:dLbl>
              <c:idx val="8"/>
              <c:layout>
                <c:manualLayout>
                  <c:x val="0.16659745802158807"/>
                  <c:y val="3.23181035961509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1C1-4327-AA20-53B43E60431F}"/>
                </c:ext>
              </c:extLst>
            </c:dLbl>
            <c:dLbl>
              <c:idx val="9"/>
              <c:layout>
                <c:manualLayout>
                  <c:x val="-5.8337222491707218E-2"/>
                  <c:y val="1.835979216582467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008261552331535"/>
                      <c:h val="0.165144061841180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81C1-4327-AA20-53B43E60431F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canarias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canarias x munici'!$O$7:$O$16</c:f>
              <c:numCache>
                <c:formatCode>#,##0</c:formatCode>
                <c:ptCount val="10"/>
                <c:pt idx="0">
                  <c:v>50766</c:v>
                </c:pt>
                <c:pt idx="1">
                  <c:v>41448</c:v>
                </c:pt>
                <c:pt idx="2">
                  <c:v>5931</c:v>
                </c:pt>
                <c:pt idx="3">
                  <c:v>86382</c:v>
                </c:pt>
                <c:pt idx="4">
                  <c:v>13342</c:v>
                </c:pt>
                <c:pt idx="5">
                  <c:v>57435</c:v>
                </c:pt>
                <c:pt idx="6">
                  <c:v>8202</c:v>
                </c:pt>
                <c:pt idx="7">
                  <c:v>15005</c:v>
                </c:pt>
                <c:pt idx="8">
                  <c:v>30835</c:v>
                </c:pt>
                <c:pt idx="9">
                  <c:v>28847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81C1-4327-AA20-53B43E6043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7A1-416F-9331-DE40858D91CE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7A1-416F-9331-DE40858D91CE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7A1-416F-9331-DE40858D91CE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7A1-416F-9331-DE40858D91CE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7A1-416F-9331-DE40858D91CE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7A1-416F-9331-DE40858D91CE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7A1-416F-9331-DE40858D91CE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7A1-416F-9331-DE40858D91CE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7A1-416F-9331-DE40858D91CE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7A1-416F-9331-DE40858D91C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F7A1-416F-9331-DE40858D91CE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7A1-416F-9331-DE40858D91CE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7A1-416F-9331-DE40858D91CE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7A1-416F-9331-DE40858D91CE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7A1-416F-9331-DE40858D91C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F7A1-416F-9331-DE40858D91CE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F7A1-416F-9331-DE40858D91CE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7A1-416F-9331-DE40858D91CE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7A1-416F-9331-DE40858D91CE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7A1-416F-9331-DE40858D91CE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7A1-416F-9331-DE40858D91CE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7A1-416F-9331-DE40858D91CE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7A1-416F-9331-DE40858D91CE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7A1-416F-9331-DE40858D91CE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7A1-416F-9331-DE40858D91CE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7A1-416F-9331-DE40858D91CE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7A1-416F-9331-DE40858D91CE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7A1-416F-9331-DE40858D91CE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7A1-416F-9331-DE40858D91CE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7A1-416F-9331-DE40858D91CE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7A1-416F-9331-DE40858D91CE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F7A1-416F-9331-DE40858D91CE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F7A1-416F-9331-DE40858D91CE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F7A1-416F-9331-DE40858D91CE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F7A1-416F-9331-DE40858D91C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F7A1-416F-9331-DE40858D91C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F7A1-416F-9331-DE40858D91C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F7A1-416F-9331-DE40858D91C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F7A1-416F-9331-DE40858D91C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F7A1-416F-9331-DE40858D91C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F7A1-416F-9331-DE40858D91C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F7A1-416F-9331-DE40858D91CE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F7A1-416F-9331-DE40858D91CE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F7A1-416F-9331-DE40858D91CE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F7A1-416F-9331-DE40858D91CE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F7A1-416F-9331-DE40858D91CE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F7A1-416F-9331-DE40858D91CE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F7A1-416F-9331-DE40858D91CE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F7A1-416F-9331-DE40858D91CE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F7A1-416F-9331-DE40858D91CE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F7A1-416F-9331-DE40858D91CE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F7A1-416F-9331-DE40858D91CE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F7A1-416F-9331-DE40858D91CE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F7A1-416F-9331-DE40858D91CE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F7A1-416F-9331-DE40858D91CE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F7A1-416F-9331-DE40858D91CE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F7A1-416F-9331-DE40858D91CE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F7A1-416F-9331-DE40858D91CE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F7A1-416F-9331-DE40858D91CE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F7A1-416F-9331-DE40858D91CE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F7A1-416F-9331-DE40858D91CE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F7A1-416F-9331-DE40858D91CE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F7A1-416F-9331-DE40858D91CE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F7A1-416F-9331-DE40858D91CE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F7A1-416F-9331-DE40858D91CE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F7A1-416F-9331-DE40858D91CE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F7A1-416F-9331-DE40858D91CE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F7A1-416F-9331-DE40858D91CE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F7A1-416F-9331-DE40858D91CE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F7A1-416F-9331-DE40858D91CE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F7A1-416F-9331-DE40858D91CE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F7A1-416F-9331-DE40858D91CE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F7A1-416F-9331-DE40858D91CE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F7A1-416F-9331-DE40858D91CE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F7A1-416F-9331-DE40858D91CE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F7A1-416F-9331-DE40858D91CE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F7A1-416F-9331-DE40858D91CE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F7A1-416F-9331-DE40858D91CE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F7A1-416F-9331-DE40858D91CE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F7A1-416F-9331-DE40858D91CE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F7A1-416F-9331-DE40858D91CE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F7A1-416F-9331-DE40858D91CE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F7A1-416F-9331-DE40858D91CE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F7A1-416F-9331-DE40858D91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canarias x munici'!$B$3</c:f>
          <c:strCache>
            <c:ptCount val="1"/>
            <c:pt idx="0">
              <c:v>Viajeros canarios entrados en los hoteles y apartamentos de Tenerife por municipio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727254388005181"/>
          <c:y val="0.16206612589429406"/>
          <c:w val="0.82272741511946601"/>
          <c:h val="0.40574969010543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canarias x munici'!$D$5</c:f>
              <c:strCache>
                <c:ptCount val="1"/>
                <c:pt idx="0">
                  <c:v>acumulado septiembre 2020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0">
                <a:spAutoFit/>
              </a:bodyPr>
              <a:lstStyle/>
              <a:p>
                <a:pPr algn="ctr" rtl="0">
                  <a:defRPr lang="en-US"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canarias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canarias x munici'!$D$7:$D$16</c:f>
              <c:numCache>
                <c:formatCode>#,##0</c:formatCode>
                <c:ptCount val="10"/>
                <c:pt idx="0">
                  <c:v>42842</c:v>
                </c:pt>
                <c:pt idx="1">
                  <c:v>16143</c:v>
                </c:pt>
                <c:pt idx="2">
                  <c:v>1503</c:v>
                </c:pt>
                <c:pt idx="3">
                  <c:v>16241</c:v>
                </c:pt>
                <c:pt idx="4">
                  <c:v>2058</c:v>
                </c:pt>
                <c:pt idx="5">
                  <c:v>16691</c:v>
                </c:pt>
                <c:pt idx="6">
                  <c:v>5930</c:v>
                </c:pt>
                <c:pt idx="7">
                  <c:v>10065</c:v>
                </c:pt>
                <c:pt idx="8">
                  <c:v>6072</c:v>
                </c:pt>
                <c:pt idx="9">
                  <c:v>33881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96-4F4F-A11D-A10DF8FA8CF1}"/>
            </c:ext>
          </c:extLst>
        </c:ser>
        <c:ser>
          <c:idx val="1"/>
          <c:order val="1"/>
          <c:tx>
            <c:strRef>
              <c:f>'distribución canarias x munici'!$K$5</c:f>
              <c:strCache>
                <c:ptCount val="1"/>
                <c:pt idx="0">
                  <c:v>acumulado septiembre 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canarias x munici'!$K$7:$K$16</c:f>
              <c:numCache>
                <c:formatCode>#,##0</c:formatCode>
                <c:ptCount val="10"/>
                <c:pt idx="0">
                  <c:v>63391</c:v>
                </c:pt>
                <c:pt idx="1">
                  <c:v>42012</c:v>
                </c:pt>
                <c:pt idx="2">
                  <c:v>12282</c:v>
                </c:pt>
                <c:pt idx="3">
                  <c:v>76079</c:v>
                </c:pt>
                <c:pt idx="4">
                  <c:v>16768</c:v>
                </c:pt>
                <c:pt idx="5">
                  <c:v>48815</c:v>
                </c:pt>
                <c:pt idx="6">
                  <c:v>9535</c:v>
                </c:pt>
                <c:pt idx="7">
                  <c:v>17464</c:v>
                </c:pt>
                <c:pt idx="8">
                  <c:v>28471</c:v>
                </c:pt>
                <c:pt idx="9">
                  <c:v>33975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096-4F4F-A11D-A10DF8FA8CF1}"/>
            </c:ext>
          </c:extLst>
        </c:ser>
        <c:ser>
          <c:idx val="2"/>
          <c:order val="2"/>
          <c:tx>
            <c:strRef>
              <c:f>'distribución canarias x munici'!$O$5</c:f>
              <c:strCache>
                <c:ptCount val="1"/>
                <c:pt idx="0">
                  <c:v>acumulado septiembre 2024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canarias x munici'!$O$7:$O$16</c:f>
              <c:numCache>
                <c:formatCode>#,##0</c:formatCode>
                <c:ptCount val="10"/>
                <c:pt idx="0">
                  <c:v>50766</c:v>
                </c:pt>
                <c:pt idx="1">
                  <c:v>41448</c:v>
                </c:pt>
                <c:pt idx="2">
                  <c:v>5931</c:v>
                </c:pt>
                <c:pt idx="3">
                  <c:v>86382</c:v>
                </c:pt>
                <c:pt idx="4">
                  <c:v>13342</c:v>
                </c:pt>
                <c:pt idx="5">
                  <c:v>57435</c:v>
                </c:pt>
                <c:pt idx="6">
                  <c:v>8202</c:v>
                </c:pt>
                <c:pt idx="7">
                  <c:v>15005</c:v>
                </c:pt>
                <c:pt idx="8">
                  <c:v>30835</c:v>
                </c:pt>
                <c:pt idx="9">
                  <c:v>28847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096-4F4F-A11D-A10DF8FA8C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canarias x munici'!$P$5</c:f>
              <c:strCache>
                <c:ptCount val="1"/>
                <c:pt idx="0">
                  <c:v>var. 24/23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canarias x munici'!$P$7:$P$16</c:f>
              <c:numCache>
                <c:formatCode>0.0%</c:formatCode>
                <c:ptCount val="10"/>
                <c:pt idx="0">
                  <c:v>-0.19916076414632988</c:v>
                </c:pt>
                <c:pt idx="1">
                  <c:v>-1.3424735789774322E-2</c:v>
                </c:pt>
                <c:pt idx="2">
                  <c:v>-0.51709819247679534</c:v>
                </c:pt>
                <c:pt idx="3">
                  <c:v>0.13542501873053014</c:v>
                </c:pt>
                <c:pt idx="4">
                  <c:v>-0.20431774809160308</c:v>
                </c:pt>
                <c:pt idx="5">
                  <c:v>0.17658506606575841</c:v>
                </c:pt>
                <c:pt idx="6">
                  <c:v>-0.13980073413738858</c:v>
                </c:pt>
                <c:pt idx="7">
                  <c:v>-0.14080393953275305</c:v>
                </c:pt>
                <c:pt idx="8">
                  <c:v>8.303185697727522E-2</c:v>
                </c:pt>
                <c:pt idx="9">
                  <c:v>-0.15093451066961006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096-4F4F-A11D-A10DF8FA8CF1}"/>
            </c:ext>
          </c:extLst>
        </c:ser>
        <c:ser>
          <c:idx val="4"/>
          <c:order val="4"/>
          <c:tx>
            <c:strRef>
              <c:f>'distribución canarias x munici'!$R$5</c:f>
              <c:strCache>
                <c:ptCount val="1"/>
                <c:pt idx="0">
                  <c:v>var. 24/19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canarias x munici'!$R$7:$R$16</c:f>
              <c:numCache>
                <c:formatCode>0.0%</c:formatCode>
                <c:ptCount val="10"/>
                <c:pt idx="0">
                  <c:v>-0.4632707434661254</c:v>
                </c:pt>
                <c:pt idx="1">
                  <c:v>1.3770331417390258E-2</c:v>
                </c:pt>
                <c:pt idx="2">
                  <c:v>0.19600725952813058</c:v>
                </c:pt>
                <c:pt idx="3">
                  <c:v>0.5374292528387854</c:v>
                </c:pt>
                <c:pt idx="4">
                  <c:v>0.44487762616417581</c:v>
                </c:pt>
                <c:pt idx="5">
                  <c:v>0.29793676979051331</c:v>
                </c:pt>
                <c:pt idx="6">
                  <c:v>-0.36467854376452358</c:v>
                </c:pt>
                <c:pt idx="7">
                  <c:v>-0.29111352577124772</c:v>
                </c:pt>
                <c:pt idx="8">
                  <c:v>0.65477084898572513</c:v>
                </c:pt>
                <c:pt idx="9">
                  <c:v>0.13081144649157195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096-4F4F-A11D-A10DF8FA8CF1}"/>
            </c:ext>
          </c:extLst>
        </c:ser>
        <c:ser>
          <c:idx val="5"/>
          <c:order val="5"/>
          <c:tx>
            <c:strRef>
              <c:f>'distribución canarias x munici'!$F$5</c:f>
              <c:strCache>
                <c:ptCount val="1"/>
                <c:pt idx="0">
                  <c:v>%/s total Tenerife 2021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canarias x munici'!$F$7:$F$16</c:f>
              <c:numCache>
                <c:formatCode>0.0%</c:formatCode>
                <c:ptCount val="10"/>
                <c:pt idx="0">
                  <c:v>0.33861971848308009</c:v>
                </c:pt>
                <c:pt idx="1">
                  <c:v>0.11024234560537206</c:v>
                </c:pt>
                <c:pt idx="2">
                  <c:v>6.1308949138784517E-3</c:v>
                </c:pt>
                <c:pt idx="3">
                  <c:v>0.14139184228165222</c:v>
                </c:pt>
                <c:pt idx="4">
                  <c:v>6.7479814781790562E-2</c:v>
                </c:pt>
                <c:pt idx="5">
                  <c:v>0.10745361858085463</c:v>
                </c:pt>
                <c:pt idx="6">
                  <c:v>2.1565745700071946E-2</c:v>
                </c:pt>
                <c:pt idx="7">
                  <c:v>8.7926380066289916E-2</c:v>
                </c:pt>
                <c:pt idx="8">
                  <c:v>5.1494597802224831E-2</c:v>
                </c:pt>
                <c:pt idx="9">
                  <c:v>6.769504178478529E-2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096-4F4F-A11D-A10DF8FA8CF1}"/>
            </c:ext>
          </c:extLst>
        </c:ser>
        <c:ser>
          <c:idx val="6"/>
          <c:order val="6"/>
          <c:tx>
            <c:strRef>
              <c:f>'distribución canarias x munici'!$T$5</c:f>
              <c:strCache>
                <c:ptCount val="1"/>
                <c:pt idx="0">
                  <c:v>%/s total Tenerife 2024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canarias x munici'!$T$7:$T$16</c:f>
              <c:numCache>
                <c:formatCode>0.0%</c:formatCode>
                <c:ptCount val="10"/>
                <c:pt idx="0">
                  <c:v>0.15010955282930161</c:v>
                </c:pt>
                <c:pt idx="1">
                  <c:v>0.12255723802680718</c:v>
                </c:pt>
                <c:pt idx="2">
                  <c:v>1.7537323362695267E-2</c:v>
                </c:pt>
                <c:pt idx="3">
                  <c:v>0.25542219974984698</c:v>
                </c:pt>
                <c:pt idx="4">
                  <c:v>3.945084611449675E-2</c:v>
                </c:pt>
                <c:pt idx="5">
                  <c:v>0.16982906210359175</c:v>
                </c:pt>
                <c:pt idx="6">
                  <c:v>2.4252423911790014E-2</c:v>
                </c:pt>
                <c:pt idx="7">
                  <c:v>4.4368156644283001E-2</c:v>
                </c:pt>
                <c:pt idx="8">
                  <c:v>9.1175748758844807E-2</c:v>
                </c:pt>
                <c:pt idx="9">
                  <c:v>8.5297448498342657E-2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096-4F4F-A11D-A10DF8FA8C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'evolución anual viaj ent españo'!$B$8:$B$21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'evolución anual viaj ent españo'!$C$8:$C$21</c:f>
              <c:numCache>
                <c:formatCode>#,##0</c:formatCode>
                <c:ptCount val="14"/>
                <c:pt idx="0">
                  <c:v>1041269</c:v>
                </c:pt>
                <c:pt idx="1">
                  <c:v>1016781</c:v>
                </c:pt>
                <c:pt idx="2">
                  <c:v>800301</c:v>
                </c:pt>
                <c:pt idx="3">
                  <c:v>456683</c:v>
                </c:pt>
                <c:pt idx="4">
                  <c:v>1047557</c:v>
                </c:pt>
                <c:pt idx="5">
                  <c:v>1028693</c:v>
                </c:pt>
                <c:pt idx="6">
                  <c:v>971172</c:v>
                </c:pt>
                <c:pt idx="7">
                  <c:v>963516</c:v>
                </c:pt>
                <c:pt idx="8">
                  <c:v>938320</c:v>
                </c:pt>
                <c:pt idx="9">
                  <c:v>935434</c:v>
                </c:pt>
                <c:pt idx="10">
                  <c:v>960747</c:v>
                </c:pt>
                <c:pt idx="11">
                  <c:v>981262</c:v>
                </c:pt>
                <c:pt idx="12">
                  <c:v>1049556</c:v>
                </c:pt>
                <c:pt idx="13">
                  <c:v>1189792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040-4F18-81C4-16E3EB38B6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'evolución anual viaj ent españo'!$D$7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'evolución anual viaj ent españo'!$B$8:$B$21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'evolución anual viaj ent españo'!$D$8:$D$21</c:f>
              <c:numCache>
                <c:formatCode>0.0%</c:formatCode>
                <c:ptCount val="14"/>
                <c:pt idx="0">
                  <c:v>2.4083848931087504E-2</c:v>
                </c:pt>
                <c:pt idx="1">
                  <c:v>0.27049822504282761</c:v>
                </c:pt>
                <c:pt idx="2">
                  <c:v>0.75242126376501872</c:v>
                </c:pt>
                <c:pt idx="3">
                  <c:v>-0.5640494980225419</c:v>
                </c:pt>
                <c:pt idx="4">
                  <c:v>1.8337832570067158E-2</c:v>
                </c:pt>
                <c:pt idx="5">
                  <c:v>5.9228437393170408E-2</c:v>
                </c:pt>
                <c:pt idx="6">
                  <c:v>7.945898148032926E-3</c:v>
                </c:pt>
                <c:pt idx="7">
                  <c:v>2.6852246568334959E-2</c:v>
                </c:pt>
                <c:pt idx="8">
                  <c:v>3.0851989557787451E-3</c:v>
                </c:pt>
                <c:pt idx="9">
                  <c:v>-2.6347206912954224E-2</c:v>
                </c:pt>
                <c:pt idx="10">
                  <c:v>-2.0906750694513754E-2</c:v>
                </c:pt>
                <c:pt idx="11">
                  <c:v>-6.5069419830861785E-2</c:v>
                </c:pt>
                <c:pt idx="12">
                  <c:v>-0.1178659799359888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040-4F18-81C4-16E3EB38B6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'evolución anual viaj ent penins'!$B$8:$B$21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'evolución anual viaj ent penins'!$C$8:$C$21</c:f>
              <c:numCache>
                <c:formatCode>#,##0</c:formatCode>
                <c:ptCount val="14"/>
                <c:pt idx="0">
                  <c:v>25698</c:v>
                </c:pt>
                <c:pt idx="1">
                  <c:v>17520</c:v>
                </c:pt>
                <c:pt idx="2">
                  <c:v>10731</c:v>
                </c:pt>
                <c:pt idx="3">
                  <c:v>7339</c:v>
                </c:pt>
                <c:pt idx="4">
                  <c:v>17966</c:v>
                </c:pt>
                <c:pt idx="5">
                  <c:v>17518</c:v>
                </c:pt>
                <c:pt idx="6">
                  <c:v>22136</c:v>
                </c:pt>
                <c:pt idx="7">
                  <c:v>21880</c:v>
                </c:pt>
                <c:pt idx="8">
                  <c:v>7541</c:v>
                </c:pt>
                <c:pt idx="9">
                  <c:v>8622</c:v>
                </c:pt>
                <c:pt idx="10">
                  <c:v>6073</c:v>
                </c:pt>
                <c:pt idx="11">
                  <c:v>12392</c:v>
                </c:pt>
                <c:pt idx="12">
                  <c:v>3203</c:v>
                </c:pt>
                <c:pt idx="13">
                  <c:v>4285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B7A-41CF-B4DB-801B5011E3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'evolución anual viaj ent penins'!$D$7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'evolución anual viaj ent penins'!$B$8:$B$21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'evolución anual viaj ent penins'!$D$8:$D$21</c:f>
              <c:numCache>
                <c:formatCode>0.0%</c:formatCode>
                <c:ptCount val="14"/>
                <c:pt idx="0">
                  <c:v>0.46678082191780823</c:v>
                </c:pt>
                <c:pt idx="1">
                  <c:v>0.63265306122448983</c:v>
                </c:pt>
                <c:pt idx="2">
                  <c:v>0.46218830903392827</c:v>
                </c:pt>
                <c:pt idx="3">
                  <c:v>-0.59150617833685848</c:v>
                </c:pt>
                <c:pt idx="4">
                  <c:v>2.5573695627354676E-2</c:v>
                </c:pt>
                <c:pt idx="5">
                  <c:v>-0.20861944344054928</c:v>
                </c:pt>
                <c:pt idx="6">
                  <c:v>1.1700182815356452E-2</c:v>
                </c:pt>
                <c:pt idx="7">
                  <c:v>1.9014719533218405</c:v>
                </c:pt>
                <c:pt idx="8">
                  <c:v>-0.12537694270470889</c:v>
                </c:pt>
                <c:pt idx="9">
                  <c:v>0.41972665898238093</c:v>
                </c:pt>
                <c:pt idx="10">
                  <c:v>-0.50992575855390576</c:v>
                </c:pt>
                <c:pt idx="11">
                  <c:v>2.8688729316266</c:v>
                </c:pt>
                <c:pt idx="12">
                  <c:v>-0.25250875145857643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B7A-41CF-B4DB-801B5011E3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'evolución anual viaj ent canari'!$B$8:$B$21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'evolución anual viaj ent canari'!$C$8:$C$21</c:f>
              <c:numCache>
                <c:formatCode>#,##0</c:formatCode>
                <c:ptCount val="14"/>
                <c:pt idx="0">
                  <c:v>12024</c:v>
                </c:pt>
                <c:pt idx="1">
                  <c:v>16289</c:v>
                </c:pt>
                <c:pt idx="2">
                  <c:v>11001</c:v>
                </c:pt>
                <c:pt idx="3">
                  <c:v>8684</c:v>
                </c:pt>
                <c:pt idx="4">
                  <c:v>19153</c:v>
                </c:pt>
                <c:pt idx="5">
                  <c:v>16764</c:v>
                </c:pt>
                <c:pt idx="6">
                  <c:v>15170</c:v>
                </c:pt>
                <c:pt idx="7">
                  <c:v>13564</c:v>
                </c:pt>
                <c:pt idx="8">
                  <c:v>17617</c:v>
                </c:pt>
                <c:pt idx="9">
                  <c:v>10581</c:v>
                </c:pt>
                <c:pt idx="10">
                  <c:v>10665</c:v>
                </c:pt>
                <c:pt idx="11">
                  <c:v>7960</c:v>
                </c:pt>
                <c:pt idx="12">
                  <c:v>16637</c:v>
                </c:pt>
                <c:pt idx="13">
                  <c:v>22462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354-4409-BE99-FEFA2CE5E2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'evolución anual viaj ent canari'!$D$7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'evolución anual viaj ent canari'!$B$8:$B$21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'evolución anual viaj ent canari'!$D$8:$D$21</c:f>
              <c:numCache>
                <c:formatCode>0.0%</c:formatCode>
                <c:ptCount val="14"/>
                <c:pt idx="0">
                  <c:v>-0.261833138928111</c:v>
                </c:pt>
                <c:pt idx="1">
                  <c:v>0.48068357422052532</c:v>
                </c:pt>
                <c:pt idx="2">
                  <c:v>0.26681252878857675</c:v>
                </c:pt>
                <c:pt idx="3">
                  <c:v>-0.54659844410797265</c:v>
                </c:pt>
                <c:pt idx="4">
                  <c:v>0.14250775471247912</c:v>
                </c:pt>
                <c:pt idx="5">
                  <c:v>0.10507580751483192</c:v>
                </c:pt>
                <c:pt idx="6">
                  <c:v>0.1184016514302566</c:v>
                </c:pt>
                <c:pt idx="7">
                  <c:v>-0.23006187205540107</c:v>
                </c:pt>
                <c:pt idx="8">
                  <c:v>0.6649655042056517</c:v>
                </c:pt>
                <c:pt idx="9">
                  <c:v>-7.8762306610408173E-3</c:v>
                </c:pt>
                <c:pt idx="10">
                  <c:v>0.33982412060301503</c:v>
                </c:pt>
                <c:pt idx="11">
                  <c:v>-0.52154835607381145</c:v>
                </c:pt>
                <c:pt idx="12">
                  <c:v>-0.25932686314664766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354-4409-BE99-FEFA2CE5E2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TF'!$C$183:$D$183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F55-44BC-893B-74FFECA22B63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TF'!$C$185:$C$197</c:f>
              <c:numCache>
                <c:formatCode>#,##0</c:formatCode>
                <c:ptCount val="13"/>
                <c:pt idx="0">
                  <c:v>74</c:v>
                </c:pt>
                <c:pt idx="1">
                  <c:v>64</c:v>
                </c:pt>
                <c:pt idx="2">
                  <c:v>61</c:v>
                </c:pt>
                <c:pt idx="3">
                  <c:v>47</c:v>
                </c:pt>
                <c:pt idx="4">
                  <c:v>19</c:v>
                </c:pt>
                <c:pt idx="5">
                  <c:v>44</c:v>
                </c:pt>
                <c:pt idx="6">
                  <c:v>26</c:v>
                </c:pt>
                <c:pt idx="7">
                  <c:v>22</c:v>
                </c:pt>
                <c:pt idx="8">
                  <c:v>16</c:v>
                </c:pt>
                <c:pt idx="9">
                  <c:v>27</c:v>
                </c:pt>
                <c:pt idx="10">
                  <c:v>79</c:v>
                </c:pt>
                <c:pt idx="11">
                  <c:v>40</c:v>
                </c:pt>
                <c:pt idx="12">
                  <c:v>519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F55-44BC-893B-74FFECA22B63}"/>
            </c:ext>
          </c:extLst>
        </c:ser>
        <c:ser>
          <c:idx val="5"/>
          <c:order val="1"/>
          <c:tx>
            <c:strRef>
              <c:f>'Viajeros entr evol mensu TF'!$I$183:$J$183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F55-44BC-893B-74FFECA22B63}"/>
              </c:ext>
            </c:extLst>
          </c:dPt>
          <c:val>
            <c:numRef>
              <c:f>'Viajeros entr evol mensu TF'!$I$185:$I$197</c:f>
              <c:numCache>
                <c:formatCode>#,##0</c:formatCode>
                <c:ptCount val="13"/>
                <c:pt idx="0">
                  <c:v>89</c:v>
                </c:pt>
                <c:pt idx="1">
                  <c:v>81</c:v>
                </c:pt>
                <c:pt idx="2">
                  <c:v>80</c:v>
                </c:pt>
                <c:pt idx="3">
                  <c:v>60</c:v>
                </c:pt>
                <c:pt idx="4">
                  <c:v>32</c:v>
                </c:pt>
                <c:pt idx="5">
                  <c:v>31</c:v>
                </c:pt>
                <c:pt idx="6">
                  <c:v>61</c:v>
                </c:pt>
                <c:pt idx="7">
                  <c:v>59</c:v>
                </c:pt>
                <c:pt idx="8">
                  <c:v>30</c:v>
                </c:pt>
                <c:pt idx="9">
                  <c:v>37</c:v>
                </c:pt>
                <c:pt idx="10">
                  <c:v>70</c:v>
                </c:pt>
                <c:pt idx="11">
                  <c:v>52</c:v>
                </c:pt>
                <c:pt idx="12">
                  <c:v>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F55-44BC-893B-74FFECA22B63}"/>
            </c:ext>
          </c:extLst>
        </c:ser>
        <c:ser>
          <c:idx val="0"/>
          <c:order val="2"/>
          <c:tx>
            <c:strRef>
              <c:f>'Viajeros entr evol mensu TF'!$K$183:$L$183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F55-44BC-893B-74FFECA22B63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TF'!$K$185:$K$197</c:f>
              <c:numCache>
                <c:formatCode>#,##0</c:formatCode>
                <c:ptCount val="13"/>
                <c:pt idx="0">
                  <c:v>81</c:v>
                </c:pt>
                <c:pt idx="1">
                  <c:v>33</c:v>
                </c:pt>
                <c:pt idx="2">
                  <c:v>71</c:v>
                </c:pt>
                <c:pt idx="3">
                  <c:v>44</c:v>
                </c:pt>
                <c:pt idx="4">
                  <c:v>32</c:v>
                </c:pt>
                <c:pt idx="5">
                  <c:v>32</c:v>
                </c:pt>
                <c:pt idx="6">
                  <c:v>43</c:v>
                </c:pt>
                <c:pt idx="7">
                  <c:v>49</c:v>
                </c:pt>
                <c:pt idx="8">
                  <c:v>41</c:v>
                </c:pt>
                <c:pt idx="9">
                  <c:v>40</c:v>
                </c:pt>
                <c:pt idx="10">
                  <c:v>105</c:v>
                </c:pt>
                <c:pt idx="11">
                  <c:v>79</c:v>
                </c:pt>
                <c:pt idx="12">
                  <c:v>650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F55-44BC-893B-74FFECA22B63}"/>
            </c:ext>
          </c:extLst>
        </c:ser>
        <c:ser>
          <c:idx val="1"/>
          <c:order val="3"/>
          <c:tx>
            <c:strRef>
              <c:f>'Viajeros entr evol mensu TF'!$M$183:$N$183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AF55-44BC-893B-74FFECA22B6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AF55-44BC-893B-74FFECA22B63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TF'!$M$185:$M$197</c:f>
              <c:numCache>
                <c:formatCode>#,##0</c:formatCode>
                <c:ptCount val="13"/>
                <c:pt idx="0">
                  <c:v>171</c:v>
                </c:pt>
                <c:pt idx="1">
                  <c:v>95</c:v>
                </c:pt>
                <c:pt idx="2">
                  <c:v>93</c:v>
                </c:pt>
                <c:pt idx="3">
                  <c:v>87</c:v>
                </c:pt>
                <c:pt idx="4">
                  <c:v>49</c:v>
                </c:pt>
                <c:pt idx="5">
                  <c:v>19</c:v>
                </c:pt>
                <c:pt idx="6">
                  <c:v>25</c:v>
                </c:pt>
                <c:pt idx="7">
                  <c:v>59</c:v>
                </c:pt>
                <c:pt idx="8">
                  <c:v>41</c:v>
                </c:pt>
                <c:pt idx="12">
                  <c:v>639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F55-44BC-893B-74FFECA22B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TF'!$N$184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F55-44BC-893B-74FFECA22B6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F55-44BC-893B-74FFECA22B6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F55-44BC-893B-74FFECA22B6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F55-44BC-893B-74FFECA22B6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F55-44BC-893B-74FFECA22B6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F55-44BC-893B-74FFECA22B6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F55-44BC-893B-74FFECA22B6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F55-44BC-893B-74FFECA22B6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F55-44BC-893B-74FFECA22B6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F55-44BC-893B-74FFECA22B6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F55-44BC-893B-74FFECA22B6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F55-44BC-893B-74FFECA22B6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F55-44BC-893B-74FFECA22B63}"/>
              </c:ext>
            </c:extLst>
          </c:dPt>
          <c:cat>
            <c:strRef>
              <c:f>'Viajeros entr evol mensu TF'!$B$185:$B$196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TF'!$N$185:$N$197</c:f>
              <c:numCache>
                <c:formatCode>0.0%</c:formatCode>
                <c:ptCount val="13"/>
                <c:pt idx="0">
                  <c:v>1.1111111111111112</c:v>
                </c:pt>
                <c:pt idx="1">
                  <c:v>1.8787878787878789</c:v>
                </c:pt>
                <c:pt idx="2">
                  <c:v>0.3098591549295775</c:v>
                </c:pt>
                <c:pt idx="3">
                  <c:v>0.97727272727272729</c:v>
                </c:pt>
                <c:pt idx="4">
                  <c:v>0.53125</c:v>
                </c:pt>
                <c:pt idx="5">
                  <c:v>-0.40625</c:v>
                </c:pt>
                <c:pt idx="6">
                  <c:v>-0.41860465116279066</c:v>
                </c:pt>
                <c:pt idx="7">
                  <c:v>0.20408163265306123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AF55-44BC-893B-74FFECA22B63}"/>
            </c:ext>
          </c:extLst>
        </c:ser>
        <c:ser>
          <c:idx val="4"/>
          <c:order val="5"/>
          <c:tx>
            <c:strRef>
              <c:f>'Viajeros entr evol mensu TF'!$O$184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TF'!$O$185:$O$197</c:f>
              <c:numCache>
                <c:formatCode>0.0%</c:formatCode>
                <c:ptCount val="13"/>
                <c:pt idx="0">
                  <c:v>1.310810810810811</c:v>
                </c:pt>
                <c:pt idx="1">
                  <c:v>0.484375</c:v>
                </c:pt>
                <c:pt idx="2">
                  <c:v>0.52459016393442615</c:v>
                </c:pt>
                <c:pt idx="3">
                  <c:v>0.85106382978723394</c:v>
                </c:pt>
                <c:pt idx="4">
                  <c:v>1.5789473684210527</c:v>
                </c:pt>
                <c:pt idx="5">
                  <c:v>-0.56818181818181812</c:v>
                </c:pt>
                <c:pt idx="6">
                  <c:v>-3.8461538461538436E-2</c:v>
                </c:pt>
                <c:pt idx="7">
                  <c:v>1.6818181818181817</c:v>
                </c:pt>
                <c:pt idx="8">
                  <c:v>1.5625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0.71313672922252014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AF55-44BC-893B-74FFECA22B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3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9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1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3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10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10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10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9.xml"/><Relationship Id="rId1" Type="http://schemas.openxmlformats.org/officeDocument/2006/relationships/chart" Target="../charts/chart68.xml"/><Relationship Id="rId6" Type="http://schemas.openxmlformats.org/officeDocument/2006/relationships/image" Target="../media/image6.png"/><Relationship Id="rId5" Type="http://schemas.openxmlformats.org/officeDocument/2006/relationships/chart" Target="../charts/chart70.xml"/><Relationship Id="rId4" Type="http://schemas.openxmlformats.org/officeDocument/2006/relationships/image" Target="../media/image5.jpeg"/></Relationships>
</file>

<file path=xl/drawings/_rels/drawing108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1.xml"/><Relationship Id="rId5" Type="http://schemas.openxmlformats.org/officeDocument/2006/relationships/chart" Target="../charts/chart72.xml"/><Relationship Id="rId4" Type="http://schemas.openxmlformats.org/officeDocument/2006/relationships/image" Target="../media/image6.png"/></Relationships>
</file>

<file path=xl/drawings/_rels/drawing1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3.xml"/><Relationship Id="rId5" Type="http://schemas.openxmlformats.org/officeDocument/2006/relationships/chart" Target="../charts/chart74.xml"/><Relationship Id="rId4" Type="http://schemas.openxmlformats.org/officeDocument/2006/relationships/image" Target="../media/image6.png"/></Relationships>
</file>

<file path=xl/drawings/_rels/drawing1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5.xml"/><Relationship Id="rId5" Type="http://schemas.openxmlformats.org/officeDocument/2006/relationships/chart" Target="../charts/chart76.xml"/><Relationship Id="rId4" Type="http://schemas.openxmlformats.org/officeDocument/2006/relationships/image" Target="../media/image6.png"/></Relationships>
</file>

<file path=xl/drawings/_rels/drawing1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7.xml"/><Relationship Id="rId6" Type="http://schemas.openxmlformats.org/officeDocument/2006/relationships/chart" Target="../charts/chart79.xml"/><Relationship Id="rId5" Type="http://schemas.openxmlformats.org/officeDocument/2006/relationships/image" Target="../media/image6.png"/><Relationship Id="rId4" Type="http://schemas.openxmlformats.org/officeDocument/2006/relationships/chart" Target="../charts/chart78.xml"/></Relationships>
</file>

<file path=xl/drawings/_rels/drawing1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0.xml"/><Relationship Id="rId6" Type="http://schemas.openxmlformats.org/officeDocument/2006/relationships/chart" Target="../charts/chart82.xml"/><Relationship Id="rId5" Type="http://schemas.openxmlformats.org/officeDocument/2006/relationships/image" Target="../media/image6.png"/><Relationship Id="rId4" Type="http://schemas.openxmlformats.org/officeDocument/2006/relationships/chart" Target="../charts/chart81.xml"/></Relationships>
</file>

<file path=xl/drawings/_rels/drawing1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3.xml"/><Relationship Id="rId6" Type="http://schemas.openxmlformats.org/officeDocument/2006/relationships/chart" Target="../charts/chart85.xml"/><Relationship Id="rId5" Type="http://schemas.openxmlformats.org/officeDocument/2006/relationships/image" Target="../media/image6.png"/><Relationship Id="rId4" Type="http://schemas.openxmlformats.org/officeDocument/2006/relationships/chart" Target="../charts/chart84.xml"/></Relationships>
</file>

<file path=xl/drawings/_rels/drawing1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86.xml"/><Relationship Id="rId4" Type="http://schemas.openxmlformats.org/officeDocument/2006/relationships/image" Target="../media/image2.png"/></Relationships>
</file>

<file path=xl/drawings/_rels/drawing13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87.xml"/><Relationship Id="rId4" Type="http://schemas.openxmlformats.org/officeDocument/2006/relationships/image" Target="../media/image2.png"/></Relationships>
</file>

<file path=xl/drawings/_rels/drawing1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88.xml"/><Relationship Id="rId4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image" Target="../media/image2.pn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8.xml"/><Relationship Id="rId3" Type="http://schemas.openxmlformats.org/officeDocument/2006/relationships/image" Target="../media/image3.png"/><Relationship Id="rId7" Type="http://schemas.openxmlformats.org/officeDocument/2006/relationships/chart" Target="../charts/chart1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14.xml"/><Relationship Id="rId6" Type="http://schemas.openxmlformats.org/officeDocument/2006/relationships/chart" Target="../charts/chart16.xml"/><Relationship Id="rId5" Type="http://schemas.openxmlformats.org/officeDocument/2006/relationships/chart" Target="../charts/chart15.xml"/><Relationship Id="rId4" Type="http://schemas.openxmlformats.org/officeDocument/2006/relationships/image" Target="../media/image2.pn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19.xml"/><Relationship Id="rId6" Type="http://schemas.openxmlformats.org/officeDocument/2006/relationships/chart" Target="../charts/chart21.xml"/><Relationship Id="rId5" Type="http://schemas.openxmlformats.org/officeDocument/2006/relationships/chart" Target="../charts/chart20.xml"/><Relationship Id="rId4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image" Target="../media/image2.png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2.xml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.xml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image" Target="../media/image2.png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4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5.xml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6.xml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7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5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2.xml"/><Relationship Id="rId13" Type="http://schemas.openxmlformats.org/officeDocument/2006/relationships/chart" Target="../charts/chart37.xml"/><Relationship Id="rId3" Type="http://schemas.openxmlformats.org/officeDocument/2006/relationships/image" Target="../media/image3.png"/><Relationship Id="rId7" Type="http://schemas.openxmlformats.org/officeDocument/2006/relationships/chart" Target="../charts/chart31.xml"/><Relationship Id="rId12" Type="http://schemas.openxmlformats.org/officeDocument/2006/relationships/chart" Target="../charts/chart36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28.xml"/><Relationship Id="rId6" Type="http://schemas.openxmlformats.org/officeDocument/2006/relationships/chart" Target="../charts/chart30.xml"/><Relationship Id="rId11" Type="http://schemas.openxmlformats.org/officeDocument/2006/relationships/chart" Target="../charts/chart35.xml"/><Relationship Id="rId5" Type="http://schemas.openxmlformats.org/officeDocument/2006/relationships/chart" Target="../charts/chart29.xml"/><Relationship Id="rId15" Type="http://schemas.openxmlformats.org/officeDocument/2006/relationships/chart" Target="../charts/chart39.xml"/><Relationship Id="rId10" Type="http://schemas.openxmlformats.org/officeDocument/2006/relationships/chart" Target="../charts/chart34.xml"/><Relationship Id="rId4" Type="http://schemas.openxmlformats.org/officeDocument/2006/relationships/image" Target="../media/image2.png"/><Relationship Id="rId9" Type="http://schemas.openxmlformats.org/officeDocument/2006/relationships/chart" Target="../charts/chart33.xml"/><Relationship Id="rId14" Type="http://schemas.openxmlformats.org/officeDocument/2006/relationships/chart" Target="../charts/chart38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6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4.xml"/><Relationship Id="rId3" Type="http://schemas.openxmlformats.org/officeDocument/2006/relationships/image" Target="../media/image3.png"/><Relationship Id="rId7" Type="http://schemas.openxmlformats.org/officeDocument/2006/relationships/chart" Target="../charts/chart43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40.xml"/><Relationship Id="rId6" Type="http://schemas.openxmlformats.org/officeDocument/2006/relationships/chart" Target="../charts/chart42.xml"/><Relationship Id="rId5" Type="http://schemas.openxmlformats.org/officeDocument/2006/relationships/chart" Target="../charts/chart41.xml"/><Relationship Id="rId4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7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7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7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9.xml"/><Relationship Id="rId13" Type="http://schemas.openxmlformats.org/officeDocument/2006/relationships/chart" Target="../charts/chart54.xml"/><Relationship Id="rId3" Type="http://schemas.openxmlformats.org/officeDocument/2006/relationships/image" Target="../media/image3.png"/><Relationship Id="rId7" Type="http://schemas.openxmlformats.org/officeDocument/2006/relationships/chart" Target="../charts/chart48.xml"/><Relationship Id="rId12" Type="http://schemas.openxmlformats.org/officeDocument/2006/relationships/chart" Target="../charts/chart53.xml"/><Relationship Id="rId2" Type="http://schemas.openxmlformats.org/officeDocument/2006/relationships/hyperlink" Target="#'Men&#250; principal'!A1"/><Relationship Id="rId16" Type="http://schemas.openxmlformats.org/officeDocument/2006/relationships/chart" Target="../charts/chart57.xml"/><Relationship Id="rId1" Type="http://schemas.openxmlformats.org/officeDocument/2006/relationships/chart" Target="../charts/chart45.xml"/><Relationship Id="rId6" Type="http://schemas.openxmlformats.org/officeDocument/2006/relationships/chart" Target="../charts/chart47.xml"/><Relationship Id="rId11" Type="http://schemas.openxmlformats.org/officeDocument/2006/relationships/chart" Target="../charts/chart52.xml"/><Relationship Id="rId5" Type="http://schemas.openxmlformats.org/officeDocument/2006/relationships/chart" Target="../charts/chart46.xml"/><Relationship Id="rId15" Type="http://schemas.openxmlformats.org/officeDocument/2006/relationships/chart" Target="../charts/chart56.xml"/><Relationship Id="rId10" Type="http://schemas.openxmlformats.org/officeDocument/2006/relationships/chart" Target="../charts/chart51.xml"/><Relationship Id="rId4" Type="http://schemas.openxmlformats.org/officeDocument/2006/relationships/image" Target="../media/image2.png"/><Relationship Id="rId9" Type="http://schemas.openxmlformats.org/officeDocument/2006/relationships/chart" Target="../charts/chart50.xml"/><Relationship Id="rId14" Type="http://schemas.openxmlformats.org/officeDocument/2006/relationships/chart" Target="../charts/chart55.xml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.xml"/><Relationship Id="rId13" Type="http://schemas.openxmlformats.org/officeDocument/2006/relationships/chart" Target="../charts/chart10.xml"/><Relationship Id="rId3" Type="http://schemas.openxmlformats.org/officeDocument/2006/relationships/image" Target="../media/image3.png"/><Relationship Id="rId7" Type="http://schemas.openxmlformats.org/officeDocument/2006/relationships/chart" Target="../charts/chart4.xml"/><Relationship Id="rId12" Type="http://schemas.openxmlformats.org/officeDocument/2006/relationships/chart" Target="../charts/chart9.xml"/><Relationship Id="rId2" Type="http://schemas.openxmlformats.org/officeDocument/2006/relationships/hyperlink" Target="#'Men&#250; principal'!A1"/><Relationship Id="rId16" Type="http://schemas.openxmlformats.org/officeDocument/2006/relationships/chart" Target="../charts/chart13.xml"/><Relationship Id="rId1" Type="http://schemas.openxmlformats.org/officeDocument/2006/relationships/chart" Target="../charts/chart1.xml"/><Relationship Id="rId6" Type="http://schemas.openxmlformats.org/officeDocument/2006/relationships/chart" Target="../charts/chart3.xml"/><Relationship Id="rId11" Type="http://schemas.openxmlformats.org/officeDocument/2006/relationships/chart" Target="../charts/chart8.xml"/><Relationship Id="rId5" Type="http://schemas.openxmlformats.org/officeDocument/2006/relationships/chart" Target="../charts/chart2.xml"/><Relationship Id="rId15" Type="http://schemas.openxmlformats.org/officeDocument/2006/relationships/chart" Target="../charts/chart12.xml"/><Relationship Id="rId10" Type="http://schemas.openxmlformats.org/officeDocument/2006/relationships/chart" Target="../charts/chart7.xml"/><Relationship Id="rId4" Type="http://schemas.openxmlformats.org/officeDocument/2006/relationships/image" Target="../media/image2.png"/><Relationship Id="rId9" Type="http://schemas.openxmlformats.org/officeDocument/2006/relationships/chart" Target="../charts/chart6.xml"/><Relationship Id="rId14" Type="http://schemas.openxmlformats.org/officeDocument/2006/relationships/chart" Target="../charts/chart11.xml"/></Relationships>
</file>

<file path=xl/drawings/_rels/drawing8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2.xml"/><Relationship Id="rId3" Type="http://schemas.openxmlformats.org/officeDocument/2006/relationships/image" Target="../media/image3.png"/><Relationship Id="rId7" Type="http://schemas.openxmlformats.org/officeDocument/2006/relationships/chart" Target="../charts/chart61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58.xml"/><Relationship Id="rId6" Type="http://schemas.openxmlformats.org/officeDocument/2006/relationships/chart" Target="../charts/chart60.xml"/><Relationship Id="rId5" Type="http://schemas.openxmlformats.org/officeDocument/2006/relationships/chart" Target="../charts/chart59.xml"/><Relationship Id="rId4" Type="http://schemas.openxmlformats.org/officeDocument/2006/relationships/image" Target="../media/image2.png"/></Relationships>
</file>

<file path=xl/drawings/_rels/drawing9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9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7.xml"/><Relationship Id="rId3" Type="http://schemas.openxmlformats.org/officeDocument/2006/relationships/chart" Target="../charts/chart65.xml"/><Relationship Id="rId7" Type="http://schemas.openxmlformats.org/officeDocument/2006/relationships/chart" Target="../charts/chart66.xml"/><Relationship Id="rId2" Type="http://schemas.openxmlformats.org/officeDocument/2006/relationships/chart" Target="../charts/chart64.xml"/><Relationship Id="rId1" Type="http://schemas.openxmlformats.org/officeDocument/2006/relationships/chart" Target="../charts/chart63.xml"/><Relationship Id="rId6" Type="http://schemas.openxmlformats.org/officeDocument/2006/relationships/image" Target="../media/image2.png"/><Relationship Id="rId5" Type="http://schemas.openxmlformats.org/officeDocument/2006/relationships/image" Target="../media/image3.png"/><Relationship Id="rId4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5934075</xdr:colOff>
      <xdr:row>1</xdr:row>
      <xdr:rowOff>171450</xdr:rowOff>
    </xdr:from>
    <xdr:to>
      <xdr:col>1</xdr:col>
      <xdr:colOff>9159636</xdr:colOff>
      <xdr:row>3</xdr:row>
      <xdr:rowOff>131340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6F66592-2C79-4C77-B38E-0BC6745FEE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48475" y="361950"/>
          <a:ext cx="3225561" cy="874290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6:$O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españoles entrados en los establecimientos alojativos de San Cristóbal de La Laguna 
(hotel + apartamento)</a:t>
          </a:fld>
          <a:endParaRPr lang="es-ES" sz="1100"/>
        </a:p>
      </cdr:txBody>
    </cdr:sp>
  </cdr:relSizeAnchor>
</c:userShapes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tasa de ocupación evol mens'!$B$48:$O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50D8823-FBC2-4B03-A811-E1EE0E7E4A1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Tasa de ocupación por plaza en los hoteles de 4, 5 Estrellas de San Cristóbal de La Laguna</a:t>
          </a:fld>
          <a:endParaRPr lang="es-ES" sz="1100"/>
        </a:p>
      </cdr:txBody>
    </cdr:sp>
  </cdr:relSizeAnchor>
</c:userShapes>
</file>

<file path=xl/drawings/drawing10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342900</xdr:colOff>
      <xdr:row>2</xdr:row>
      <xdr:rowOff>0</xdr:rowOff>
    </xdr:from>
    <xdr:to>
      <xdr:col>10</xdr:col>
      <xdr:colOff>495300</xdr:colOff>
      <xdr:row>24</xdr:row>
      <xdr:rowOff>180975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4D2EBE3F-7BC1-4FC2-B2CD-4BE23A2E7936}"/>
            </a:ext>
          </a:extLst>
        </xdr:cNvPr>
        <xdr:cNvGrpSpPr/>
      </xdr:nvGrpSpPr>
      <xdr:grpSpPr>
        <a:xfrm>
          <a:off x="342900" y="38100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B63F864E-DC8D-AEEA-5378-2E654C13AB3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E37FBC80-74F4-7129-7212-194DD834A91E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Indicadores de rentabilidad alojativa</a:t>
            </a:r>
          </a:p>
        </xdr:txBody>
      </xdr:sp>
    </xdr:grpSp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1</xdr:row>
      <xdr:rowOff>66676</xdr:rowOff>
    </xdr:from>
    <xdr:to>
      <xdr:col>0</xdr:col>
      <xdr:colOff>838200</xdr:colOff>
      <xdr:row>4</xdr:row>
      <xdr:rowOff>257176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77ABBC7-5288-4E0D-BF9E-F06EA7F6BF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609601"/>
          <a:ext cx="762000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847725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BDA8499C-3343-4602-9BE1-5BDA23509A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342900</xdr:colOff>
      <xdr:row>2</xdr:row>
      <xdr:rowOff>0</xdr:rowOff>
    </xdr:from>
    <xdr:to>
      <xdr:col>10</xdr:col>
      <xdr:colOff>495300</xdr:colOff>
      <xdr:row>24</xdr:row>
      <xdr:rowOff>180975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C73B8C98-682F-4B69-815F-2837D2D1B407}"/>
            </a:ext>
          </a:extLst>
        </xdr:cNvPr>
        <xdr:cNvGrpSpPr/>
      </xdr:nvGrpSpPr>
      <xdr:grpSpPr>
        <a:xfrm>
          <a:off x="342900" y="38100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0FD421F1-41EF-CDC6-2A57-4464B2DBB39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C92F66DE-B833-8A46-7E49-EE88B3424BAD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Viajeros españoles</a:t>
            </a:r>
          </a:p>
        </xdr:txBody>
      </xdr:sp>
    </xdr:grpSp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1060453</xdr:colOff>
      <xdr:row>14</xdr:row>
      <xdr:rowOff>38100</xdr:rowOff>
    </xdr:from>
    <xdr:to>
      <xdr:col>6</xdr:col>
      <xdr:colOff>705803</xdr:colOff>
      <xdr:row>35</xdr:row>
      <xdr:rowOff>120967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EA2E49F4-2D65-444E-B12F-4A04A44BEE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448944</xdr:colOff>
      <xdr:row>13</xdr:row>
      <xdr:rowOff>73025</xdr:rowOff>
    </xdr:from>
    <xdr:to>
      <xdr:col>14</xdr:col>
      <xdr:colOff>369570</xdr:colOff>
      <xdr:row>30</xdr:row>
      <xdr:rowOff>135890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6680E4E9-3B73-459E-AAEB-3CB68542A9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659130</xdr:colOff>
      <xdr:row>1</xdr:row>
      <xdr:rowOff>152400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0B36F526-EF9D-47D5-88C1-2E37A855CD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16900" y="38100"/>
          <a:ext cx="49720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14</xdr:row>
      <xdr:rowOff>95250</xdr:rowOff>
    </xdr:from>
    <xdr:ext cx="9191626" cy="4545000"/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E2DC651E-941C-4FAA-B9AA-5AA8A22F8F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597195</xdr:colOff>
      <xdr:row>1</xdr:row>
      <xdr:rowOff>102870</xdr:rowOff>
    </xdr:to>
    <xdr:pic>
      <xdr:nvPicPr>
        <xdr:cNvPr id="6" name="Imagen 5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33E69D17-EC15-418B-8532-1ED00C4549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8295" cy="483870"/>
        </a:xfrm>
        <a:prstGeom prst="rect">
          <a:avLst/>
        </a:prstGeom>
      </xdr:spPr>
    </xdr:pic>
    <xdr:clientData/>
  </xdr:twoCellAnchor>
</xdr:wsDr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31758F8E-4084-474F-8EDA-80184F875402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</a:t>
          </a:r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rPr>
            <a:t>Insular</a:t>
          </a:r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 de Tenerife. ELABORACIÓN: Turismo de Tenerife </a:t>
          </a:r>
        </a:p>
      </cdr:txBody>
    </cdr:sp>
  </cdr:relSizeAnchor>
  <cdr:relSizeAnchor xmlns:cdr="http://schemas.openxmlformats.org/drawingml/2006/chartDrawing">
    <cdr:from>
      <cdr:x>0.39564</cdr:x>
      <cdr:y>0.35377</cdr:y>
    </cdr:from>
    <cdr:to>
      <cdr:x>0.91656</cdr:x>
      <cdr:y>0.48035</cdr:y>
    </cdr:to>
    <cdr:sp macro="" textlink="">
      <cdr:nvSpPr>
        <cdr:cNvPr id="6" name="Cerrar llave 5">
          <a:extLst xmlns:a="http://schemas.openxmlformats.org/drawingml/2006/main">
            <a:ext uri="{FF2B5EF4-FFF2-40B4-BE49-F238E27FC236}">
              <a16:creationId xmlns:a16="http://schemas.microsoft.com/office/drawing/2014/main" id="{469DACD7-1EE4-4E55-BAAA-E095C61962BC}"/>
            </a:ext>
          </a:extLst>
        </cdr:cNvPr>
        <cdr:cNvSpPr/>
      </cdr:nvSpPr>
      <cdr:spPr>
        <a:xfrm xmlns:a="http://schemas.openxmlformats.org/drawingml/2006/main" rot="16200000">
          <a:off x="4003280" y="-193004"/>
          <a:ext cx="450922" cy="3357458"/>
        </a:xfrm>
        <a:prstGeom xmlns:a="http://schemas.openxmlformats.org/drawingml/2006/main" prst="rightBrace">
          <a:avLst>
            <a:gd name="adj1" fmla="val 8333"/>
            <a:gd name="adj2" fmla="val 46363"/>
          </a:avLst>
        </a:prstGeom>
        <a:ln xmlns:a="http://schemas.openxmlformats.org/drawingml/2006/main">
          <a:solidFill>
            <a:schemeClr val="bg1">
              <a:lumMod val="50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0.43619</cdr:x>
      <cdr:y>0.15305</cdr:y>
    </cdr:from>
    <cdr:to>
      <cdr:x>0.82762</cdr:x>
      <cdr:y>0.25178</cdr:y>
    </cdr:to>
    <cdr:sp macro="" textlink="">
      <cdr:nvSpPr>
        <cdr:cNvPr id="7" name="CuadroTexto 3">
          <a:extLst xmlns:a="http://schemas.openxmlformats.org/drawingml/2006/main">
            <a:ext uri="{FF2B5EF4-FFF2-40B4-BE49-F238E27FC236}">
              <a16:creationId xmlns:a16="http://schemas.microsoft.com/office/drawing/2014/main" id="{277374B0-BFCC-495F-8F00-B86CEDAE30F1}"/>
            </a:ext>
          </a:extLst>
        </cdr:cNvPr>
        <cdr:cNvSpPr txBox="1"/>
      </cdr:nvSpPr>
      <cdr:spPr>
        <a:xfrm xmlns:a="http://schemas.openxmlformats.org/drawingml/2006/main">
          <a:off x="2811353" y="545212"/>
          <a:ext cx="2522863" cy="351710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ES" sz="1600" b="1">
              <a:solidFill>
                <a:schemeClr val="tx1">
                  <a:lumMod val="65000"/>
                  <a:lumOff val="35000"/>
                </a:schemeClr>
              </a:solidFill>
            </a:rPr>
            <a:t>Total</a:t>
          </a:r>
          <a:r>
            <a:rPr lang="es-ES" sz="1600" b="1" baseline="0">
              <a:solidFill>
                <a:schemeClr val="tx1">
                  <a:lumMod val="65000"/>
                  <a:lumOff val="35000"/>
                </a:schemeClr>
              </a:solidFill>
            </a:rPr>
            <a:t> turismo canario</a:t>
          </a:r>
          <a:endParaRPr lang="es-ES" sz="1600" b="1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0.57735</cdr:x>
      <cdr:y>0.27208</cdr:y>
    </cdr:from>
    <cdr:to>
      <cdr:x>0.68978</cdr:x>
      <cdr:y>0.33541</cdr:y>
    </cdr:to>
    <cdr:sp macro="" textlink="'distribución españoles x Resid'!$O$9">
      <cdr:nvSpPr>
        <cdr:cNvPr id="8" name="CuadroTexto 3">
          <a:extLst xmlns:a="http://schemas.openxmlformats.org/drawingml/2006/main">
            <a:ext uri="{FF2B5EF4-FFF2-40B4-BE49-F238E27FC236}">
              <a16:creationId xmlns:a16="http://schemas.microsoft.com/office/drawing/2014/main" id="{4C9EE597-C83C-44F2-B4A3-633066BB0BF2}"/>
            </a:ext>
          </a:extLst>
        </cdr:cNvPr>
        <cdr:cNvSpPr txBox="1"/>
      </cdr:nvSpPr>
      <cdr:spPr>
        <a:xfrm xmlns:a="http://schemas.openxmlformats.org/drawingml/2006/main">
          <a:off x="3817377" y="1110490"/>
          <a:ext cx="743379" cy="2584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>
          <a:solidFill>
            <a:schemeClr val="accent3"/>
          </a:solidFill>
        </a:ln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8EB6A94-6C61-4F4A-B0DF-7DBBFCDFD143}" type="TxLink">
            <a:rPr lang="en-US" sz="1200" b="1" i="0" u="none" strike="noStrike">
              <a:solidFill>
                <a:schemeClr val="accent3"/>
              </a:solidFill>
              <a:latin typeface="Calibri"/>
              <a:ea typeface="Calibri"/>
              <a:cs typeface="Calibri"/>
            </a:rPr>
            <a:pPr algn="ctr"/>
            <a:t>-14,0%</a:t>
          </a:fld>
          <a:endParaRPr lang="es-ES" sz="14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0.56188</cdr:x>
      <cdr:y>0.21162</cdr:y>
    </cdr:from>
    <cdr:to>
      <cdr:x>0.70176</cdr:x>
      <cdr:y>0.28983</cdr:y>
    </cdr:to>
    <cdr:sp macro="" textlink="'distribución españoles x Resid'!$N$9">
      <cdr:nvSpPr>
        <cdr:cNvPr id="9" name="CuadroTexto 3">
          <a:extLst xmlns:a="http://schemas.openxmlformats.org/drawingml/2006/main">
            <a:ext uri="{FF2B5EF4-FFF2-40B4-BE49-F238E27FC236}">
              <a16:creationId xmlns:a16="http://schemas.microsoft.com/office/drawing/2014/main" id="{B06674D6-B1FE-43AA-BD4E-1158A6AF831A}"/>
            </a:ext>
          </a:extLst>
        </cdr:cNvPr>
        <cdr:cNvSpPr txBox="1"/>
      </cdr:nvSpPr>
      <cdr:spPr>
        <a:xfrm xmlns:a="http://schemas.openxmlformats.org/drawingml/2006/main">
          <a:off x="3621442" y="753872"/>
          <a:ext cx="901561" cy="278611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DFE3520-A142-44BE-949C-98BD71D40043}" type="TxLink">
            <a:rPr lang="en-US" sz="14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 algn="ctr"/>
            <a:t>8.202</a:t>
          </a:fld>
          <a:endParaRPr lang="es-ES" sz="1600" b="1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0.70672</cdr:x>
      <cdr:y>0.26753</cdr:y>
    </cdr:from>
    <cdr:to>
      <cdr:x>0.82251</cdr:x>
      <cdr:y>0.33257</cdr:y>
    </cdr:to>
    <cdr:sp macro="" textlink="'distribución españoles x Resid'!$S$9">
      <cdr:nvSpPr>
        <cdr:cNvPr id="16" name="CuadroTexto 15">
          <a:extLst xmlns:a="http://schemas.openxmlformats.org/drawingml/2006/main">
            <a:ext uri="{FF2B5EF4-FFF2-40B4-BE49-F238E27FC236}">
              <a16:creationId xmlns:a16="http://schemas.microsoft.com/office/drawing/2014/main" id="{35529699-B5DE-4E82-9402-691AEDFDDCDC}"/>
            </a:ext>
          </a:extLst>
        </cdr:cNvPr>
        <cdr:cNvSpPr txBox="1"/>
      </cdr:nvSpPr>
      <cdr:spPr>
        <a:xfrm xmlns:a="http://schemas.openxmlformats.org/drawingml/2006/main">
          <a:off x="4672792" y="1091930"/>
          <a:ext cx="765596" cy="265458"/>
        </a:xfrm>
        <a:prstGeom xmlns:a="http://schemas.openxmlformats.org/drawingml/2006/main" prst="rect">
          <a:avLst/>
        </a:prstGeom>
        <a:ln xmlns:a="http://schemas.openxmlformats.org/drawingml/2006/main">
          <a:solidFill>
            <a:schemeClr val="bg1">
              <a:lumMod val="65000"/>
            </a:schemeClr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E3A6F43F-5657-4BB1-A66C-84C7CA060AD7}" type="TxLink">
            <a:rPr lang="en-US" sz="1100" b="1" i="0" u="none" strike="noStrike">
              <a:solidFill>
                <a:schemeClr val="bg1">
                  <a:lumMod val="65000"/>
                </a:schemeClr>
              </a:solidFill>
              <a:latin typeface="Calibri"/>
              <a:ea typeface="Calibri"/>
              <a:cs typeface="Calibri"/>
            </a:rPr>
            <a:pPr algn="ctr"/>
            <a:t>31,4%</a:t>
          </a:fld>
          <a:endParaRPr lang="es-ES" sz="1200">
            <a:solidFill>
              <a:schemeClr val="bg1">
                <a:lumMod val="6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0.17381</cdr:y>
    </cdr:to>
    <cdr:sp macro="" textlink="'distribución españoles x Resid'!$B$3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55D3B39E-6851-4C36-B8B6-6CD68DC2EBAC}"/>
            </a:ext>
          </a:extLst>
        </cdr:cNvPr>
        <cdr:cNvSpPr txBox="1"/>
      </cdr:nvSpPr>
      <cdr:spPr>
        <a:xfrm xmlns:a="http://schemas.openxmlformats.org/drawingml/2006/main">
          <a:off x="0" y="0"/>
          <a:ext cx="6611935" cy="6762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6CF2B8F0-D7E4-4DC8-B136-07E75A981FB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Viajeros españoles entrados en los hoteles y apartamentos de San Cristóbal de La Laguna según lugar de residencia</a:t>
          </a:fld>
          <a:endParaRPr lang="es-ES" sz="1800">
            <a:solidFill>
              <a:schemeClr val="tx1">
                <a:lumMod val="50000"/>
                <a:lumOff val="50000"/>
              </a:schemeClr>
            </a:solidFill>
          </a:endParaRPr>
        </a:p>
      </cdr:txBody>
    </cdr:sp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0.0087</cdr:x>
      <cdr:y>0</cdr:y>
    </cdr:from>
    <cdr:to>
      <cdr:x>0.99216</cdr:x>
      <cdr:y>0.2219</cdr:y>
    </cdr:to>
    <cdr:sp macro="" textlink="'distribución españoles x Resid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57150" y="0"/>
          <a:ext cx="6460423" cy="73257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españoles entrados en hoteles y apartamentos de San Cristóbal de La Laguna  por lugar de residencia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0.70361</cdr:x>
      <cdr:y>0.21422</cdr:y>
    </cdr:from>
    <cdr:to>
      <cdr:x>0.75287</cdr:x>
      <cdr:y>0.88569</cdr:y>
    </cdr:to>
    <cdr:sp macro="" textlink="">
      <cdr:nvSpPr>
        <cdr:cNvPr id="9" name="Cerrar llave 8">
          <a:extLst xmlns:a="http://schemas.openxmlformats.org/drawingml/2006/main">
            <a:ext uri="{FF2B5EF4-FFF2-40B4-BE49-F238E27FC236}">
              <a16:creationId xmlns:a16="http://schemas.microsoft.com/office/drawing/2014/main" id="{86FD90C6-C671-486D-8C54-9121492BC7EB}"/>
            </a:ext>
          </a:extLst>
        </cdr:cNvPr>
        <cdr:cNvSpPr/>
      </cdr:nvSpPr>
      <cdr:spPr>
        <a:xfrm xmlns:a="http://schemas.openxmlformats.org/drawingml/2006/main">
          <a:off x="5441950" y="708025"/>
          <a:ext cx="381000" cy="2219325"/>
        </a:xfrm>
        <a:prstGeom xmlns:a="http://schemas.openxmlformats.org/drawingml/2006/main" prst="rightBrace">
          <a:avLst>
            <a:gd name="adj1" fmla="val 8333"/>
            <a:gd name="adj2" fmla="val 29829"/>
          </a:avLst>
        </a:prstGeom>
        <a:ln xmlns:a="http://schemas.openxmlformats.org/drawingml/2006/main">
          <a:solidFill>
            <a:schemeClr val="bg1">
              <a:lumMod val="50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0.75237</cdr:x>
      <cdr:y>0.25456</cdr:y>
    </cdr:from>
    <cdr:to>
      <cdr:x>0.99397</cdr:x>
      <cdr:y>0.53122</cdr:y>
    </cdr:to>
    <cdr:grpSp>
      <cdr:nvGrpSpPr>
        <cdr:cNvPr id="19" name="Grupo 18">
          <a:extLst xmlns:a="http://schemas.openxmlformats.org/drawingml/2006/main">
            <a:ext uri="{FF2B5EF4-FFF2-40B4-BE49-F238E27FC236}">
              <a16:creationId xmlns:a16="http://schemas.microsoft.com/office/drawing/2014/main" id="{43E73BE4-588E-45DC-B07F-87A1D48D6B98}"/>
            </a:ext>
          </a:extLst>
        </cdr:cNvPr>
        <cdr:cNvGrpSpPr/>
      </cdr:nvGrpSpPr>
      <cdr:grpSpPr>
        <a:xfrm xmlns:a="http://schemas.openxmlformats.org/drawingml/2006/main">
          <a:off x="4942376" y="840395"/>
          <a:ext cx="1587088" cy="913356"/>
          <a:chOff x="-118136" y="-50384"/>
          <a:chExt cx="1768394" cy="546907"/>
        </a:xfrm>
      </cdr:grpSpPr>
      <cdr:sp macro="" textlink="">
        <cdr:nvSpPr>
          <cdr:cNvPr id="23" name="CuadroTexto 3">
            <a:extLst xmlns:a="http://schemas.openxmlformats.org/drawingml/2006/main">
              <a:ext uri="{FF2B5EF4-FFF2-40B4-BE49-F238E27FC236}">
                <a16:creationId xmlns:a16="http://schemas.microsoft.com/office/drawing/2014/main" id="{C5AD8BF3-D5DB-43D7-800F-DEA9B011B08C}"/>
              </a:ext>
            </a:extLst>
          </cdr:cNvPr>
          <cdr:cNvSpPr txBox="1"/>
        </cdr:nvSpPr>
        <cdr:spPr>
          <a:xfrm xmlns:a="http://schemas.openxmlformats.org/drawingml/2006/main">
            <a:off x="-118136" y="-50384"/>
            <a:ext cx="1768394" cy="546907"/>
          </a:xfrm>
          <a:prstGeom xmlns:a="http://schemas.openxmlformats.org/drawingml/2006/main" prst="rect">
            <a:avLst/>
          </a:prstGeom>
          <a:ln xmlns:a="http://schemas.openxmlformats.org/drawingml/2006/main">
            <a:solidFill>
              <a:schemeClr val="bg1">
                <a:lumMod val="50000"/>
              </a:schemeClr>
            </a:solidFill>
          </a:ln>
        </cdr:spPr>
        <cdr:txBody>
          <a:bodyPr xmlns:a="http://schemas.openxmlformats.org/drawingml/2006/main" wrap="square" rtlCol="0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/>
            <a:r>
              <a:rPr lang="es-ES" sz="1400" b="1">
                <a:solidFill>
                  <a:schemeClr val="tx1">
                    <a:lumMod val="65000"/>
                    <a:lumOff val="35000"/>
                  </a:schemeClr>
                </a:solidFill>
              </a:rPr>
              <a:t>Total</a:t>
            </a:r>
            <a:r>
              <a:rPr lang="es-ES" sz="1400" b="1" baseline="0">
                <a:solidFill>
                  <a:schemeClr val="tx1">
                    <a:lumMod val="65000"/>
                    <a:lumOff val="35000"/>
                  </a:schemeClr>
                </a:solidFill>
              </a:rPr>
              <a:t> turismo canario</a:t>
            </a:r>
            <a:endParaRPr lang="es-ES" sz="1400" b="1">
              <a:solidFill>
                <a:schemeClr val="tx1">
                  <a:lumMod val="65000"/>
                  <a:lumOff val="35000"/>
                </a:schemeClr>
              </a:solidFill>
            </a:endParaRPr>
          </a:p>
        </cdr:txBody>
      </cdr:sp>
      <cdr:sp macro="" textlink="'distribución españoles x Resid'!$N$9">
        <cdr:nvSpPr>
          <cdr:cNvPr id="24" name="CuadroTexto 4">
            <a:extLst xmlns:a="http://schemas.openxmlformats.org/drawingml/2006/main">
              <a:ext uri="{FF2B5EF4-FFF2-40B4-BE49-F238E27FC236}">
                <a16:creationId xmlns:a16="http://schemas.microsoft.com/office/drawing/2014/main" id="{7BF59A4D-C9D0-46F6-A505-3100DBB18C12}"/>
              </a:ext>
            </a:extLst>
          </cdr:cNvPr>
          <cdr:cNvSpPr txBox="1"/>
        </cdr:nvSpPr>
        <cdr:spPr>
          <a:xfrm xmlns:a="http://schemas.openxmlformats.org/drawingml/2006/main">
            <a:off x="269366" y="246761"/>
            <a:ext cx="958037" cy="179899"/>
          </a:xfrm>
          <a:prstGeom xmlns:a="http://schemas.openxmlformats.org/drawingml/2006/main" prst="rect">
            <a:avLst/>
          </a:prstGeom>
          <a:ln xmlns:a="http://schemas.openxmlformats.org/drawingml/2006/main">
            <a:noFill/>
          </a:ln>
        </cdr:spPr>
        <cdr:txBody>
          <a:bodyPr xmlns:a="http://schemas.openxmlformats.org/drawingml/2006/main" wrap="square" rtlCol="0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ctr"/>
            <a:fld id="{412286F5-1A05-47E0-97D1-52FF465F2855}" type="TxLink">
              <a:rPr lang="en-US" sz="1600" b="1" i="0" u="none" strike="noStrike">
                <a:solidFill>
                  <a:srgbClr val="7B8279"/>
                </a:solidFill>
                <a:latin typeface="Calibri"/>
                <a:ea typeface="Calibri"/>
                <a:cs typeface="Calibri"/>
              </a:rPr>
              <a:pPr marL="0" indent="0" algn="ctr"/>
              <a:t>8.202</a:t>
            </a:fld>
            <a:endParaRPr lang="es-ES" sz="2000" b="1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endParaRPr>
          </a:p>
        </cdr:txBody>
      </cdr:sp>
    </cdr:grpSp>
  </cdr:relSizeAnchor>
  <cdr:relSizeAnchor xmlns:cdr="http://schemas.openxmlformats.org/drawingml/2006/chartDrawing">
    <cdr:from>
      <cdr:x>0.73929</cdr:x>
      <cdr:y>0.56868</cdr:y>
    </cdr:from>
    <cdr:to>
      <cdr:x>0.99304</cdr:x>
      <cdr:y>0.84945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4D63E92D-ACB2-45A8-BCA5-E07887F3BD29}"/>
            </a:ext>
          </a:extLst>
        </cdr:cNvPr>
        <cdr:cNvGrpSpPr/>
      </cdr:nvGrpSpPr>
      <cdr:grpSpPr>
        <a:xfrm xmlns:a="http://schemas.openxmlformats.org/drawingml/2006/main">
          <a:off x="4856452" y="1877420"/>
          <a:ext cx="1666903" cy="926924"/>
          <a:chOff x="4210084" y="1879587"/>
          <a:chExt cx="1581328" cy="927994"/>
        </a:xfrm>
      </cdr:grpSpPr>
      <cdr:sp macro="" textlink="">
        <cdr:nvSpPr>
          <cdr:cNvPr id="21" name="4 CuadroTexto">
            <a:extLst xmlns:a="http://schemas.openxmlformats.org/drawingml/2006/main">
              <a:ext uri="{FF2B5EF4-FFF2-40B4-BE49-F238E27FC236}">
                <a16:creationId xmlns:a16="http://schemas.microsoft.com/office/drawing/2014/main" id="{5DDA589D-22D4-4B16-B090-802F84D0510E}"/>
              </a:ext>
            </a:extLst>
          </cdr:cNvPr>
          <cdr:cNvSpPr txBox="1"/>
        </cdr:nvSpPr>
        <cdr:spPr>
          <a:xfrm xmlns:a="http://schemas.openxmlformats.org/drawingml/2006/main">
            <a:off x="4210084" y="1879587"/>
            <a:ext cx="1581328" cy="927994"/>
          </a:xfrm>
          <a:prstGeom xmlns:a="http://schemas.openxmlformats.org/drawingml/2006/main" prst="rect">
            <a:avLst/>
          </a:prstGeom>
          <a:ln xmlns:a="http://schemas.openxmlformats.org/drawingml/2006/main" w="3175">
            <a:solidFill>
              <a:schemeClr val="accent1"/>
            </a:solidFill>
          </a:ln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ctr">
              <a:lnSpc>
                <a:spcPct val="100000"/>
              </a:lnSpc>
            </a:pPr>
            <a:r>
              <a:rPr lang="es-ES" sz="1400" b="1" i="0" u="none" strike="noStrike" dirty="0">
                <a:solidFill>
                  <a:schemeClr val="accent2"/>
                </a:solidFill>
                <a:latin typeface="Calibri"/>
                <a:ea typeface="+mn-ea"/>
                <a:cs typeface="+mn-cs"/>
              </a:rPr>
              <a:t>Turismo Canario</a:t>
            </a:r>
          </a:p>
          <a:p xmlns:a="http://schemas.openxmlformats.org/drawingml/2006/main">
            <a:pPr marL="0" indent="0" algn="ctr">
              <a:lnSpc>
                <a:spcPct val="100000"/>
              </a:lnSpc>
            </a:pPr>
            <a:r>
              <a:rPr lang="es-ES" sz="1400" b="1" i="0" u="none" strike="noStrike" dirty="0">
                <a:solidFill>
                  <a:schemeClr val="accent2"/>
                </a:solidFill>
                <a:latin typeface="Calibri"/>
                <a:ea typeface="+mn-ea"/>
                <a:cs typeface="+mn-cs"/>
              </a:rPr>
              <a:t> </a:t>
            </a:r>
          </a:p>
        </cdr:txBody>
      </cdr:sp>
      <cdr:sp macro="" textlink="'distribución españoles x Resid'!$S$9">
        <cdr:nvSpPr>
          <cdr:cNvPr id="22" name="CuadroTexto 1">
            <a:extLst xmlns:a="http://schemas.openxmlformats.org/drawingml/2006/main">
              <a:ext uri="{FF2B5EF4-FFF2-40B4-BE49-F238E27FC236}">
                <a16:creationId xmlns:a16="http://schemas.microsoft.com/office/drawing/2014/main" id="{7A1FB039-8E15-44CE-9502-D48144CFC5DB}"/>
              </a:ext>
            </a:extLst>
          </cdr:cNvPr>
          <cdr:cNvSpPr txBox="1"/>
        </cdr:nvSpPr>
        <cdr:spPr>
          <a:xfrm xmlns:a="http://schemas.openxmlformats.org/drawingml/2006/main">
            <a:off x="4562251" y="2317629"/>
            <a:ext cx="731698" cy="333174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r"/>
            <a:fld id="{6252F33D-EF1C-47C4-96A5-DEAC3CCFC160}" type="TxLink">
              <a:rPr lang="en-US" sz="1400" b="1" i="0" u="none" strike="noStrike">
                <a:solidFill>
                  <a:schemeClr val="accent6"/>
                </a:solidFill>
                <a:latin typeface="Calibri"/>
                <a:ea typeface="Calibri"/>
                <a:cs typeface="Calibri"/>
              </a:rPr>
              <a:pPr marL="0" indent="0" algn="r"/>
              <a:t>31,4%</a:t>
            </a:fld>
            <a:endParaRPr lang="es-ES" sz="1800" b="1" i="0" u="none" strike="noStrike">
              <a:solidFill>
                <a:schemeClr val="accent6"/>
              </a:solidFill>
              <a:latin typeface="Calibri"/>
              <a:ea typeface="+mn-ea"/>
              <a:cs typeface="+mn-cs"/>
            </a:endParaRPr>
          </a:p>
        </cdr:txBody>
      </cdr:sp>
    </cdr:grpSp>
  </cdr:relSizeAnchor>
  <cdr:relSizeAnchor xmlns:cdr="http://schemas.openxmlformats.org/drawingml/2006/chartDrawing">
    <cdr:from>
      <cdr:x>0.76539</cdr:x>
      <cdr:y>0.77333</cdr:y>
    </cdr:from>
    <cdr:to>
      <cdr:x>0.97535</cdr:x>
      <cdr:y>0.84538</cdr:y>
    </cdr:to>
    <cdr:sp macro="" textlink="">
      <cdr:nvSpPr>
        <cdr:cNvPr id="26" name="CuadroTexto 1">
          <a:extLst xmlns:a="http://schemas.openxmlformats.org/drawingml/2006/main">
            <a:ext uri="{FF2B5EF4-FFF2-40B4-BE49-F238E27FC236}">
              <a16:creationId xmlns:a16="http://schemas.microsoft.com/office/drawing/2014/main" id="{0D6E40F3-67BA-46DA-9F8A-37F48AFBB0E0}"/>
            </a:ext>
          </a:extLst>
        </cdr:cNvPr>
        <cdr:cNvSpPr txBox="1"/>
      </cdr:nvSpPr>
      <cdr:spPr>
        <a:xfrm xmlns:a="http://schemas.openxmlformats.org/drawingml/2006/main">
          <a:off x="5027931" y="2553033"/>
          <a:ext cx="1379220" cy="23786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en-US" sz="1400" b="1" i="0" u="none" strike="noStrike">
              <a:solidFill>
                <a:schemeClr val="accent2"/>
              </a:solidFill>
              <a:latin typeface="Calibri"/>
            </a:rPr>
            <a:t>del total España</a:t>
          </a:r>
          <a:endParaRPr lang="es-ES" sz="1600" b="1">
            <a:solidFill>
              <a:schemeClr val="accent2"/>
            </a:solidFill>
          </a:endParaRPr>
        </a:p>
      </cdr:txBody>
    </cdr:sp>
  </cdr:relSizeAnchor>
</c:userShapes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08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608964</xdr:colOff>
      <xdr:row>23</xdr:row>
      <xdr:rowOff>95885</xdr:rowOff>
    </xdr:from>
    <xdr:to>
      <xdr:col>25</xdr:col>
      <xdr:colOff>3809</xdr:colOff>
      <xdr:row>130</xdr:row>
      <xdr:rowOff>272415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AD670872-8B42-4D65-BE2A-DFA78F8164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1BA8FD41-EDA2-4428-B05B-2E201CCEEA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2155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387BBE8F-0FC0-4FF6-A927-C099399982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16</xdr:row>
      <xdr:rowOff>142873</xdr:rowOff>
    </xdr:from>
    <xdr:to>
      <xdr:col>12</xdr:col>
      <xdr:colOff>238125</xdr:colOff>
      <xdr:row>123</xdr:row>
      <xdr:rowOff>180974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53CB67B0-B493-4E7E-A89A-DD3CA55954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españoles x cate'!$B$3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F71BC7C3-6684-4714-A6D1-8223AD0694D0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Viajeros españoles entrados en los hoteles y apartamentos de San Cristóbal de La Laguna por tipología y categoría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0.041</cdr:x>
      <cdr:y>0.26031</cdr:y>
    </cdr:from>
    <cdr:to>
      <cdr:x>0.24854</cdr:x>
      <cdr:y>0.41201</cdr:y>
    </cdr:to>
    <cdr:sp macro="" textlink="'distribución españoles x cate'!$AA$19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485A1103-5FB5-B2C6-21B1-F6862E0BCB8F}"/>
            </a:ext>
          </a:extLst>
        </cdr:cNvPr>
        <cdr:cNvSpPr txBox="1"/>
      </cdr:nvSpPr>
      <cdr:spPr>
        <a:xfrm xmlns:a="http://schemas.openxmlformats.org/drawingml/2006/main">
          <a:off x="347469" y="1319893"/>
          <a:ext cx="1758710" cy="769191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1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D24D9A57-6BDE-4FF9-BFFC-01600462B1D2}" type="TxLink">
            <a:rPr lang="en-US" sz="1400" b="0" i="0" u="none" strike="noStrike">
              <a:solidFill>
                <a:schemeClr val="accent6">
                  <a:lumMod val="75000"/>
                </a:schemeClr>
              </a:solidFill>
              <a:latin typeface="Calibri"/>
              <a:ea typeface="Calibri"/>
              <a:cs typeface="Calibri"/>
            </a:rPr>
            <a:pPr algn="ctr"/>
            <a:t>Hoteles: 
26.153 viajeros 
cuota: 100,0%</a:t>
          </a:fld>
          <a:endParaRPr lang="es-ES" sz="140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0.77039</cdr:x>
      <cdr:y>0.19841</cdr:y>
    </cdr:from>
    <cdr:to>
      <cdr:x>0.98376</cdr:x>
      <cdr:y>0.34296</cdr:y>
    </cdr:to>
    <cdr:sp macro="" textlink="'distribución españoles x cate'!$AA$20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21E849B-B2E6-1154-D44C-15561EF878B3}"/>
            </a:ext>
          </a:extLst>
        </cdr:cNvPr>
        <cdr:cNvSpPr txBox="1"/>
      </cdr:nvSpPr>
      <cdr:spPr>
        <a:xfrm xmlns:a="http://schemas.openxmlformats.org/drawingml/2006/main">
          <a:off x="6528359" y="1005667"/>
          <a:ext cx="1808114" cy="732662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4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B227F2D-33F7-4897-8363-626781F97EAE}" type="TxLink">
            <a:rPr lang="en-US" sz="1400" b="0" i="0" u="none" strike="noStrike">
              <a:solidFill>
                <a:schemeClr val="accent4"/>
              </a:solidFill>
              <a:latin typeface="Calibri"/>
              <a:ea typeface="+mn-ea"/>
              <a:cs typeface="Calibri"/>
            </a:rPr>
            <a:pPr marL="0" indent="0" algn="ctr"/>
            <a:t>#¡REF!</a:t>
          </a:fld>
          <a:endParaRPr lang="es-ES" sz="1400" b="0" i="0" u="none" strike="noStrike">
            <a:solidFill>
              <a:schemeClr val="accent4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48:$O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peninsulares entrados en los establecimientos alojativos de San Cristóbal de La Laguna 
(hotel + apartamento)</a:t>
          </a:fld>
          <a:endParaRPr lang="es-ES" sz="1100"/>
        </a:p>
      </cdr:txBody>
    </cdr:sp>
  </cdr:relSizeAnchor>
</c:userShapes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1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608964</xdr:colOff>
      <xdr:row>23</xdr:row>
      <xdr:rowOff>95885</xdr:rowOff>
    </xdr:from>
    <xdr:to>
      <xdr:col>25</xdr:col>
      <xdr:colOff>3809</xdr:colOff>
      <xdr:row>130</xdr:row>
      <xdr:rowOff>272415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1EFBB5ED-450C-4179-8534-D5724D47EC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09155108-F8B9-4008-BCBF-D3828093EC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2155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8C8C9251-DDFD-4F49-96A2-48317B9E9C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16</xdr:row>
      <xdr:rowOff>142873</xdr:rowOff>
    </xdr:from>
    <xdr:to>
      <xdr:col>12</xdr:col>
      <xdr:colOff>238125</xdr:colOff>
      <xdr:row>123</xdr:row>
      <xdr:rowOff>180974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6629E3A6-FE73-4AB5-889C-E27BF0D5BF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peninsulare x cate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peninsulares entrados en hoteles y apartamentos de Tenerife por lugar categoría del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0.041</cdr:x>
      <cdr:y>0.26031</cdr:y>
    </cdr:from>
    <cdr:to>
      <cdr:x>0.24854</cdr:x>
      <cdr:y>0.41201</cdr:y>
    </cdr:to>
    <cdr:sp macro="" textlink="'distribución peninsulare x cate'!$AA$19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485A1103-5FB5-B2C6-21B1-F6862E0BCB8F}"/>
            </a:ext>
          </a:extLst>
        </cdr:cNvPr>
        <cdr:cNvSpPr txBox="1"/>
      </cdr:nvSpPr>
      <cdr:spPr>
        <a:xfrm xmlns:a="http://schemas.openxmlformats.org/drawingml/2006/main">
          <a:off x="347469" y="1319893"/>
          <a:ext cx="1758710" cy="769191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1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D24D9A57-6BDE-4FF9-BFFC-01600462B1D2}" type="TxLink">
            <a:rPr lang="en-US" sz="1400" b="0" i="0" u="none" strike="noStrike">
              <a:solidFill>
                <a:schemeClr val="accent6">
                  <a:lumMod val="75000"/>
                </a:schemeClr>
              </a:solidFill>
              <a:latin typeface="Calibri"/>
              <a:ea typeface="Calibri"/>
              <a:cs typeface="Calibri"/>
            </a:rPr>
            <a:pPr algn="ctr"/>
            <a:t>Hoteles: 
17.951 viajeros 
cuota: 100,0%</a:t>
          </a:fld>
          <a:endParaRPr lang="es-ES" sz="140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0.77039</cdr:x>
      <cdr:y>0.19841</cdr:y>
    </cdr:from>
    <cdr:to>
      <cdr:x>0.98376</cdr:x>
      <cdr:y>0.34296</cdr:y>
    </cdr:to>
    <cdr:sp macro="" textlink="'distribución peninsulare x cate'!$AA$20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21E849B-B2E6-1154-D44C-15561EF878B3}"/>
            </a:ext>
          </a:extLst>
        </cdr:cNvPr>
        <cdr:cNvSpPr txBox="1"/>
      </cdr:nvSpPr>
      <cdr:spPr>
        <a:xfrm xmlns:a="http://schemas.openxmlformats.org/drawingml/2006/main">
          <a:off x="6528359" y="1005667"/>
          <a:ext cx="1808114" cy="732662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4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B227F2D-33F7-4897-8363-626781F97EAE}" type="TxLink">
            <a:rPr lang="en-US" sz="1400" b="0" i="0" u="none" strike="noStrike">
              <a:solidFill>
                <a:schemeClr val="accent4"/>
              </a:solidFill>
              <a:latin typeface="Calibri"/>
              <a:ea typeface="+mn-ea"/>
              <a:cs typeface="Calibri"/>
            </a:rPr>
            <a:pPr marL="0" indent="0" algn="ctr"/>
            <a:t>#¡VALOR!</a:t>
          </a:fld>
          <a:endParaRPr lang="es-ES" sz="1400" b="0" i="0" u="none" strike="noStrike">
            <a:solidFill>
              <a:schemeClr val="accent4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4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608964</xdr:colOff>
      <xdr:row>23</xdr:row>
      <xdr:rowOff>95885</xdr:rowOff>
    </xdr:from>
    <xdr:to>
      <xdr:col>25</xdr:col>
      <xdr:colOff>3809</xdr:colOff>
      <xdr:row>130</xdr:row>
      <xdr:rowOff>272415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42B24793-E8D2-43DB-A9AD-AFDB218D88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3548B7C3-A9C1-46EA-BFED-CBB9F0831A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2155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4EC6FE63-8790-4FCA-AAFA-CA84BB0375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16</xdr:row>
      <xdr:rowOff>142873</xdr:rowOff>
    </xdr:from>
    <xdr:to>
      <xdr:col>12</xdr:col>
      <xdr:colOff>238125</xdr:colOff>
      <xdr:row>123</xdr:row>
      <xdr:rowOff>180974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1AA55087-1CDF-47D9-9CBD-60CD575120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canarios x cate'!$B$3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6DD7FDF9-C129-4B73-A2D8-1D48F8148B42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Viajeros canarios entrados en los hoteles y apartamentos de San Cristóbal de La Laguna por tipología y categoría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0.041</cdr:x>
      <cdr:y>0.26031</cdr:y>
    </cdr:from>
    <cdr:to>
      <cdr:x>0.24854</cdr:x>
      <cdr:y>0.41201</cdr:y>
    </cdr:to>
    <cdr:sp macro="" textlink="'distribución canarios x cate'!$AA$19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485A1103-5FB5-B2C6-21B1-F6862E0BCB8F}"/>
            </a:ext>
          </a:extLst>
        </cdr:cNvPr>
        <cdr:cNvSpPr txBox="1"/>
      </cdr:nvSpPr>
      <cdr:spPr>
        <a:xfrm xmlns:a="http://schemas.openxmlformats.org/drawingml/2006/main">
          <a:off x="347469" y="1319893"/>
          <a:ext cx="1758710" cy="769191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1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D24D9A57-6BDE-4FF9-BFFC-01600462B1D2}" type="TxLink">
            <a:rPr lang="en-US" sz="1400" b="0" i="0" u="none" strike="noStrike">
              <a:solidFill>
                <a:schemeClr val="accent6">
                  <a:lumMod val="75000"/>
                </a:schemeClr>
              </a:solidFill>
              <a:latin typeface="Calibri"/>
              <a:ea typeface="Calibri"/>
              <a:cs typeface="Calibri"/>
            </a:rPr>
            <a:pPr algn="ctr"/>
            <a:t>Hoteles: 
8.202 viajeros 
cuota: 100,0%</a:t>
          </a:fld>
          <a:endParaRPr lang="es-ES" sz="140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0.77039</cdr:x>
      <cdr:y>0.19841</cdr:y>
    </cdr:from>
    <cdr:to>
      <cdr:x>0.98376</cdr:x>
      <cdr:y>0.34296</cdr:y>
    </cdr:to>
    <cdr:sp macro="" textlink="'distribución canarios x cate'!$AA$20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21E849B-B2E6-1154-D44C-15561EF878B3}"/>
            </a:ext>
          </a:extLst>
        </cdr:cNvPr>
        <cdr:cNvSpPr txBox="1"/>
      </cdr:nvSpPr>
      <cdr:spPr>
        <a:xfrm xmlns:a="http://schemas.openxmlformats.org/drawingml/2006/main">
          <a:off x="6528359" y="1005667"/>
          <a:ext cx="1808114" cy="732662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4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B227F2D-33F7-4897-8363-626781F97EAE}" type="TxLink">
            <a:rPr lang="en-US" sz="1400" b="0" i="0" u="none" strike="noStrike">
              <a:solidFill>
                <a:schemeClr val="accent4"/>
              </a:solidFill>
              <a:latin typeface="Calibri"/>
              <a:ea typeface="+mn-ea"/>
              <a:cs typeface="Calibri"/>
            </a:rPr>
            <a:pPr marL="0" indent="0" algn="ctr"/>
            <a:t>#¡VALOR!</a:t>
          </a:fld>
          <a:endParaRPr lang="es-ES" sz="1400" b="0" i="0" u="none" strike="noStrike">
            <a:solidFill>
              <a:schemeClr val="accent4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7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818515</xdr:colOff>
      <xdr:row>21</xdr:row>
      <xdr:rowOff>73025</xdr:rowOff>
    </xdr:from>
    <xdr:to>
      <xdr:col>21</xdr:col>
      <xdr:colOff>59056</xdr:colOff>
      <xdr:row>125</xdr:row>
      <xdr:rowOff>15240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7D6009BC-6B75-4888-8374-60195E88F0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8075F105-BF4E-4882-84B8-4D195A91BD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5030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19</xdr:row>
      <xdr:rowOff>95250</xdr:rowOff>
    </xdr:from>
    <xdr:ext cx="9191626" cy="4545000"/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1677E9E0-9681-4DFC-AC62-C398423934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BE2BAD41-363D-405F-B46D-4B058828EB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20</xdr:row>
      <xdr:rowOff>142873</xdr:rowOff>
    </xdr:from>
    <xdr:to>
      <xdr:col>12</xdr:col>
      <xdr:colOff>76200</xdr:colOff>
      <xdr:row>127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6597DCD8-97F6-4254-B8F6-CAB33B5D50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españoles x mun al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españoles entrados en hoteles y apartamentos de Tenerife por municipio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70:$O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canarios entrados en los establecimientos alojativos de San Cristóbal de La Laguna 
(hotel + apartamento)</a:t>
          </a:fld>
          <a:endParaRPr lang="es-ES" sz="1100"/>
        </a:p>
      </cdr:txBody>
    </cdr: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1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818515</xdr:colOff>
      <xdr:row>21</xdr:row>
      <xdr:rowOff>73025</xdr:rowOff>
    </xdr:from>
    <xdr:to>
      <xdr:col>21</xdr:col>
      <xdr:colOff>59056</xdr:colOff>
      <xdr:row>125</xdr:row>
      <xdr:rowOff>15240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6E4D59B1-ACEB-4037-B1C5-FAEC48EB08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5C0FB8B4-F084-42A8-B978-AADBC6E7C6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5030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19</xdr:row>
      <xdr:rowOff>95250</xdr:rowOff>
    </xdr:from>
    <xdr:ext cx="9191626" cy="4545000"/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94F03F87-290B-4933-A5A8-49D6E24A27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ACA20EA6-9A4A-4506-B5BC-F4247EC30B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20</xdr:row>
      <xdr:rowOff>142873</xdr:rowOff>
    </xdr:from>
    <xdr:to>
      <xdr:col>12</xdr:col>
      <xdr:colOff>76200</xdr:colOff>
      <xdr:row>127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8FF0C352-D79D-4E57-839C-335FAE3038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peninsula x munici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peninsulares entrados en hoteles y apartamentos de Tenerife por municipio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</c:userShapes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5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818515</xdr:colOff>
      <xdr:row>21</xdr:row>
      <xdr:rowOff>73025</xdr:rowOff>
    </xdr:from>
    <xdr:to>
      <xdr:col>21</xdr:col>
      <xdr:colOff>59056</xdr:colOff>
      <xdr:row>125</xdr:row>
      <xdr:rowOff>15240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E98BC5D5-6DC4-45A4-BD9E-569FC755AF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DDA95368-44E7-47F6-9EC4-C37256007E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5030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19</xdr:row>
      <xdr:rowOff>95250</xdr:rowOff>
    </xdr:from>
    <xdr:ext cx="9191626" cy="4545000"/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ABC37896-CD31-4773-99D3-8504B255D8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55A8FE16-A2F5-4D8B-8CBF-31EA17B78C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20</xdr:row>
      <xdr:rowOff>142873</xdr:rowOff>
    </xdr:from>
    <xdr:to>
      <xdr:col>12</xdr:col>
      <xdr:colOff>76200</xdr:colOff>
      <xdr:row>127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D45FAA76-A2A3-47A1-AE0F-F7023B5CCF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canarias x munici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canarios entrados en hoteles y apartamentos de Tenerife por municipio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</c:userShapes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457199</xdr:colOff>
      <xdr:row>2</xdr:row>
      <xdr:rowOff>114299</xdr:rowOff>
    </xdr:from>
    <xdr:to>
      <xdr:col>15</xdr:col>
      <xdr:colOff>355199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BA014DB8-AE50-402E-83CA-66E027D026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C6548BB-3BCD-4BC1-A1BF-19A0D17200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E375C498-13D8-44E5-AA64-825AE17BD4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92:$O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extranjeros entrados en los establecimientos alojativos de San Cristóbal de La Laguna 
(hotel + apartamento)</a:t>
          </a:fld>
          <a:endParaRPr lang="es-ES" sz="1100"/>
        </a:p>
      </cdr:txBody>
    </cdr:sp>
  </cdr:relSizeAnchor>
</c:userShapes>
</file>

<file path=xl/drawings/drawing13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volución anual viaj ent españo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españoles entrados en los establecimientos alojativos de San Cristóbal de La Laguna
(hotel + apartamento)</a:t>
          </a:fld>
          <a:endParaRPr lang="es-ES" sz="1100"/>
        </a:p>
      </cdr:txBody>
    </cdr:sp>
  </cdr:relSizeAnchor>
</c:userShapes>
</file>

<file path=xl/drawings/drawing13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457199</xdr:colOff>
      <xdr:row>2</xdr:row>
      <xdr:rowOff>114299</xdr:rowOff>
    </xdr:from>
    <xdr:to>
      <xdr:col>15</xdr:col>
      <xdr:colOff>355199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3EBCB0B1-BF7A-4BED-9428-ED4EAB4FBB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A2A5BD8-7F7B-43B4-B66B-7644CEE648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57DF24CB-749A-4D0B-B82F-C8CA012BC0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volución anual viaj ent penins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peninsulares entrados en los establecimientos alojativos de San Cristóbal de La Laguna
(hotel + apartamento)</a:t>
          </a:fld>
          <a:endParaRPr lang="es-ES" sz="1100"/>
        </a:p>
      </cdr:txBody>
    </cdr:sp>
  </cdr:relSizeAnchor>
</c:userShapes>
</file>

<file path=xl/drawings/drawing13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457199</xdr:colOff>
      <xdr:row>2</xdr:row>
      <xdr:rowOff>114299</xdr:rowOff>
    </xdr:from>
    <xdr:to>
      <xdr:col>15</xdr:col>
      <xdr:colOff>355199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31D669EC-9378-4C46-9C03-1E32EC0A5F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8AA2CC0F-26DE-4B6A-B03C-BFDAF50F44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58FBDA85-BB04-42C6-AC38-D4448037C6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3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volución anual viaj ent canari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canarios entrados en los establecimientos alojativos de San Cristóbal de La Laguna
(hotel + apartamento)</a:t>
          </a:fld>
          <a:endParaRPr lang="es-ES" sz="1100"/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114:$O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británicos entrados en los establecimientos alojativos de San Cristóbal de La Laguna 
(hotel + apartamento)</a:t>
          </a:fld>
          <a:endParaRPr lang="es-ES" sz="1100"/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0.00108</cdr:x>
      <cdr:y>0.96197</cdr:y>
    </cdr:from>
    <cdr:to>
      <cdr:x>0.51654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9525" y="4315662"/>
          <a:ext cx="4565049" cy="1706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0.9957</cdr:x>
      <cdr:y>0.12237</cdr:y>
    </cdr:to>
    <cdr:sp macro="" textlink="'Viajeros entr evol mensu TF'!$B$136:$O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9479"/>
          <a:ext cx="8829676" cy="5901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alemanes entrados en los establecimientos alojativos de San Cristóbal de La Laguna 
(hotel + apartamento)</a:t>
          </a:fld>
          <a:endParaRPr lang="es-ES" sz="1100"/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158:$O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franceses entrados en los establecimientos alojativos de San Cristóbal de La Laguna 
(hotel + apartamento)</a:t>
          </a:fld>
          <a:endParaRPr lang="es-ES" sz="1100"/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180:$O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belgas entrados en los establecimientos alojativos de San Cristóbal de La Laguna 
(hotel + apartamento)</a:t>
          </a:fld>
          <a:endParaRPr lang="es-ES" sz="1100"/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02:$O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holandeses entrados en los establecimientos alojativos de San Cristóbal de La Laguna 
(hotel + apartamento)</a:t>
          </a:fld>
          <a:endParaRPr lang="es-ES" sz="1100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24:$O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F6DB970-8AF5-4ACF-8E05-A57BF76B1B5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belgas entrados en los establecimientos alojativos de San Cristóbal de La Laguna 
(hotel + apartamento)</a:t>
          </a:fld>
          <a:endParaRPr lang="es-ES" sz="1100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361950</xdr:colOff>
      <xdr:row>2</xdr:row>
      <xdr:rowOff>133631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5A3B6EAC-5CCB-469D-98B1-D026F93C1C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1</xdr:col>
      <xdr:colOff>0</xdr:colOff>
      <xdr:row>5</xdr:row>
      <xdr:rowOff>284480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44FE640-3F03-4E87-A7C4-FFB28BA904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71500"/>
          <a:ext cx="762000" cy="6559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46:$O$24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2BDA80-C0F4-4A01-9A5D-806E76A2736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daneses entrados en los establecimientos alojativos de San Cristóbal de La Laguna 
(hotel + apartamento)</a:t>
          </a:fld>
          <a:endParaRPr lang="es-ES" sz="1100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68:$O$26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EDF55F-EC40-4CCB-8271-796B623DE44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suecos entrados en los establecimientos alojativos de San Cristóbal de La Laguna 
(hotel + apartamento)</a:t>
          </a:fld>
          <a:endParaRPr lang="es-ES" sz="1100"/>
        </a:p>
      </cdr:txBody>
    </cdr:sp>
  </cdr:relSizeAnchor>
</c:userShapes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4</xdr:row>
      <xdr:rowOff>95250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1458DE5-798B-4E51-9CB2-87E29EE996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A418B9CD-A242-4DA1-8182-D88102920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428624</xdr:colOff>
      <xdr:row>2</xdr:row>
      <xdr:rowOff>114299</xdr:rowOff>
    </xdr:from>
    <xdr:to>
      <xdr:col>26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9E8334A8-39E8-4C80-8A65-B11D69113E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D225E62-A0B0-46DA-A85F-E7140F2168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104775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777F68E-7158-4F81-8830-3ABE5A7763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>
    <xdr:from>
      <xdr:col>15</xdr:col>
      <xdr:colOff>323850</xdr:colOff>
      <xdr:row>25</xdr:row>
      <xdr:rowOff>76200</xdr:rowOff>
    </xdr:from>
    <xdr:to>
      <xdr:col>26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80A54629-92BB-4AF4-A144-2BA624E364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15</xdr:col>
      <xdr:colOff>676275</xdr:colOff>
      <xdr:row>46</xdr:row>
      <xdr:rowOff>142875</xdr:rowOff>
    </xdr:from>
    <xdr:to>
      <xdr:col>26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88FEDE2E-AD8A-40B2-9418-C77997B47C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0</xdr:colOff>
      <xdr:row>69</xdr:row>
      <xdr:rowOff>0</xdr:rowOff>
    </xdr:from>
    <xdr:to>
      <xdr:col>26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99E13DF2-655A-42D5-ABA8-FB6404CF8E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38100</xdr:colOff>
      <xdr:row>91</xdr:row>
      <xdr:rowOff>0</xdr:rowOff>
    </xdr:from>
    <xdr:to>
      <xdr:col>26</xdr:col>
      <xdr:colOff>698100</xdr:colOff>
      <xdr:row>111</xdr:row>
      <xdr:rowOff>85726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B172EAC4-2C2C-4F49-A2F3-ABE564C198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4:$O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establecimientos alojativos de San Cristóbal de La Laguna 
(hotel + apartamento)</a:t>
          </a:fld>
          <a:endParaRPr lang="es-ES" sz="1100"/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26:$O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hoteles de San Cristóbal de La Laguna</a:t>
          </a:fld>
          <a:endParaRPr lang="es-ES" sz="1100"/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48:$O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hoteles de 4, 5 estrellas San Cristóbal de La Laguna</a:t>
          </a:fld>
          <a:endParaRPr lang="es-ES" sz="1100"/>
        </a:p>
      </cdr:txBody>
    </cdr:sp>
  </cdr:relSizeAnchor>
  <cdr:relSizeAnchor xmlns:cdr="http://schemas.openxmlformats.org/drawingml/2006/chartDrawing">
    <cdr:from>
      <cdr:x>0.01304</cdr:x>
      <cdr:y>0.91106</cdr:y>
    </cdr:from>
    <cdr:to>
      <cdr:x>0.5285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3D3C7B1-03F3-939E-B177-216861D69B8A}"/>
            </a:ext>
          </a:extLst>
        </cdr:cNvPr>
        <cdr:cNvSpPr txBox="1"/>
      </cdr:nvSpPr>
      <cdr:spPr>
        <a:xfrm xmlns:a="http://schemas.openxmlformats.org/drawingml/2006/main">
          <a:off x="107950" y="4000501"/>
          <a:ext cx="4268009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2020 no se publicó la desagregación por categorías en las Islas</a:t>
          </a:r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70:$O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hoteles de 1, 2, 3 estrellas San Cristóbal de La Laguna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0.91106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1E746101-EB15-832B-6A67-4574788CA446}"/>
            </a:ext>
          </a:extLst>
        </cdr:cNvPr>
        <cdr:cNvSpPr txBox="1"/>
      </cdr:nvSpPr>
      <cdr:spPr>
        <a:xfrm xmlns:a="http://schemas.openxmlformats.org/drawingml/2006/main">
          <a:off x="0" y="4000488"/>
          <a:ext cx="4268009" cy="39053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2020 no se publicó la desagregación por categorías en las Islas</a:t>
          </a: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92:$O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apartamentos de San Cristóbal de La Laguna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1E746101-EB15-832B-6A67-4574788CA446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428624</xdr:colOff>
      <xdr:row>2</xdr:row>
      <xdr:rowOff>114299</xdr:rowOff>
    </xdr:from>
    <xdr:to>
      <xdr:col>15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AA20537A-7DE3-4D20-854A-0412B28685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608373D-D374-4942-9575-43FF8740BD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59D5F673-A161-4295-8EA4-6FC213BB4B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>
    <xdr:from>
      <xdr:col>4</xdr:col>
      <xdr:colOff>323850</xdr:colOff>
      <xdr:row>25</xdr:row>
      <xdr:rowOff>76200</xdr:rowOff>
    </xdr:from>
    <xdr:to>
      <xdr:col>15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854AA8D2-6958-4E3D-9CA2-F537FA274C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</xdr:col>
      <xdr:colOff>676275</xdr:colOff>
      <xdr:row>46</xdr:row>
      <xdr:rowOff>142875</xdr:rowOff>
    </xdr:from>
    <xdr:to>
      <xdr:col>15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23792D47-7843-455D-8D59-F34F393274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358140</xdr:colOff>
      <xdr:row>2</xdr:row>
      <xdr:rowOff>129821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29DBFDA-CF6A-4D51-8715-791A04E02E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2140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57150</xdr:rowOff>
    </xdr:from>
    <xdr:to>
      <xdr:col>1</xdr:col>
      <xdr:colOff>0</xdr:colOff>
      <xdr:row>5</xdr:row>
      <xdr:rowOff>364172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71DEE95-FA29-4DA8-A639-0442C12BBA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8650"/>
          <a:ext cx="762000" cy="6784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establecimientos alojativos de San Cristóbal de La Laguna 
(hotel + apartamento)</a:t>
          </a:fld>
          <a:endParaRPr lang="es-ES" sz="1100"/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26:$D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hoteles de San Cristóbal de La Laguna</a:t>
          </a:fld>
          <a:endParaRPr lang="es-ES" sz="1100"/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48:$D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hoteles de 4, 5 estrellas de San Cristóbal de La Laguna</a:t>
          </a:fld>
          <a:endParaRPr lang="es-ES" sz="1100"/>
        </a:p>
      </cdr:txBody>
    </cdr:sp>
  </cdr:relSizeAnchor>
</c:userShapes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0</xdr:col>
      <xdr:colOff>762000</xdr:colOff>
      <xdr:row>2</xdr:row>
      <xdr:rowOff>361950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2FC87A4-C5B5-487E-AD37-AE4B87AF97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29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847725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57FADD99-7830-4291-8F0D-E988470CA5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5715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D51A234-2227-4209-9F0F-EAB9A07D38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5AF590DB-B0C3-4B50-9EC4-7D0CCF400B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27</xdr:col>
      <xdr:colOff>396875</xdr:colOff>
      <xdr:row>2</xdr:row>
      <xdr:rowOff>95250</xdr:rowOff>
    </xdr:from>
    <xdr:to>
      <xdr:col>40</xdr:col>
      <xdr:colOff>590550</xdr:colOff>
      <xdr:row>26</xdr:row>
      <xdr:rowOff>133350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D5972E7F-BD2A-4A2A-95B0-F893B268D8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0.94907</cdr:x>
      <cdr:y>0.0919</cdr:y>
    </cdr:to>
    <cdr:sp macro="" textlink="'viaj entrados lugar resid años '!$P$3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50902" y="53158"/>
          <a:ext cx="9534423" cy="4589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893662F-1A51-4D1E-BD6E-6B892393596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establecimientos alojativos de San Cristóbal de La Laguna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0</xdr:rowOff>
    </xdr:from>
    <xdr:to>
      <xdr:col>0</xdr:col>
      <xdr:colOff>762000</xdr:colOff>
      <xdr:row>5</xdr:row>
      <xdr:rowOff>438150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961F4EE-DDD5-435B-BE09-D1995EDDE2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620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9525</xdr:colOff>
      <xdr:row>5</xdr:row>
      <xdr:rowOff>266700</xdr:rowOff>
    </xdr:from>
    <xdr:to>
      <xdr:col>34</xdr:col>
      <xdr:colOff>443865</xdr:colOff>
      <xdr:row>29</xdr:row>
      <xdr:rowOff>53340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B0B96C73-BDC4-4BF0-AD0D-4DF3BAED69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4C61D530-8877-4D54-A2B8-CDB9D28B8D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cia'!$N$6:$V$6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C3DB2B80-87E1-4CB0-A35C-C17E854F3095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establecimientos alojativos de San Cristóbal de La Laguna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CC9FFFA-16B3-49E9-B3A3-783667D38F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E5E4679-8B25-47E5-9A86-D7B4523095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27</xdr:col>
      <xdr:colOff>561975</xdr:colOff>
      <xdr:row>3</xdr:row>
      <xdr:rowOff>257175</xdr:rowOff>
    </xdr:from>
    <xdr:to>
      <xdr:col>40</xdr:col>
      <xdr:colOff>234315</xdr:colOff>
      <xdr:row>27</xdr:row>
      <xdr:rowOff>43815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036710F5-2E3C-4E1E-8DB8-52C7D7EA13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 acu'!$P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80BF2DB-21EF-4E40-A211-5A420E4ABD3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establecimientos alojativos de San Cristóbal de La Laguna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638175</xdr:colOff>
      <xdr:row>1</xdr:row>
      <xdr:rowOff>180975</xdr:rowOff>
    </xdr:from>
    <xdr:to>
      <xdr:col>11</xdr:col>
      <xdr:colOff>28575</xdr:colOff>
      <xdr:row>24</xdr:row>
      <xdr:rowOff>171450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17AE8A7D-54D1-4F61-A4D8-65AE80899363}"/>
            </a:ext>
          </a:extLst>
        </xdr:cNvPr>
        <xdr:cNvGrpSpPr/>
      </xdr:nvGrpSpPr>
      <xdr:grpSpPr>
        <a:xfrm>
          <a:off x="638175" y="37147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55901E32-B36E-D3B7-4036-4EAA355BAEE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70B30317-170E-56BF-7AFF-DF16FD8EDADC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marL="0" indent="0" algn="ctr" rtl="0">
              <a:defRPr sz="1000"/>
            </a:pPr>
            <a:r>
              <a:rPr lang="es-ES" sz="48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Estimación oferta hoteles y apartamentos en funcionamiento</a:t>
            </a:r>
          </a:p>
        </xdr:txBody>
      </xdr:sp>
    </xdr:grp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321A687-544F-42BA-94F0-93C8054CAA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D9FF62F8-D51C-41AA-972E-11AF6F801B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27</xdr:col>
      <xdr:colOff>561975</xdr:colOff>
      <xdr:row>3</xdr:row>
      <xdr:rowOff>257175</xdr:rowOff>
    </xdr:from>
    <xdr:to>
      <xdr:col>40</xdr:col>
      <xdr:colOff>234315</xdr:colOff>
      <xdr:row>27</xdr:row>
      <xdr:rowOff>43815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A48EE1EE-3480-487F-866C-5B6F915FA7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 hot'!$P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80BF2DB-21EF-4E40-A211-5A420E4ABD3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hoteles de San Cristóbal de La Laguna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51B25EF-95E1-4BE3-AC75-A3A2080406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BCDD512D-3F88-4109-B6FA-FE1D422B4A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9525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07B2E94-CAA1-401C-8D89-7F0DD2EEB6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858520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9E46423F-AE88-49FB-B3AE-1E5AFD11E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6745" cy="514631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AB1DB3A-7EA6-4597-A982-E3AEEF0516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2155149F-039C-4897-89A5-4D2302839F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695325</xdr:colOff>
      <xdr:row>2</xdr:row>
      <xdr:rowOff>28575</xdr:rowOff>
    </xdr:from>
    <xdr:to>
      <xdr:col>11</xdr:col>
      <xdr:colOff>85725</xdr:colOff>
      <xdr:row>25</xdr:row>
      <xdr:rowOff>19050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108F0BD1-092A-4952-B8A1-C2CE04C6BC94}"/>
            </a:ext>
          </a:extLst>
        </xdr:cNvPr>
        <xdr:cNvGrpSpPr/>
      </xdr:nvGrpSpPr>
      <xdr:grpSpPr>
        <a:xfrm>
          <a:off x="695325" y="40957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9689512D-EDBD-6658-D7DF-7F2A29BC922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81A18B9B-0DDB-712B-8F9D-AFC64084610B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765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Viajeros alojados en hoteles y apartamentos</a:t>
            </a:r>
          </a:p>
        </xdr:txBody>
      </xdr:sp>
    </xdr:grp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438150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E359E80-3569-461E-BFE2-AC5F04AFF0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853440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D941371A-892B-488C-A268-E0BB400282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1665" cy="514631"/>
        </a:xfrm>
        <a:prstGeom prst="rect">
          <a:avLst/>
        </a:prstGeom>
      </xdr:spPr>
    </xdr:pic>
    <xdr:clientData/>
  </xdr:twoCellAnchor>
  <xdr:twoCellAnchor editAs="oneCell">
    <xdr:from>
      <xdr:col>20</xdr:col>
      <xdr:colOff>695325</xdr:colOff>
      <xdr:row>2</xdr:row>
      <xdr:rowOff>38100</xdr:rowOff>
    </xdr:from>
    <xdr:to>
      <xdr:col>33</xdr:col>
      <xdr:colOff>367665</xdr:colOff>
      <xdr:row>25</xdr:row>
      <xdr:rowOff>15240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394722A7-BAF4-4B9A-A5A1-D6E2206A59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aloj lugar residen mes'!$L$5:$T$5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CE42E48-A969-4C58-9403-3DC7E77104E1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alojados en los establecimientos alojativos de San Cristóbal de La Laguna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D3ABA16-85D0-4516-B132-61E74E8865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CA4C5CE6-1F80-4B62-9CE7-49DF71F6D8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28</xdr:col>
      <xdr:colOff>190500</xdr:colOff>
      <xdr:row>1</xdr:row>
      <xdr:rowOff>28575</xdr:rowOff>
    </xdr:from>
    <xdr:to>
      <xdr:col>40</xdr:col>
      <xdr:colOff>624840</xdr:colOff>
      <xdr:row>24</xdr:row>
      <xdr:rowOff>5715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EFD51943-0A1D-4A97-9AF7-CA3DB700D0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alojados lugar residen acu'!$Q$4:$AB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187FA05-E7EC-492D-8F75-A46E8AF659B7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alojados en los establecimientos alojativos de San Cristóbal de La Laguna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190500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1FB2459-0506-4015-8852-EDEF8E1E9A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2590C401-0D8B-4238-A866-7935DE7476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BAB4DA24-7D9E-4ED0-A979-8F94481AF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2</xdr:row>
      <xdr:rowOff>57150</xdr:rowOff>
    </xdr:from>
    <xdr:to>
      <xdr:col>11</xdr:col>
      <xdr:colOff>190500</xdr:colOff>
      <xdr:row>25</xdr:row>
      <xdr:rowOff>47625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8741F6C4-116D-457A-A8A1-CED955A4C8B5}"/>
            </a:ext>
          </a:extLst>
        </xdr:cNvPr>
        <xdr:cNvGrpSpPr/>
      </xdr:nvGrpSpPr>
      <xdr:grpSpPr>
        <a:xfrm>
          <a:off x="800100" y="43815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33D4D658-F0DE-98A3-6D99-A1325A10DE4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0459AE8B-5FD9-B435-F3AF-EDE74B9F0CB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765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Pernoctaciones en hoteles y apartamentos</a:t>
            </a:r>
          </a:p>
        </xdr:txBody>
      </xdr:sp>
    </xdr:grp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428624</xdr:colOff>
      <xdr:row>2</xdr:row>
      <xdr:rowOff>114299</xdr:rowOff>
    </xdr:from>
    <xdr:to>
      <xdr:col>26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573E6666-5DCA-42E4-8323-B6AD1CA1DF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849630</xdr:colOff>
      <xdr:row>4</xdr:row>
      <xdr:rowOff>91440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756456BD-8564-403F-8AC1-026B3512DC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3905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102870</xdr:colOff>
      <xdr:row>2</xdr:row>
      <xdr:rowOff>129821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578DF546-AAE3-4012-856D-1C584EA54B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4045" cy="510821"/>
        </a:xfrm>
        <a:prstGeom prst="rect">
          <a:avLst/>
        </a:prstGeom>
      </xdr:spPr>
    </xdr:pic>
    <xdr:clientData/>
  </xdr:twoCellAnchor>
  <xdr:twoCellAnchor>
    <xdr:from>
      <xdr:col>15</xdr:col>
      <xdr:colOff>323850</xdr:colOff>
      <xdr:row>25</xdr:row>
      <xdr:rowOff>76200</xdr:rowOff>
    </xdr:from>
    <xdr:to>
      <xdr:col>26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C29334F6-7EFE-4BE8-B712-BF68DB9559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15</xdr:col>
      <xdr:colOff>676275</xdr:colOff>
      <xdr:row>46</xdr:row>
      <xdr:rowOff>142875</xdr:rowOff>
    </xdr:from>
    <xdr:to>
      <xdr:col>26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A1498F81-BEB6-495B-96B2-1E260E6BAE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0</xdr:colOff>
      <xdr:row>69</xdr:row>
      <xdr:rowOff>0</xdr:rowOff>
    </xdr:from>
    <xdr:to>
      <xdr:col>26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57F67B2F-FFEB-4031-A347-03910E0A9E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57150</xdr:colOff>
      <xdr:row>90</xdr:row>
      <xdr:rowOff>76200</xdr:rowOff>
    </xdr:from>
    <xdr:to>
      <xdr:col>26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3954B64C-40F6-4DB5-BA69-4136B665E3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16</xdr:col>
      <xdr:colOff>76200</xdr:colOff>
      <xdr:row>112</xdr:row>
      <xdr:rowOff>180975</xdr:rowOff>
    </xdr:from>
    <xdr:to>
      <xdr:col>26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82BA2EE9-0B66-49ED-A542-458A0CA18D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16</xdr:col>
      <xdr:colOff>38100</xdr:colOff>
      <xdr:row>135</xdr:row>
      <xdr:rowOff>0</xdr:rowOff>
    </xdr:from>
    <xdr:to>
      <xdr:col>26</xdr:col>
      <xdr:colOff>698100</xdr:colOff>
      <xdr:row>155</xdr:row>
      <xdr:rowOff>104776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41331E1D-5B36-4C59-8337-8C3D671A4B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16</xdr:col>
      <xdr:colOff>38100</xdr:colOff>
      <xdr:row>156</xdr:row>
      <xdr:rowOff>171450</xdr:rowOff>
    </xdr:from>
    <xdr:to>
      <xdr:col>26</xdr:col>
      <xdr:colOff>698100</xdr:colOff>
      <xdr:row>177</xdr:row>
      <xdr:rowOff>85726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CE5A923B-E66B-4702-9BDA-2EB02FAE0A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15</xdr:col>
      <xdr:colOff>752475</xdr:colOff>
      <xdr:row>179</xdr:row>
      <xdr:rowOff>104775</xdr:rowOff>
    </xdr:from>
    <xdr:to>
      <xdr:col>26</xdr:col>
      <xdr:colOff>650475</xdr:colOff>
      <xdr:row>200</xdr:row>
      <xdr:rowOff>19051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BB358233-D413-44D8-86E1-2175F76EE2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15</xdr:col>
      <xdr:colOff>609600</xdr:colOff>
      <xdr:row>201</xdr:row>
      <xdr:rowOff>0</xdr:rowOff>
    </xdr:from>
    <xdr:to>
      <xdr:col>26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712A9E25-66A5-4058-8A83-C593974B4F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16</xdr:col>
      <xdr:colOff>19050</xdr:colOff>
      <xdr:row>223</xdr:row>
      <xdr:rowOff>0</xdr:rowOff>
    </xdr:from>
    <xdr:to>
      <xdr:col>26</xdr:col>
      <xdr:colOff>679050</xdr:colOff>
      <xdr:row>243</xdr:row>
      <xdr:rowOff>66676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6DAA9BAB-8E81-4494-8983-9902C74888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16</xdr:col>
      <xdr:colOff>0</xdr:colOff>
      <xdr:row>249</xdr:row>
      <xdr:rowOff>0</xdr:rowOff>
    </xdr:from>
    <xdr:to>
      <xdr:col>26</xdr:col>
      <xdr:colOff>660000</xdr:colOff>
      <xdr:row>269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744E2055-5B42-4D4D-AB3C-AF24CF4F6C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</xdr:wsDr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4:$O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establecimientos alojativos de San Cristóbal de La Laguna (hotel + apartamento)</a:t>
          </a:fld>
          <a:endParaRPr lang="es-ES" sz="1100"/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6:$O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españoles en los establecimientos alojativos de San Cristóbal de La Laguna (hotel + apartamento)</a:t>
          </a:fld>
          <a:endParaRPr lang="es-ES" sz="1100"/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48:$O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Península en los establecimientos alojativos de San Cristóbal de La Laguna (hotel + apartamento)</a:t>
          </a:fld>
          <a:endParaRPr lang="es-ES" sz="1100"/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70:$O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Canarias en los establecimientos alojativos de San Cristóbal de La Laguna (hotel + apartamento)</a:t>
          </a:fld>
          <a:endParaRPr lang="es-ES" sz="1100"/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92:$O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Total residentes en el extranjero en los establecimientos alojativos de San Cristóbal de La Laguna (hotel + apartamento)</a:t>
          </a:fld>
          <a:endParaRPr lang="es-ES" sz="1100"/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14:$O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Reino Unido en los establecimientos alojativos de San Cristóbal de La Laguna (hotel + apartamento)</a:t>
          </a:fld>
          <a:endParaRPr lang="es-ES" sz="1100"/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36:$O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Alemania en los establecimientos alojativos de San Cristóbal de La Laguna (hotel + apartamento)</a:t>
          </a:fld>
          <a:endParaRPr lang="es-ES" sz="1100"/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58:$O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Francia en los establecimientos alojativos de San Cristóbal de La Laguna (hotel + apartamento)</a:t>
          </a:fld>
          <a:endParaRPr lang="es-ES" sz="1100"/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190500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EE6EB8F-15B9-4E70-90F5-484F90E26B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AB3B712-CA6C-4E2E-864F-087AD16697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3E261414-230C-4631-AB7B-804751AA50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80:$O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Bélgica en los establecimientos alojativos de San Cristóbal de La Laguna (hotel + apartamento)</a:t>
          </a:fld>
          <a:endParaRPr lang="es-ES" sz="1100"/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02:$O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Países Bajos en los establecimientos alojativos de San Cristóbal de La Laguna (hotel + apartamento)</a:t>
          </a:fld>
          <a:endParaRPr lang="es-ES" sz="1100"/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24:$O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99087FA-C4E9-4D1C-A811-CCBF4BDBA11C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Dinamarca en los establecimientos alojativos de San Cristóbal de La Laguna (hotel + apartamento)</a:t>
          </a:fld>
          <a:endParaRPr lang="es-ES" sz="1100"/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50:$O$25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2BE389B-CCFC-40C6-BAAE-B88837C1348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Suecia en los establecimientos alojativos de San Cristóbal de La Laguna (hotel + apartamento)</a:t>
          </a:fld>
          <a:endParaRPr lang="es-ES" sz="1100"/>
        </a:p>
      </cdr:txBody>
    </cdr:sp>
  </cdr:relSizeAnchor>
</c:userShapes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428624</xdr:colOff>
      <xdr:row>2</xdr:row>
      <xdr:rowOff>114299</xdr:rowOff>
    </xdr:from>
    <xdr:to>
      <xdr:col>26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DC03C20C-7CB4-4219-A5BC-C717C17322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853440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E0606CF-2DD5-4461-9FBB-C0D766D695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7715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93345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7E703A0E-BA6D-45E9-B79D-9BFD477C58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4520" cy="514631"/>
        </a:xfrm>
        <a:prstGeom prst="rect">
          <a:avLst/>
        </a:prstGeom>
      </xdr:spPr>
    </xdr:pic>
    <xdr:clientData/>
  </xdr:twoCellAnchor>
  <xdr:twoCellAnchor>
    <xdr:from>
      <xdr:col>15</xdr:col>
      <xdr:colOff>323850</xdr:colOff>
      <xdr:row>25</xdr:row>
      <xdr:rowOff>76200</xdr:rowOff>
    </xdr:from>
    <xdr:to>
      <xdr:col>26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4F934DE7-444A-43D4-B4C7-2A4ED2990A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15</xdr:col>
      <xdr:colOff>676275</xdr:colOff>
      <xdr:row>46</xdr:row>
      <xdr:rowOff>142875</xdr:rowOff>
    </xdr:from>
    <xdr:to>
      <xdr:col>26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391D2F34-D29A-44A9-BC76-54623C8A63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0</xdr:colOff>
      <xdr:row>69</xdr:row>
      <xdr:rowOff>0</xdr:rowOff>
    </xdr:from>
    <xdr:to>
      <xdr:col>26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3D902931-D401-4EA6-AB76-1476EBB96B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38100</xdr:colOff>
      <xdr:row>91</xdr:row>
      <xdr:rowOff>0</xdr:rowOff>
    </xdr:from>
    <xdr:to>
      <xdr:col>26</xdr:col>
      <xdr:colOff>698100</xdr:colOff>
      <xdr:row>111</xdr:row>
      <xdr:rowOff>85726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E5D2915D-B05E-45DE-B041-6D52B7A9A3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4:$O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establecimientos alojativos de San Cristóbal de La Laguna (hotel + apartamento)</a:t>
          </a:fld>
          <a:endParaRPr lang="es-ES" sz="1100"/>
        </a:p>
      </cdr:txBody>
    </cdr: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26:$O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hoteles de San Cristóbal de La Laguna</a:t>
          </a:fld>
          <a:endParaRPr lang="es-ES" sz="1100"/>
        </a:p>
      </cdr:txBody>
    </cdr: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48:$O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hoteles de 4 y 5 estrellas de San Cristóbal de La Laguna</a:t>
          </a:fld>
          <a:endParaRPr lang="es-ES" sz="1100"/>
        </a:p>
      </cdr:txBody>
    </cdr:sp>
  </cdr:relSizeAnchor>
  <cdr:relSizeAnchor xmlns:cdr="http://schemas.openxmlformats.org/drawingml/2006/chartDrawing">
    <cdr:from>
      <cdr:x>0.01304</cdr:x>
      <cdr:y>0.91106</cdr:y>
    </cdr:from>
    <cdr:to>
      <cdr:x>0.5285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3D3C7B1-03F3-939E-B177-216861D69B8A}"/>
            </a:ext>
          </a:extLst>
        </cdr:cNvPr>
        <cdr:cNvSpPr txBox="1"/>
      </cdr:nvSpPr>
      <cdr:spPr>
        <a:xfrm xmlns:a="http://schemas.openxmlformats.org/drawingml/2006/main">
          <a:off x="107950" y="4000501"/>
          <a:ext cx="4268009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2022 no se publicó la desagregación por categorías en las Islas</a:t>
          </a:r>
        </a:p>
      </cdr:txBody>
    </cdr: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70:$O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hoteles de 1, 2, 3 estrellas de San Cristóbal de La Laguna</a:t>
          </a:fld>
          <a:endParaRPr lang="es-ES" sz="1100"/>
        </a:p>
      </cdr:txBody>
    </cdr: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92:$O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apartamentos de San Cristóbal de La Laguna</a:t>
          </a:fld>
          <a:endParaRPr lang="es-ES" sz="1100"/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</xdr:row>
      <xdr:rowOff>161925</xdr:rowOff>
    </xdr:from>
    <xdr:to>
      <xdr:col>11</xdr:col>
      <xdr:colOff>180975</xdr:colOff>
      <xdr:row>24</xdr:row>
      <xdr:rowOff>152400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8D7858BE-1C31-4639-BC2D-74EADD37A430}"/>
            </a:ext>
          </a:extLst>
        </xdr:cNvPr>
        <xdr:cNvGrpSpPr/>
      </xdr:nvGrpSpPr>
      <xdr:grpSpPr>
        <a:xfrm>
          <a:off x="790575" y="35242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1C59B84D-D151-54B8-4251-B6D1EA4E9DC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89C9FF3A-832F-A4F1-0667-63281D46B52B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575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Viajeros entrados en hoteles y apartamentos</a:t>
            </a:r>
          </a:p>
        </xdr:txBody>
      </xdr:sp>
    </xdr:grpSp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0E493D1-1D8B-4ECE-8720-6101182A64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C7FA3D0-6893-4C43-AF27-880C469552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5715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E64836A-092C-492E-9DFD-D7987A6E56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17717B4-CAA2-4E8E-AD10-459DC5392A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859A828-096C-42AD-A3B8-079A2E257A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9B7FC7F5-BAEB-4974-AA20-B85EAD6A61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3</xdr:row>
      <xdr:rowOff>0</xdr:rowOff>
    </xdr:from>
    <xdr:to>
      <xdr:col>11</xdr:col>
      <xdr:colOff>161925</xdr:colOff>
      <xdr:row>25</xdr:row>
      <xdr:rowOff>180975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B8781CF2-DA69-4571-92F8-B93322D9C7A7}"/>
            </a:ext>
          </a:extLst>
        </xdr:cNvPr>
        <xdr:cNvGrpSpPr/>
      </xdr:nvGrpSpPr>
      <xdr:grpSpPr>
        <a:xfrm>
          <a:off x="771525" y="57150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DA61DA82-2024-124F-DA0B-E2CA33A88AA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A94678BB-775B-99A2-FA4D-6DD9236A5575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384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Estancia media en hoteles y apartamentos</a:t>
            </a:r>
          </a:p>
        </xdr:txBody>
      </xdr:sp>
    </xdr:grpSp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428624</xdr:colOff>
      <xdr:row>2</xdr:row>
      <xdr:rowOff>114299</xdr:rowOff>
    </xdr:from>
    <xdr:to>
      <xdr:col>26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CE833250-94A7-43E4-975D-29AAC468AE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857250</xdr:colOff>
      <xdr:row>4</xdr:row>
      <xdr:rowOff>91440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CB909652-021A-4CEC-A0D6-B0A6D0E5A4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71525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97155</xdr:colOff>
      <xdr:row>2</xdr:row>
      <xdr:rowOff>129821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5D2BAFA3-341B-4BDF-AE83-17322B8ACA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8330" cy="510821"/>
        </a:xfrm>
        <a:prstGeom prst="rect">
          <a:avLst/>
        </a:prstGeom>
      </xdr:spPr>
    </xdr:pic>
    <xdr:clientData/>
  </xdr:twoCellAnchor>
  <xdr:twoCellAnchor>
    <xdr:from>
      <xdr:col>15</xdr:col>
      <xdr:colOff>323850</xdr:colOff>
      <xdr:row>25</xdr:row>
      <xdr:rowOff>76200</xdr:rowOff>
    </xdr:from>
    <xdr:to>
      <xdr:col>26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5DF6F7BD-4357-4952-B672-2FA2D2C5C4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15</xdr:col>
      <xdr:colOff>676275</xdr:colOff>
      <xdr:row>46</xdr:row>
      <xdr:rowOff>142875</xdr:rowOff>
    </xdr:from>
    <xdr:to>
      <xdr:col>27</xdr:col>
      <xdr:colOff>9525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6058759F-4021-4DB6-8ABD-8F27EEC645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0</xdr:colOff>
      <xdr:row>69</xdr:row>
      <xdr:rowOff>0</xdr:rowOff>
    </xdr:from>
    <xdr:to>
      <xdr:col>26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D161713F-8165-44D8-9258-520942FAAF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57150</xdr:colOff>
      <xdr:row>90</xdr:row>
      <xdr:rowOff>76200</xdr:rowOff>
    </xdr:from>
    <xdr:to>
      <xdr:col>26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4EBEACB8-D4EB-4F4C-89BA-55DDAE74A9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16</xdr:col>
      <xdr:colOff>76200</xdr:colOff>
      <xdr:row>112</xdr:row>
      <xdr:rowOff>180975</xdr:rowOff>
    </xdr:from>
    <xdr:to>
      <xdr:col>26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E58D058B-7DA7-4A57-9842-88712E5233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16</xdr:col>
      <xdr:colOff>285749</xdr:colOff>
      <xdr:row>134</xdr:row>
      <xdr:rowOff>66676</xdr:rowOff>
    </xdr:from>
    <xdr:to>
      <xdr:col>27</xdr:col>
      <xdr:colOff>28575</xdr:colOff>
      <xdr:row>154</xdr:row>
      <xdr:rowOff>9526</xdr:rowOff>
    </xdr:to>
    <xdr:graphicFrame macro="">
      <xdr:nvGraphicFramePr>
        <xdr:cNvPr id="10" name="Gráfico 40">
          <a:extLst>
            <a:ext uri="{FF2B5EF4-FFF2-40B4-BE49-F238E27FC236}">
              <a16:creationId xmlns:a16="http://schemas.microsoft.com/office/drawing/2014/main" id="{1575937E-F4B8-45F6-A850-8A798BA616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16</xdr:col>
      <xdr:colOff>0</xdr:colOff>
      <xdr:row>157</xdr:row>
      <xdr:rowOff>323850</xdr:rowOff>
    </xdr:from>
    <xdr:to>
      <xdr:col>26</xdr:col>
      <xdr:colOff>664762</xdr:colOff>
      <xdr:row>179</xdr:row>
      <xdr:rowOff>57151</xdr:rowOff>
    </xdr:to>
    <xdr:graphicFrame macro="">
      <xdr:nvGraphicFramePr>
        <xdr:cNvPr id="11" name="Gráfico 41">
          <a:extLst>
            <a:ext uri="{FF2B5EF4-FFF2-40B4-BE49-F238E27FC236}">
              <a16:creationId xmlns:a16="http://schemas.microsoft.com/office/drawing/2014/main" id="{7A8598B9-E85D-4E72-AB33-6BBD128B2E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15</xdr:col>
      <xdr:colOff>752475</xdr:colOff>
      <xdr:row>179</xdr:row>
      <xdr:rowOff>104775</xdr:rowOff>
    </xdr:from>
    <xdr:to>
      <xdr:col>26</xdr:col>
      <xdr:colOff>650475</xdr:colOff>
      <xdr:row>200</xdr:row>
      <xdr:rowOff>19051</xdr:rowOff>
    </xdr:to>
    <xdr:graphicFrame macro="">
      <xdr:nvGraphicFramePr>
        <xdr:cNvPr id="12" name="Gráfico 43">
          <a:extLst>
            <a:ext uri="{FF2B5EF4-FFF2-40B4-BE49-F238E27FC236}">
              <a16:creationId xmlns:a16="http://schemas.microsoft.com/office/drawing/2014/main" id="{EC1FF0B7-23EF-4D48-B3BB-387D3E9551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15</xdr:col>
      <xdr:colOff>609600</xdr:colOff>
      <xdr:row>201</xdr:row>
      <xdr:rowOff>0</xdr:rowOff>
    </xdr:from>
    <xdr:to>
      <xdr:col>26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66AB87A5-0F08-42FC-8A06-06786FD213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16</xdr:col>
      <xdr:colOff>0</xdr:colOff>
      <xdr:row>223</xdr:row>
      <xdr:rowOff>0</xdr:rowOff>
    </xdr:from>
    <xdr:to>
      <xdr:col>26</xdr:col>
      <xdr:colOff>660000</xdr:colOff>
      <xdr:row>243</xdr:row>
      <xdr:rowOff>104776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7B5071BC-3BAB-4703-B966-FDABAC7AD5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16</xdr:col>
      <xdr:colOff>0</xdr:colOff>
      <xdr:row>245</xdr:row>
      <xdr:rowOff>0</xdr:rowOff>
    </xdr:from>
    <xdr:to>
      <xdr:col>26</xdr:col>
      <xdr:colOff>660000</xdr:colOff>
      <xdr:row>265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AC12057A-A716-4885-B793-A3AFBECE33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16</xdr:col>
      <xdr:colOff>0</xdr:colOff>
      <xdr:row>267</xdr:row>
      <xdr:rowOff>0</xdr:rowOff>
    </xdr:from>
    <xdr:to>
      <xdr:col>26</xdr:col>
      <xdr:colOff>660000</xdr:colOff>
      <xdr:row>287</xdr:row>
      <xdr:rowOff>104776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A89EFBF5-4663-4085-967A-858D23E882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</xdr:wsDr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0.00373</cdr:x>
      <cdr:y>0.00391</cdr:y>
    </cdr:from>
    <cdr:to>
      <cdr:x>0.97796</cdr:x>
      <cdr:y>0.1721</cdr:y>
    </cdr:to>
    <cdr:sp macro="" textlink="'EM evol menusual lugar resd'!$B$4:$O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32657" y="16690"/>
          <a:ext cx="8533252" cy="71793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establecimientos alojativos de San Cristóbal de La Laguna
(hotel + apartamento)</a:t>
          </a:fld>
          <a:endParaRPr lang="es-ES" sz="1100"/>
        </a:p>
      </cdr:txBody>
    </cdr: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0.99276</cdr:x>
      <cdr:y>0.1721</cdr:y>
    </cdr:to>
    <cdr:sp macro="" textlink="'EM evol menusual lugar resd'!$B$26:$O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2007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españoles entrados en los establecimientos alojativos de San Cristóbal de La Laguna (hotel + apartamento)</a:t>
          </a:fld>
          <a:endParaRPr lang="es-ES" sz="1100"/>
        </a:p>
      </cdr:txBody>
    </cdr: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0.99736</cdr:x>
      <cdr:y>0.1721</cdr:y>
    </cdr:to>
    <cdr:sp macro="" textlink="'EM evol menusual lugar resd'!$B$48:$O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5817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peninsulares entrados en los establecimientos alojativos de San Cristóbal de La Laguna (hotel + apartamento)</a:t>
          </a:fld>
          <a:endParaRPr lang="es-ES" sz="1100"/>
        </a:p>
      </cdr:txBody>
    </cdr: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70:$O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canarios entrados en los establecimientos alojativos de San Cristóbal de La Laguna (hotel + apartamento)</a:t>
          </a:fld>
          <a:endParaRPr lang="es-ES" sz="1100"/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0.99046</cdr:x>
      <cdr:y>0.1721</cdr:y>
    </cdr:to>
    <cdr:sp macro="" textlink="'EM evol menusual lugar resd'!$B$92:$O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0102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extranjeros entrados en los establecimientos alojativos de San Cristóbal de La Laguna (hotel + apartamento)</a:t>
          </a:fld>
          <a:endParaRPr lang="es-ES" sz="1100"/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428624</xdr:colOff>
      <xdr:row>2</xdr:row>
      <xdr:rowOff>114299</xdr:rowOff>
    </xdr:from>
    <xdr:to>
      <xdr:col>26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4A0DE972-255F-43BA-9E73-FE859888C4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857250</xdr:colOff>
      <xdr:row>4</xdr:row>
      <xdr:rowOff>91440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83CF4284-8999-4F91-87C7-3D9C7B29D8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71525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97155</xdr:colOff>
      <xdr:row>2</xdr:row>
      <xdr:rowOff>129821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A31D053E-E898-4E58-B45C-906FA3B937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8330" cy="510821"/>
        </a:xfrm>
        <a:prstGeom prst="rect">
          <a:avLst/>
        </a:prstGeom>
      </xdr:spPr>
    </xdr:pic>
    <xdr:clientData/>
  </xdr:twoCellAnchor>
  <xdr:twoCellAnchor>
    <xdr:from>
      <xdr:col>15</xdr:col>
      <xdr:colOff>323850</xdr:colOff>
      <xdr:row>25</xdr:row>
      <xdr:rowOff>76200</xdr:rowOff>
    </xdr:from>
    <xdr:to>
      <xdr:col>26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358E4607-E040-4926-BF3B-6EE26E27C9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15</xdr:col>
      <xdr:colOff>676275</xdr:colOff>
      <xdr:row>46</xdr:row>
      <xdr:rowOff>142875</xdr:rowOff>
    </xdr:from>
    <xdr:to>
      <xdr:col>26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390F4501-38A5-4F37-8897-7ABEFF09F0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0</xdr:colOff>
      <xdr:row>69</xdr:row>
      <xdr:rowOff>0</xdr:rowOff>
    </xdr:from>
    <xdr:to>
      <xdr:col>26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32324A1C-4E3B-4AD9-BCF6-F523921793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57150</xdr:colOff>
      <xdr:row>90</xdr:row>
      <xdr:rowOff>76200</xdr:rowOff>
    </xdr:from>
    <xdr:to>
      <xdr:col>26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5575E148-111E-4187-8313-B077324F77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16</xdr:col>
      <xdr:colOff>76200</xdr:colOff>
      <xdr:row>112</xdr:row>
      <xdr:rowOff>180975</xdr:rowOff>
    </xdr:from>
    <xdr:to>
      <xdr:col>26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7FBB5F10-1715-4109-A320-A66762BE9E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16</xdr:col>
      <xdr:colOff>619124</xdr:colOff>
      <xdr:row>134</xdr:row>
      <xdr:rowOff>95251</xdr:rowOff>
    </xdr:from>
    <xdr:to>
      <xdr:col>27</xdr:col>
      <xdr:colOff>0</xdr:colOff>
      <xdr:row>154</xdr:row>
      <xdr:rowOff>38101</xdr:rowOff>
    </xdr:to>
    <xdr:graphicFrame macro="">
      <xdr:nvGraphicFramePr>
        <xdr:cNvPr id="10" name="Gráfico 40">
          <a:extLst>
            <a:ext uri="{FF2B5EF4-FFF2-40B4-BE49-F238E27FC236}">
              <a16:creationId xmlns:a16="http://schemas.microsoft.com/office/drawing/2014/main" id="{D913E01E-EFA1-4430-95D3-556DB5F97B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16</xdr:col>
      <xdr:colOff>0</xdr:colOff>
      <xdr:row>157</xdr:row>
      <xdr:rowOff>323850</xdr:rowOff>
    </xdr:from>
    <xdr:to>
      <xdr:col>26</xdr:col>
      <xdr:colOff>664762</xdr:colOff>
      <xdr:row>179</xdr:row>
      <xdr:rowOff>57151</xdr:rowOff>
    </xdr:to>
    <xdr:graphicFrame macro="">
      <xdr:nvGraphicFramePr>
        <xdr:cNvPr id="11" name="Gráfico 41">
          <a:extLst>
            <a:ext uri="{FF2B5EF4-FFF2-40B4-BE49-F238E27FC236}">
              <a16:creationId xmlns:a16="http://schemas.microsoft.com/office/drawing/2014/main" id="{05F07E93-CA93-483E-BB83-57E977B083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15</xdr:col>
      <xdr:colOff>752475</xdr:colOff>
      <xdr:row>179</xdr:row>
      <xdr:rowOff>104775</xdr:rowOff>
    </xdr:from>
    <xdr:to>
      <xdr:col>26</xdr:col>
      <xdr:colOff>650475</xdr:colOff>
      <xdr:row>200</xdr:row>
      <xdr:rowOff>19051</xdr:rowOff>
    </xdr:to>
    <xdr:graphicFrame macro="">
      <xdr:nvGraphicFramePr>
        <xdr:cNvPr id="12" name="Gráfico 43">
          <a:extLst>
            <a:ext uri="{FF2B5EF4-FFF2-40B4-BE49-F238E27FC236}">
              <a16:creationId xmlns:a16="http://schemas.microsoft.com/office/drawing/2014/main" id="{3CD98AD7-2EC5-4A03-8C81-0E41B9097D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15</xdr:col>
      <xdr:colOff>609600</xdr:colOff>
      <xdr:row>201</xdr:row>
      <xdr:rowOff>0</xdr:rowOff>
    </xdr:from>
    <xdr:to>
      <xdr:col>26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1F47408C-5B54-4CAB-AE56-878306E5F9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16</xdr:col>
      <xdr:colOff>0</xdr:colOff>
      <xdr:row>223</xdr:row>
      <xdr:rowOff>0</xdr:rowOff>
    </xdr:from>
    <xdr:to>
      <xdr:col>26</xdr:col>
      <xdr:colOff>660000</xdr:colOff>
      <xdr:row>243</xdr:row>
      <xdr:rowOff>104776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13861F22-65C9-4FF6-8243-869058A19B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16</xdr:col>
      <xdr:colOff>0</xdr:colOff>
      <xdr:row>245</xdr:row>
      <xdr:rowOff>0</xdr:rowOff>
    </xdr:from>
    <xdr:to>
      <xdr:col>26</xdr:col>
      <xdr:colOff>660000</xdr:colOff>
      <xdr:row>265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9DE8984D-69A1-447D-A6B6-320E0BF81A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16</xdr:col>
      <xdr:colOff>0</xdr:colOff>
      <xdr:row>267</xdr:row>
      <xdr:rowOff>0</xdr:rowOff>
    </xdr:from>
    <xdr:to>
      <xdr:col>26</xdr:col>
      <xdr:colOff>660000</xdr:colOff>
      <xdr:row>287</xdr:row>
      <xdr:rowOff>104776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D114852B-0AF5-4F06-89F9-61D997D9BE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0.99046</cdr:x>
      <cdr:y>0.1721</cdr:y>
    </cdr:to>
    <cdr:sp macro="" textlink="'EM evol menusual lugar resd'!$B$114:$O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0102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británicos entrados en los establecimientos alojativos de San Cristóbal de La Laguna (hotel + apartamento)</a:t>
          </a:fld>
          <a:endParaRPr lang="es-ES" sz="1100"/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0.00108</cdr:x>
      <cdr:y>0.96197</cdr:y>
    </cdr:from>
    <cdr:to>
      <cdr:x>0.51654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9525" y="4315662"/>
          <a:ext cx="4565049" cy="1706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0.9957</cdr:x>
      <cdr:y>0.14865</cdr:y>
    </cdr:to>
    <cdr:sp macro="" textlink="'EM evol menusual lugar resd'!$B$136:$O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6536"/>
          <a:ext cx="7729496" cy="6121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alemanes entrados en los establecimientos alojativos de San Cristóbal de La Laguna (hotel + apartamento)</a:t>
          </a:fld>
          <a:endParaRPr lang="es-ES" sz="1100"/>
        </a:p>
      </cdr:txBody>
    </cdr: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158:$O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franceses entrados en los establecimientos alojativos de San Cristóbal de La Laguna (hotel + apartamento)</a:t>
          </a:fld>
          <a:endParaRPr lang="es-ES" sz="1100"/>
        </a:p>
      </cdr:txBody>
    </cdr: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180:$O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belgas entrados en los establecimientos alojativos de San Cristóbal de La Laguna (hotel + apartamento)</a:t>
          </a:fld>
          <a:endParaRPr lang="es-ES" sz="1100"/>
        </a:p>
      </cdr:txBody>
    </cdr: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0.99391</cdr:x>
      <cdr:y>0.1721</cdr:y>
    </cdr:to>
    <cdr:sp macro="" textlink="'EM evol menusual lugar resd'!$B$202:$O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29600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holandeses entrados en los establecimientos alojativos de San Cristóbal de La Laguna (hotel + apartamento)</a:t>
          </a:fld>
          <a:endParaRPr lang="es-ES" sz="1100"/>
        </a:p>
      </cdr:txBody>
    </cdr:sp>
  </cdr:relSizeAnchor>
</c:userShapes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224:$O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F6DB970-8AF5-4ACF-8E05-A57BF76B1B5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belgas entrados en los establecimientos alojativos de San Cristóbal de La Laguna (hotel + apartamento)</a:t>
          </a:fld>
          <a:endParaRPr lang="es-ES" sz="1100"/>
        </a:p>
      </cdr:txBody>
    </cdr:sp>
  </cdr:relSizeAnchor>
</c:userShapes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246:$O$24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2BDA80-C0F4-4A01-9A5D-806E76A2736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daneses entrados en los establecimientos alojativos de San Cristóbal de La Laguna (hotel + apartamento)</a:t>
          </a:fld>
          <a:endParaRPr lang="es-ES" sz="1100"/>
        </a:p>
      </cdr:txBody>
    </cdr:sp>
  </cdr:relSizeAnchor>
</c:userShapes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268:$O$26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EDF55F-EC40-4CCB-8271-796B623DE44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suecos entrados en los establecimientos alojativos de San Cristóbal de La Laguna (hotel + apartamento)</a:t>
          </a:fld>
          <a:endParaRPr lang="es-ES" sz="1100"/>
        </a:p>
      </cdr:txBody>
    </cdr:sp>
  </cdr:relSizeAnchor>
</c:userShapes>
</file>

<file path=xl/drawings/drawing88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409574</xdr:colOff>
      <xdr:row>2</xdr:row>
      <xdr:rowOff>142874</xdr:rowOff>
    </xdr:from>
    <xdr:to>
      <xdr:col>26</xdr:col>
      <xdr:colOff>307574</xdr:colOff>
      <xdr:row>23</xdr:row>
      <xdr:rowOff>57150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B7BDC6CC-FD54-447A-A652-F2EC6CE623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853440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52A0996-5965-4B46-B38B-441DBEB451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7715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93345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9A06A300-CD18-48E5-9FDA-E7A5F0643C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4520" cy="514631"/>
        </a:xfrm>
        <a:prstGeom prst="rect">
          <a:avLst/>
        </a:prstGeom>
      </xdr:spPr>
    </xdr:pic>
    <xdr:clientData/>
  </xdr:twoCellAnchor>
  <xdr:twoCellAnchor>
    <xdr:from>
      <xdr:col>15</xdr:col>
      <xdr:colOff>342900</xdr:colOff>
      <xdr:row>25</xdr:row>
      <xdr:rowOff>114300</xdr:rowOff>
    </xdr:from>
    <xdr:to>
      <xdr:col>26</xdr:col>
      <xdr:colOff>240900</xdr:colOff>
      <xdr:row>46</xdr:row>
      <xdr:rowOff>28576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42455B55-2658-44E4-B590-5151111199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15</xdr:col>
      <xdr:colOff>676275</xdr:colOff>
      <xdr:row>46</xdr:row>
      <xdr:rowOff>142875</xdr:rowOff>
    </xdr:from>
    <xdr:to>
      <xdr:col>26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4BA9359E-782A-4937-8DB8-F813D10EE1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0</xdr:colOff>
      <xdr:row>69</xdr:row>
      <xdr:rowOff>0</xdr:rowOff>
    </xdr:from>
    <xdr:to>
      <xdr:col>26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F3B160DA-0D95-4709-8B4A-1C383DA01C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38100</xdr:colOff>
      <xdr:row>91</xdr:row>
      <xdr:rowOff>0</xdr:rowOff>
    </xdr:from>
    <xdr:to>
      <xdr:col>26</xdr:col>
      <xdr:colOff>698100</xdr:colOff>
      <xdr:row>111</xdr:row>
      <xdr:rowOff>85726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99AF7C5D-B308-44DC-97CF-68D89925DE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8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4:$O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establecimientos alojativos de San Cristóbal de La Laguna
(hotel + apartamento)</a:t>
          </a:fld>
          <a:endParaRPr lang="es-ES" sz="1100"/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0.00373</cdr:x>
      <cdr:y>0.00391</cdr:y>
    </cdr:from>
    <cdr:to>
      <cdr:x>0.97796</cdr:x>
      <cdr:y>0.1721</cdr:y>
    </cdr:to>
    <cdr:sp macro="" textlink="'Viajeros entr evol mensu TF'!$B$4:$O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32657" y="16690"/>
          <a:ext cx="8533252" cy="71793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 entrados en los establecimientos alojativos de San Cristóbal de La Laguna 
(hotel + apartamento)</a:t>
          </a:fld>
          <a:endParaRPr lang="es-ES" sz="1100"/>
        </a:p>
      </cdr:txBody>
    </cdr:sp>
  </cdr:relSizeAnchor>
</c:userShapes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26:$O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hoteles de San Cristóbal de La Laguna</a:t>
          </a:fld>
          <a:endParaRPr lang="es-ES" sz="1100"/>
        </a:p>
      </cdr:txBody>
    </cdr:sp>
  </cdr:relSizeAnchor>
</c:userShapes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48:$O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hoteles de 4, 5 estrellas de San Cristóbal de La Laguna</a:t>
          </a:fld>
          <a:endParaRPr lang="es-ES" sz="1100"/>
        </a:p>
      </cdr:txBody>
    </cdr:sp>
  </cdr:relSizeAnchor>
  <cdr:relSizeAnchor xmlns:cdr="http://schemas.openxmlformats.org/drawingml/2006/chartDrawing">
    <cdr:from>
      <cdr:x>0.01304</cdr:x>
      <cdr:y>0.91106</cdr:y>
    </cdr:from>
    <cdr:to>
      <cdr:x>0.5285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3D3C7B1-03F3-939E-B177-216861D69B8A}"/>
            </a:ext>
          </a:extLst>
        </cdr:cNvPr>
        <cdr:cNvSpPr txBox="1"/>
      </cdr:nvSpPr>
      <cdr:spPr>
        <a:xfrm xmlns:a="http://schemas.openxmlformats.org/drawingml/2006/main">
          <a:off x="107950" y="4000501"/>
          <a:ext cx="4268009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2022 no se publicó la desagregación por categorías en las Islas</a:t>
          </a:r>
        </a:p>
      </cdr:txBody>
    </cdr:sp>
  </cdr:relSizeAnchor>
</c:userShapes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70:$O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hoteles de 1, 2, 3 Estrellas de San Cristóbal de La Laguna</a:t>
          </a:fld>
          <a:endParaRPr lang="es-ES" sz="1100"/>
        </a:p>
      </cdr:txBody>
    </cdr:sp>
  </cdr:relSizeAnchor>
</c:userShapes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92:$O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apartamentos de San Cristóbal de La Laguna</a:t>
          </a:fld>
          <a:endParaRPr lang="es-ES" sz="1100"/>
        </a:p>
      </cdr:txBody>
    </cdr:sp>
  </cdr:relSizeAnchor>
</c:userShapes>
</file>

<file path=xl/drawings/drawing9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457200</xdr:colOff>
      <xdr:row>1</xdr:row>
      <xdr:rowOff>123825</xdr:rowOff>
    </xdr:from>
    <xdr:to>
      <xdr:col>10</xdr:col>
      <xdr:colOff>609600</xdr:colOff>
      <xdr:row>24</xdr:row>
      <xdr:rowOff>114300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8B41EDA0-281E-4FAE-948E-892FA3579082}"/>
            </a:ext>
          </a:extLst>
        </xdr:cNvPr>
        <xdr:cNvGrpSpPr/>
      </xdr:nvGrpSpPr>
      <xdr:grpSpPr>
        <a:xfrm>
          <a:off x="457200" y="31432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D03A052A-4549-5B03-DABF-A760812EBC5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D33EE1DE-5014-77E1-8874-ADFF612ACAF9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384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Tasa de ocupación por plaza en hoteles y apartamentos</a:t>
            </a:r>
          </a:p>
        </xdr:txBody>
      </xdr:sp>
    </xdr:grpSp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704849</xdr:colOff>
      <xdr:row>3</xdr:row>
      <xdr:rowOff>104774</xdr:rowOff>
    </xdr:from>
    <xdr:to>
      <xdr:col>26</xdr:col>
      <xdr:colOff>621899</xdr:colOff>
      <xdr:row>22</xdr:row>
      <xdr:rowOff>167099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67D59A96-5789-4F64-90FE-E52107B526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228599</xdr:colOff>
      <xdr:row>91</xdr:row>
      <xdr:rowOff>419099</xdr:rowOff>
    </xdr:from>
    <xdr:to>
      <xdr:col>27</xdr:col>
      <xdr:colOff>126599</xdr:colOff>
      <xdr:row>112</xdr:row>
      <xdr:rowOff>100424</xdr:rowOff>
    </xdr:to>
    <xdr:graphicFrame macro="">
      <xdr:nvGraphicFramePr>
        <xdr:cNvPr id="3" name="Gráfico 8">
          <a:extLst>
            <a:ext uri="{FF2B5EF4-FFF2-40B4-BE49-F238E27FC236}">
              <a16:creationId xmlns:a16="http://schemas.microsoft.com/office/drawing/2014/main" id="{1156C7F9-1CBF-4C32-A04F-6F94395364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228599</xdr:colOff>
      <xdr:row>69</xdr:row>
      <xdr:rowOff>419099</xdr:rowOff>
    </xdr:from>
    <xdr:to>
      <xdr:col>27</xdr:col>
      <xdr:colOff>126599</xdr:colOff>
      <xdr:row>90</xdr:row>
      <xdr:rowOff>100424</xdr:rowOff>
    </xdr:to>
    <xdr:graphicFrame macro="">
      <xdr:nvGraphicFramePr>
        <xdr:cNvPr id="4" name="Gráfico 11">
          <a:extLst>
            <a:ext uri="{FF2B5EF4-FFF2-40B4-BE49-F238E27FC236}">
              <a16:creationId xmlns:a16="http://schemas.microsoft.com/office/drawing/2014/main" id="{0D9BC0B8-D944-4F6D-8769-7369431B5F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19050</xdr:rowOff>
    </xdr:from>
    <xdr:to>
      <xdr:col>0</xdr:col>
      <xdr:colOff>857250</xdr:colOff>
      <xdr:row>4</xdr:row>
      <xdr:rowOff>59055</xdr:rowOff>
    </xdr:to>
    <xdr:pic>
      <xdr:nvPicPr>
        <xdr:cNvPr id="5" name="Imagen 4" descr="Iconos Png Gratis Resume Volver Icono Descarga Gratuita - Pump ...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5A5C8341-2DBD-46BA-8614-5268C6407D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85800"/>
          <a:ext cx="771525" cy="6591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97155</xdr:colOff>
      <xdr:row>2</xdr:row>
      <xdr:rowOff>34571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B6941569-8E1F-4687-9655-983A00D322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8330" cy="510821"/>
        </a:xfrm>
        <a:prstGeom prst="rect">
          <a:avLst/>
        </a:prstGeom>
      </xdr:spPr>
    </xdr:pic>
    <xdr:clientData/>
  </xdr:twoCellAnchor>
  <xdr:twoCellAnchor>
    <xdr:from>
      <xdr:col>15</xdr:col>
      <xdr:colOff>904875</xdr:colOff>
      <xdr:row>24</xdr:row>
      <xdr:rowOff>180975</xdr:rowOff>
    </xdr:from>
    <xdr:to>
      <xdr:col>27</xdr:col>
      <xdr:colOff>59925</xdr:colOff>
      <xdr:row>46</xdr:row>
      <xdr:rowOff>14700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669274F1-32D5-4168-94E6-768E088787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838200</xdr:colOff>
      <xdr:row>47</xdr:row>
      <xdr:rowOff>114300</xdr:rowOff>
    </xdr:from>
    <xdr:to>
      <xdr:col>26</xdr:col>
      <xdr:colOff>755250</xdr:colOff>
      <xdr:row>68</xdr:row>
      <xdr:rowOff>138525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70139BF7-21AB-41F1-80DC-265E121DC3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0.00447</cdr:x>
      <cdr:y>0.00849</cdr:y>
    </cdr:from>
    <cdr:to>
      <cdr:x>0.9787</cdr:x>
      <cdr:y>0.17668</cdr:y>
    </cdr:to>
    <cdr:sp macro="" textlink="'tasa de ocupación evol mens'!$B$4:$O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38100" y="35308"/>
          <a:ext cx="8307892" cy="69934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66CFC90-4DF6-4210-BB46-D250B73FFBF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Tasa de ocupación por plaza en los establecimientos alojativos de San Cristóbal de La Laguna
(hotel + apartamento)</a:t>
          </a:fld>
          <a:endParaRPr lang="es-ES" sz="1100"/>
        </a:p>
      </cdr:txBody>
    </cdr:sp>
  </cdr:relSizeAnchor>
</c:userShapes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#REF!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D22729FC-E7B2-4A0C-AAE8-8BF44637D087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Tasa de ocupación en los apartamentos de Tenerife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#REF!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5FA83AF-8EEE-4570-A963-F3AE91B89BED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Tasa de ocupación en los hoteles de 4 estrellas de Tenerife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tasa de ocupación evol mens'!$B$26:$O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277B92F-191F-48A0-813B-24B2E6B2EF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Tasa de ocupación por plaza en los hoteles de San Cristóbal de La Laguna</a:t>
          </a:fld>
          <a:endParaRPr lang="es-ES" sz="1100"/>
        </a:p>
      </cdr:txBody>
    </cdr:sp>
  </cdr:relSizeAnchor>
</c:userShapes>
</file>

<file path=xl/theme/theme1.xml><?xml version="1.0" encoding="utf-8"?>
<a:theme xmlns:a="http://schemas.openxmlformats.org/drawingml/2006/main" name="Tema de Office">
  <a:themeElements>
    <a:clrScheme name="Tenerife azul">
      <a:dk1>
        <a:srgbClr val="373A36"/>
      </a:dk1>
      <a:lt1>
        <a:sysClr val="window" lastClr="FFFFFF"/>
      </a:lt1>
      <a:dk2>
        <a:srgbClr val="1F497D"/>
      </a:dk2>
      <a:lt2>
        <a:srgbClr val="EEECE1"/>
      </a:lt2>
      <a:accent1>
        <a:srgbClr val="1226AA"/>
      </a:accent1>
      <a:accent2>
        <a:srgbClr val="0071CE"/>
      </a:accent2>
      <a:accent3>
        <a:srgbClr val="1ECAD3"/>
      </a:accent3>
      <a:accent4>
        <a:srgbClr val="3CB4E5"/>
      </a:accent4>
      <a:accent5>
        <a:srgbClr val="F32735"/>
      </a:accent5>
      <a:accent6>
        <a:srgbClr val="0047BA"/>
      </a:accent6>
      <a:hlink>
        <a:srgbClr val="000B8C"/>
      </a:hlink>
      <a:folHlink>
        <a:srgbClr val="009ADE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theme/themeOverride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8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9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0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1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15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5.x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17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18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0.xm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19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20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21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22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23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3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24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25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4.xml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26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1.xml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27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3.xml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28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29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31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32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21.xml"/><Relationship Id="rId1" Type="http://schemas.openxmlformats.org/officeDocument/2006/relationships/printerSettings" Target="../printerSettings/printerSettings33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5.xml"/><Relationship Id="rId1" Type="http://schemas.openxmlformats.org/officeDocument/2006/relationships/printerSettings" Target="../printerSettings/printerSettings34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9.xml"/><Relationship Id="rId1" Type="http://schemas.openxmlformats.org/officeDocument/2006/relationships/printerSettings" Target="../printerSettings/printerSettings35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1.xml"/><Relationship Id="rId1" Type="http://schemas.openxmlformats.org/officeDocument/2006/relationships/printerSettings" Target="../printerSettings/printerSettings36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3.xml"/><Relationship Id="rId1" Type="http://schemas.openxmlformats.org/officeDocument/2006/relationships/printerSettings" Target="../printerSettings/printerSettings37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754A7A-30C4-4716-8E6D-DA31359A9121}">
  <dimension ref="B1:M54"/>
  <sheetViews>
    <sheetView showGridLines="0" tabSelected="1" workbookViewId="0"/>
  </sheetViews>
  <sheetFormatPr baseColWidth="10" defaultRowHeight="15" x14ac:dyDescent="0.25"/>
  <cols>
    <col min="1" max="1" width="13.7109375" customWidth="1"/>
    <col min="2" max="2" width="147.7109375" customWidth="1"/>
  </cols>
  <sheetData>
    <row r="1" spans="2:13" x14ac:dyDescent="0.25">
      <c r="B1" s="1" t="s">
        <v>0</v>
      </c>
    </row>
    <row r="2" spans="2:13" ht="36" x14ac:dyDescent="0.55000000000000004">
      <c r="B2" s="2" t="s">
        <v>1</v>
      </c>
      <c r="M2" t="e">
        <f>#REF!/#REF!</f>
        <v>#REF!</v>
      </c>
    </row>
    <row r="3" spans="2:13" ht="36" x14ac:dyDescent="0.55000000000000004">
      <c r="B3" s="2" t="s">
        <v>49</v>
      </c>
    </row>
    <row r="4" spans="2:13" ht="24" x14ac:dyDescent="0.4">
      <c r="B4" s="3" t="s">
        <v>209</v>
      </c>
    </row>
    <row r="5" spans="2:13" x14ac:dyDescent="0.25">
      <c r="B5" s="4"/>
    </row>
    <row r="6" spans="2:13" ht="21.75" thickBot="1" x14ac:dyDescent="0.4">
      <c r="B6" s="5" t="s">
        <v>2</v>
      </c>
    </row>
    <row r="7" spans="2:13" ht="15.75" thickTop="1" x14ac:dyDescent="0.25"/>
    <row r="8" spans="2:13" ht="15.75" x14ac:dyDescent="0.25">
      <c r="B8" s="6" t="s">
        <v>210</v>
      </c>
    </row>
    <row r="9" spans="2:13" ht="15.75" x14ac:dyDescent="0.25">
      <c r="B9" s="6" t="s">
        <v>3</v>
      </c>
    </row>
    <row r="10" spans="2:13" ht="15.75" x14ac:dyDescent="0.25">
      <c r="B10" s="6"/>
    </row>
    <row r="11" spans="2:13" ht="19.5" thickBot="1" x14ac:dyDescent="0.35">
      <c r="B11" s="7" t="s">
        <v>4</v>
      </c>
    </row>
    <row r="12" spans="2:13" ht="18.75" x14ac:dyDescent="0.3">
      <c r="B12" s="8"/>
    </row>
    <row r="13" spans="2:13" ht="15.75" x14ac:dyDescent="0.25">
      <c r="B13" s="6" t="s">
        <v>5</v>
      </c>
    </row>
    <row r="14" spans="2:13" ht="15.75" x14ac:dyDescent="0.25">
      <c r="B14" s="6" t="s">
        <v>6</v>
      </c>
    </row>
    <row r="15" spans="2:13" x14ac:dyDescent="0.25">
      <c r="B15" s="9"/>
    </row>
    <row r="16" spans="2:13" ht="19.5" thickBot="1" x14ac:dyDescent="0.35">
      <c r="B16" s="7" t="s">
        <v>7</v>
      </c>
    </row>
    <row r="17" spans="2:2" ht="15.75" x14ac:dyDescent="0.25">
      <c r="B17" s="6"/>
    </row>
    <row r="18" spans="2:2" ht="15.75" x14ac:dyDescent="0.25">
      <c r="B18" s="10" t="s">
        <v>8</v>
      </c>
    </row>
    <row r="19" spans="2:2" ht="15.75" x14ac:dyDescent="0.25">
      <c r="B19" s="6" t="s">
        <v>211</v>
      </c>
    </row>
    <row r="20" spans="2:2" ht="15.75" x14ac:dyDescent="0.25">
      <c r="B20" s="6" t="s">
        <v>212</v>
      </c>
    </row>
    <row r="21" spans="2:2" ht="15.75" x14ac:dyDescent="0.25">
      <c r="B21" s="6" t="s">
        <v>213</v>
      </c>
    </row>
    <row r="22" spans="2:2" ht="15.75" x14ac:dyDescent="0.25">
      <c r="B22" s="6" t="s">
        <v>9</v>
      </c>
    </row>
    <row r="23" spans="2:2" ht="15.75" x14ac:dyDescent="0.25">
      <c r="B23" s="6" t="s">
        <v>10</v>
      </c>
    </row>
    <row r="24" spans="2:2" ht="15.75" x14ac:dyDescent="0.25">
      <c r="B24" s="6" t="s">
        <v>11</v>
      </c>
    </row>
    <row r="25" spans="2:2" ht="15.75" x14ac:dyDescent="0.25">
      <c r="B25" s="6" t="s">
        <v>12</v>
      </c>
    </row>
    <row r="26" spans="2:2" ht="15.75" x14ac:dyDescent="0.25">
      <c r="B26" s="6" t="s">
        <v>13</v>
      </c>
    </row>
    <row r="27" spans="2:2" ht="15.75" x14ac:dyDescent="0.25">
      <c r="B27" s="6" t="s">
        <v>14</v>
      </c>
    </row>
    <row r="28" spans="2:2" ht="15.75" x14ac:dyDescent="0.25">
      <c r="B28" s="6" t="s">
        <v>15</v>
      </c>
    </row>
    <row r="29" spans="2:2" ht="15.75" x14ac:dyDescent="0.25">
      <c r="B29" s="6" t="s">
        <v>16</v>
      </c>
    </row>
    <row r="30" spans="2:2" ht="15.75" x14ac:dyDescent="0.25">
      <c r="B30" s="6" t="s">
        <v>17</v>
      </c>
    </row>
    <row r="31" spans="2:2" ht="15.75" x14ac:dyDescent="0.25">
      <c r="B31" s="10" t="s">
        <v>18</v>
      </c>
    </row>
    <row r="32" spans="2:2" ht="15.75" x14ac:dyDescent="0.25">
      <c r="B32" s="6" t="s">
        <v>19</v>
      </c>
    </row>
    <row r="33" spans="2:2" ht="15.75" x14ac:dyDescent="0.25">
      <c r="B33" s="6" t="s">
        <v>20</v>
      </c>
    </row>
    <row r="34" spans="2:2" ht="15.75" x14ac:dyDescent="0.25">
      <c r="B34" s="10" t="s">
        <v>21</v>
      </c>
    </row>
    <row r="35" spans="2:2" ht="15.75" x14ac:dyDescent="0.25">
      <c r="B35" s="6" t="s">
        <v>214</v>
      </c>
    </row>
    <row r="36" spans="2:2" ht="15.75" x14ac:dyDescent="0.25">
      <c r="B36" s="6" t="s">
        <v>215</v>
      </c>
    </row>
    <row r="37" spans="2:2" ht="15.75" x14ac:dyDescent="0.25">
      <c r="B37" s="6" t="str">
        <f>CONCATENATE("Pernoctaciones en los establecimientos alojativos de Tenerife según lugar de residencia y municipio de alojamiento (hotel + apartamento) - mes")</f>
        <v>Pernoctaciones en los establecimientos alojativos de Tenerife según lugar de residencia y municipio de alojamiento (hotel + apartamento) - mes</v>
      </c>
    </row>
    <row r="38" spans="2:2" ht="15.75" x14ac:dyDescent="0.25">
      <c r="B38" s="6" t="str">
        <f>CONCATENATE("Pernoctaciones en los establecimientos alojativos de Tenerife según lugar de residencia y municipio de alojamiento (hotel + apartamento) - acumulado")</f>
        <v>Pernoctaciones en los establecimientos alojativos de Tenerife según lugar de residencia y municipio de alojamiento (hotel + apartamento) - acumulado</v>
      </c>
    </row>
    <row r="39" spans="2:2" ht="15.75" x14ac:dyDescent="0.25">
      <c r="B39" s="6" t="str">
        <f>CONCATENATE("Pernoctaciones en los establecimientos alojativos de Tenerife según lugar de residencia y municipio de alojamiento (hotel + apartamento) - año")</f>
        <v>Pernoctaciones en los establecimientos alojativos de Tenerife según lugar de residencia y municipio de alojamiento (hotel + apartamento) - año</v>
      </c>
    </row>
    <row r="40" spans="2:2" ht="15.75" x14ac:dyDescent="0.25">
      <c r="B40" s="10" t="s">
        <v>22</v>
      </c>
    </row>
    <row r="41" spans="2:2" ht="15.75" x14ac:dyDescent="0.25">
      <c r="B41" s="6" t="s">
        <v>216</v>
      </c>
    </row>
    <row r="42" spans="2:2" ht="15.75" x14ac:dyDescent="0.25">
      <c r="B42" s="6" t="s">
        <v>217</v>
      </c>
    </row>
    <row r="43" spans="2:2" ht="15.75" x14ac:dyDescent="0.25">
      <c r="B43" s="10" t="s">
        <v>23</v>
      </c>
    </row>
    <row r="44" spans="2:2" ht="15.75" x14ac:dyDescent="0.25">
      <c r="B44" s="6" t="s">
        <v>218</v>
      </c>
    </row>
    <row r="45" spans="2:2" ht="15.75" x14ac:dyDescent="0.25">
      <c r="B45" s="10" t="s">
        <v>24</v>
      </c>
    </row>
    <row r="46" spans="2:2" ht="31.5" x14ac:dyDescent="0.25">
      <c r="B46" s="11" t="s">
        <v>25</v>
      </c>
    </row>
    <row r="47" spans="2:2" ht="15.75" x14ac:dyDescent="0.25">
      <c r="B47" s="10" t="s">
        <v>26</v>
      </c>
    </row>
    <row r="48" spans="2:2" ht="15.75" x14ac:dyDescent="0.25">
      <c r="B48" s="6" t="s">
        <v>219</v>
      </c>
    </row>
    <row r="49" spans="2:2" ht="15.75" x14ac:dyDescent="0.25">
      <c r="B49" s="6" t="s">
        <v>220</v>
      </c>
    </row>
    <row r="50" spans="2:2" ht="15.75" x14ac:dyDescent="0.25">
      <c r="B50" s="6" t="s">
        <v>221</v>
      </c>
    </row>
    <row r="51" spans="2:2" ht="15.75" x14ac:dyDescent="0.25">
      <c r="B51" s="6" t="s">
        <v>222</v>
      </c>
    </row>
    <row r="52" spans="2:2" ht="15.75" x14ac:dyDescent="0.25">
      <c r="B52" s="6" t="s">
        <v>27</v>
      </c>
    </row>
    <row r="53" spans="2:2" ht="15.75" x14ac:dyDescent="0.25">
      <c r="B53" s="6" t="s">
        <v>28</v>
      </c>
    </row>
    <row r="54" spans="2:2" ht="15.75" x14ac:dyDescent="0.25">
      <c r="B54" s="6" t="s">
        <v>29</v>
      </c>
    </row>
  </sheetData>
  <hyperlinks>
    <hyperlink ref="B13" location="'Plazas aloj islas cat y tipolog'!A1" tooltip="Plazas alojativas Canarias e islas" display="Plazas alojativas Canarias e islas" xr:uid="{1BE1A6C5-7446-4546-92E9-2C3EBCEF07D6}"/>
    <hyperlink ref="B19" location="'Viajeros entr evol mensu TF'!A1" tooltip="Evolución mensual de viajeros entrentrados en Tenerife según lugar de residencia" display="Evolución mensual de viajeros entrados en Tenerife según lugar de residencia" xr:uid="{C4AF6310-EF89-4A9C-A26F-3480B74FA28F}"/>
    <hyperlink ref="B14" location="'Establecim aloj islas cat y tip'!A1" tooltip="Establecimientos alojativos Canarias e islas" display="Establecimientos alojativos Canarias e islas" xr:uid="{C483D034-77CD-4873-9A30-16F726C0B88A}"/>
    <hyperlink ref="B32" location="'viaj aloj lugar residen mes'!A1" tooltip="Viajeros alojados en los establecimientos alojativos de Tenerife según lugar de residencia y municipio de alojamiento" display="Viajeros alojados en los establecimientos alojativos de Tenerife según lugar de residencia y municipio de alojamiento - mes" xr:uid="{54621F18-41E3-460F-AC67-C432355F0521}"/>
    <hyperlink ref="B23" location="'Viajeros entr ti-cat ultimo mes'!A1" tooltip="Viajeros entrados en los establecimientos alojativos de Tenerife por municipio y categoría " display="Viajeros entrados en los establecimientos alojativos de Tenerife por municipio y categoría " xr:uid="{97D1823F-4A19-440C-9E49-D6BB2CCFCF9A}"/>
    <hyperlink ref="B37" location="'Pernoctaciones lugar reside'!A1" tooltip="Pernoctaciones registradas en establecimientos alojativos de Canarias e islas según tipología y categoría" display="'Pernoctaciones lugar reside'!A1" xr:uid="{7A1BAE5E-9972-450F-811E-0D3F84F951B3}"/>
    <hyperlink ref="B8" location="'Resumen indicadores (aloj)'!A1" tooltip="Resumen indicadores Tenerife" display="'Resumen indicadores (aloj)'!A1" xr:uid="{AD6EF683-B13B-4003-B486-58B9E186215A}"/>
    <hyperlink ref="B9" location="'Resumen indicadores municipios '!A1" tooltip="Resumen indicadores municipios Tenerife" display="Resumen indicadores municipios Tenerife" xr:uid="{1227970D-36B5-4AE0-A7A3-CD1B34ADA1C7}"/>
    <hyperlink ref="B20" location="'Viajeros entr evol mensu TF cat'!A1" tooltip="Evolución mensual de viajeros entrentrados en Tenerife según lugar de residencia" display="'Viajeros entr evol mensu TF cat'!A1" xr:uid="{CF41E073-E4F4-415E-AF9A-E4731B6978BB}"/>
    <hyperlink ref="B21" location="'Viajeros entr evol anual TF cat'!A1" tooltip="Evolución mensual de viajeros entrentrados en Tenerife según lugar de residencia" display="'Viajeros entr evol anual TF cat'!A1" xr:uid="{BD75ACFD-861F-45AD-A52F-B5C282C5B32A}"/>
    <hyperlink ref="B33" location="'viaj aloj lugar residen mes'!A1" tooltip="Viajeros alojados en los establecimientos alojativos de Tenerife según lugar de residencia y municipio de alojamiento" display="Viajeros alojados en los establecimientos alojativos de Tenerife según lugar de residencia y municipio de alojamiento - acumulado" xr:uid="{674A806B-4E7B-4B79-B443-A2A02FC6C386}"/>
    <hyperlink ref="B24" location="'viaj entrados lugar resid años '!A1" tooltip="Viajeros entrados en los establecimientos alojativos de Tenerife según lugar de residencia y municipio de alojamiento" display="Viajeros entrados en los establecimientos alojativos de Tenerife según lugar de residencia y municipio de alojamiento - año" xr:uid="{A68F7E23-6B50-48F3-8ACF-BC6A3C418856}"/>
    <hyperlink ref="B25" location="'viaj entrados lugar residencia'!A1" tooltip="Viajeros entrados en los establecimientos alojativos de Tenerife según lugar de residencia y municipio de alojamiento" display="Viajeros entrados en los establecimientos alojativos de Tenerife según lugar de residencia y municipio de alojamiento - mes" xr:uid="{E69F0B2C-753A-4930-8AB3-B3F8300E82DC}"/>
    <hyperlink ref="B26" location="'viaj entrados lugar residen acu'!A1" tooltip="Viajeros entrados en los establecimientos alojativos de Tenerife según lugar de residencia y municipio de alojamiento" display="Viajeros entrados en los establecimientos alojativos de Tenerife según lugar de residencia y municipio de alojamiento - acumulado" xr:uid="{1E0480FD-E737-4F31-BACE-B222162B7BA0}"/>
    <hyperlink ref="B27:B28" location="'viaj entrados lugar residen acu'!A1" tooltip="Viajeros entrados en los establecimientos alojativos de según lugar de residencia y municipio de alojamiento" display="Viajeros entrados en los establecimientos alojativos de según lugar de residencia y municipio de alojamiento - acumulado" xr:uid="{D273F427-4223-4171-B66E-5846BCE7188F}"/>
    <hyperlink ref="B27" location="'viaj entrados lugar residen hot'!A1" tooltip="Viajeros entrados en los hoteles de Tenerife según lugar de residencia y municipio de alojamiento - acumulado" display="Viajeros entrados en los hoteles de Tenerife según lugar de residencia y municipio de alojamiento - acumulado" xr:uid="{F88E305B-9ADD-4C2F-B9A2-DC0D7E25D1CE}"/>
    <hyperlink ref="B29" location="'viaj entrados lugar residen cat'!A1" tooltip="Viajeros entrados en los establecimientos hoteleros de Tenerife según lugar de residencia, categoría y municipio del alojamiento" display="Viajeros entrados en los establecimientos hoteleros de Tenerife según lugar de residencia, categoría y municipio del alojamiento - acumulado" xr:uid="{55F8A49C-001D-4EAB-BFDA-A94074A49F6E}"/>
    <hyperlink ref="B28" location="'viaj entrados lugar residen apt'!A1" tooltip="Viajeros entrados en los apartamentos de Tenerife según lugar de residencia y municipio de alojamiento" display="Viajeros entrados en los apartamentos de Tenerife según lugar de residencia y municipio de alojamiento - acumulado" xr:uid="{CCF6440C-7C79-41D7-8F08-725E4A35CCF5}"/>
    <hyperlink ref="B30" location="'viaj entr lugar res año categor'!A1" tooltip="Viajeros entrados en los establecimientos hoteleros de Tenerife según lugar de residencia, categoría y municipio del alojamiento" display="Viajeros entrados en los establecimientos hoteleros de Tenerife según lugar de residencia, categoría y municipio del alojamiento - año" xr:uid="{6A737C21-AB52-49C7-8431-A0052556D3D0}"/>
    <hyperlink ref="B48" location="'distribución españoles x Resid'!A1" tooltip="=CONCATENAR(&quot;Viajeros españoles entrados en los hoteles y apartamentos de &quot;;Actualizaciones!$B$3;&quot; según lugar de residencia&quot;)" display="=CONCATENAR(&quot;Viajeros españoles entrados en los hoteles y apartamentos de &quot;;Actualizaciones!$B$3;&quot; según lugar de residencia - acumulado&quot;)" xr:uid="{7945B152-A363-404F-B0E3-5FD31125E096}"/>
    <hyperlink ref="B22" location="'distribución españoles x mun al'!A1" tooltip="Viajeros peninsulares entrados en los hoteles y apartamentos de Tenerife por municipio de alojamiento" display="Viajeros peninsulares entrados en los hoteles y apartamentos de Tenerife por municipio de alojamiento - acumulado" xr:uid="{369617F2-8061-4839-8B45-F1984CDE54BC}"/>
    <hyperlink ref="B51" location="'distribución canarias x munici'!A1" tooltip="=CONCATENAR(&quot;Viajeros canarios entrados en los hoteles y apartamentos de &quot;;Actualizaciones!$B$3;&quot; por tipología y categoría de alojamiento&quot;)" display="'distribución canarias x munici'!A1" xr:uid="{31C9D9DE-E6DA-41D6-AC32-BB6CBBCC70B8}"/>
    <hyperlink ref="B35" location="'Pernoctaciones evol mensu TF'!A1" tooltip="Evolución mensual de pernoctaciones en Tenerife según lugar de residencia" display="'Pernoctaciones evol mensu TF'!A1" xr:uid="{FD6D8047-F7F9-42C0-8BDD-CBE6A54406D6}"/>
    <hyperlink ref="B36" location="'Pernocta evol mensu TF cat'!A1" tooltip="Evolución mensual de pernoctaciones en Tenerife según lugar de residencia" display="'Pernocta evol mensu TF cat'!A1" xr:uid="{EB05F4AE-4F34-4F51-87F4-37F501C13F3F}"/>
    <hyperlink ref="B38" location="'Pernoctaciones lugar residen ac'!A1" tooltip="Pernoctaciones registradas en establecimientos alojativos de Canarias e islas según tipología y categoría" display="'Pernoctaciones lugar residen ac'!A1" xr:uid="{CE7690DF-9380-43EF-9B4D-BF8EBEC6DDDF}"/>
    <hyperlink ref="B39" location="'Pernoctaciones lugar reside año'!A1" tooltip="Pernoctaciones registradas en establecimientos alojativos de Canarias e islas según tipología y categoría" display="'Pernoctaciones lugar reside año'!A1" xr:uid="{9EA482AF-4F06-419F-8A26-F6E91708C96E}"/>
    <hyperlink ref="B46" location="'ADR RevPAR ingresos totales ult'!A1" tooltip="Pernoctaciones registradas en establecimientos alojativos de Canarias e islas según tipología y categoría" display="Tarifa media diaria ADR por habitación en los establecimientos alojativos Tenerife por municipio  (hotel + apartamento) " xr:uid="{55818FEF-ADF0-47DA-9E4A-868B90BA1F23}"/>
    <hyperlink ref="B41" location="'EM evol menusual lugar resd'!A1" tooltip="Evolución mensual de estancia media en Tenerife según lugar de residencia" display="'EM evol menusual lugar resd'!A1" xr:uid="{03A0B3A8-96C2-47B5-9EC6-02B97359DD29}"/>
    <hyperlink ref="B42" location="'EM evol mensu TF cat '!A1" tooltip="Evolución mensual de estancia media en Tenerife según lugar de residencia" display="'EM evol mensu TF cat '!A1" xr:uid="{4F0DDB99-C873-42FF-BDF1-B361CC230B46}"/>
    <hyperlink ref="B44" location="'tasa de ocupación evol mens'!A1" tooltip="Evolución mensual de estancia media en Tenerife según lugar de residencia" display="'tasa de ocupación evol mens'!A1" xr:uid="{896071A3-83A6-43F3-8CDE-555483F01213}"/>
    <hyperlink ref="B50" location="'distribución peninsula x munici'!A1" tooltip="=CONCATENAR(&quot;Viajeros peninsulares entrados en los hoteles y apartamentos de &quot;;Actualizaciones!$B$3;&quot; por tipología y categoría de alojamiento&quot;)" display="'distribución peninsula x munici'!A1" xr:uid="{7AA1A18D-6B82-48F9-A44F-7F5B127A7BBC}"/>
    <hyperlink ref="B49" location="'distribución españoles x mun al'!A1" tooltip="=CONCATENAR(&quot;Viajeros españoles entrados en los hoteles y apartamentos de &quot;;Actualizaciones!$B$3;&quot; por tipología y categoría de alojamiento&quot;)" display="'distribución españoles x mun al'!A1" xr:uid="{4752DC85-6E44-491F-BAE6-036D6E7A3889}"/>
    <hyperlink ref="B52" location="'evolución anual viaj ent españo'!A1" tooltip="Viajeros españoles entrados en los hoteles y apartamentos de Tenerife por municipio de alojamiento" display="Viajeros españoles entrados en los hoteles y apartamentos de Tenerife por municipio de alojamiento" xr:uid="{E3FC1000-BAF4-48DD-BC18-A03F4DEA4FF0}"/>
    <hyperlink ref="B53" location="'evolución anual viaj ent penins'!A1" tooltip="Viajeros peninsulares entrados en los hoteles y apartamentos de Tenerife por municipio de alojamiento" display="Viajeros peninsulares entrados en los hoteles y apartamentos de Tenerife por municipio de alojamiento" xr:uid="{C6B79BCB-B740-4F62-AA2D-3F96C47A2B70}"/>
    <hyperlink ref="B54" location="'evolución anual viaj ent canari'!A1" tooltip="Viajeros canarios entrados en los hoteles y apartamentos de Tenerife por municipio de alojamiento" display="Viajeros canarios entrados en los hoteles y apartamentos de Tenerife por municipio de alojamiento" xr:uid="{152240F2-FE02-44A6-BCD3-C5A963A10C7E}"/>
  </hyperlink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849EE2-68A8-4347-B89C-DA62FC26C5BA}">
  <sheetPr>
    <tabColor theme="7" tint="0.79998168889431442"/>
  </sheetPr>
  <dimension ref="A4:P114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  <col min="15" max="15" width="11.140625" customWidth="1"/>
  </cols>
  <sheetData>
    <row r="4" spans="1:16" ht="48.75" customHeight="1" thickBot="1" x14ac:dyDescent="0.3">
      <c r="B4" s="270" t="s">
        <v>250</v>
      </c>
      <c r="C4" s="270"/>
      <c r="D4" s="270"/>
      <c r="E4" s="270"/>
      <c r="F4" s="270"/>
      <c r="G4" s="270"/>
      <c r="H4" s="270"/>
      <c r="I4" s="270"/>
      <c r="J4" s="270"/>
      <c r="K4" s="270"/>
      <c r="L4" s="270"/>
      <c r="M4" s="270"/>
      <c r="N4" s="270"/>
      <c r="O4" s="270"/>
      <c r="P4" s="1" t="s">
        <v>66</v>
      </c>
    </row>
    <row r="5" spans="1:16" ht="10.5" customHeight="1" thickBot="1" x14ac:dyDescent="0.3">
      <c r="B5" s="106"/>
      <c r="C5" s="107"/>
      <c r="D5" s="106"/>
      <c r="E5" s="106"/>
      <c r="F5" s="106"/>
      <c r="G5" s="106"/>
      <c r="H5" s="106"/>
      <c r="I5" s="106"/>
      <c r="J5" s="106"/>
      <c r="K5" s="106"/>
      <c r="L5" s="106"/>
      <c r="M5" s="4"/>
      <c r="N5" s="4"/>
      <c r="P5" s="1" t="s">
        <v>67</v>
      </c>
    </row>
    <row r="6" spans="1:16" ht="22.5" thickTop="1" thickBot="1" x14ac:dyDescent="0.3">
      <c r="B6" s="108" t="s">
        <v>30</v>
      </c>
      <c r="C6" s="292" t="s">
        <v>132</v>
      </c>
      <c r="D6" s="293"/>
      <c r="E6" s="293"/>
      <c r="F6" s="293"/>
      <c r="G6" s="293"/>
      <c r="H6" s="293"/>
      <c r="I6" s="293"/>
      <c r="J6" s="293"/>
      <c r="K6" s="293"/>
      <c r="L6" s="293"/>
      <c r="M6" s="293"/>
      <c r="N6" s="293"/>
      <c r="O6" s="294"/>
    </row>
    <row r="7" spans="1:16" ht="22.5" thickTop="1" thickBot="1" x14ac:dyDescent="0.3">
      <c r="B7" s="109"/>
      <c r="C7" s="295">
        <f>2019</f>
        <v>2019</v>
      </c>
      <c r="D7" s="296"/>
      <c r="E7" s="297">
        <v>2020</v>
      </c>
      <c r="F7" s="296"/>
      <c r="G7" s="297">
        <v>2021</v>
      </c>
      <c r="H7" s="296"/>
      <c r="I7" s="297">
        <v>2022</v>
      </c>
      <c r="J7" s="296"/>
      <c r="K7" s="297">
        <v>2023</v>
      </c>
      <c r="L7" s="296"/>
      <c r="M7" s="297">
        <v>2024</v>
      </c>
      <c r="N7" s="298"/>
      <c r="O7" s="299"/>
    </row>
    <row r="8" spans="1:16" ht="16.5" thickTop="1" thickBot="1" x14ac:dyDescent="0.3">
      <c r="B8" s="85"/>
      <c r="C8" s="111" t="s">
        <v>69</v>
      </c>
      <c r="D8" s="112" t="str">
        <f>CONCATENATE("var ",RIGHT(2019,2),"/",RIGHT(2018,2))</f>
        <v>var 19/18</v>
      </c>
      <c r="E8" s="113" t="s">
        <v>69</v>
      </c>
      <c r="F8" s="112" t="str">
        <f>CONCATENATE("var ",RIGHT(E7,2),"/",RIGHT(E7-1,2))</f>
        <v>var 20/19</v>
      </c>
      <c r="G8" s="113" t="s">
        <v>69</v>
      </c>
      <c r="H8" s="112" t="str">
        <f>CONCATENATE("var ",RIGHT(G7,2),"/",RIGHT(G7-1,2))</f>
        <v>var 21/20</v>
      </c>
      <c r="I8" s="113" t="s">
        <v>69</v>
      </c>
      <c r="J8" s="112" t="str">
        <f>CONCATENATE("var ",RIGHT(I7,2),"/",RIGHT(I7-1,2))</f>
        <v>var 22/21</v>
      </c>
      <c r="K8" s="113" t="s">
        <v>69</v>
      </c>
      <c r="L8" s="112" t="str">
        <f>CONCATENATE("var ",RIGHT(K7,2),"/",RIGHT(K7-1,2))</f>
        <v>var 23/22</v>
      </c>
      <c r="M8" s="113" t="s">
        <v>69</v>
      </c>
      <c r="N8" s="112" t="s">
        <v>273</v>
      </c>
      <c r="O8" s="112" t="s">
        <v>274</v>
      </c>
    </row>
    <row r="9" spans="1:16" x14ac:dyDescent="0.25">
      <c r="A9" s="1" t="s">
        <v>70</v>
      </c>
      <c r="B9" s="114" t="s">
        <v>71</v>
      </c>
      <c r="C9" s="115">
        <v>4716</v>
      </c>
      <c r="D9" s="116">
        <v>-2.7027027027026973E-2</v>
      </c>
      <c r="E9" s="115">
        <v>5197</v>
      </c>
      <c r="F9" s="116">
        <f t="shared" ref="F9:L21" si="0">IFERROR(E9/C9-1,"-")</f>
        <v>0.10199321458863442</v>
      </c>
      <c r="G9" s="115">
        <v>1146</v>
      </c>
      <c r="H9" s="116">
        <f t="shared" si="0"/>
        <v>-0.77948816624975947</v>
      </c>
      <c r="I9" s="115">
        <v>3527</v>
      </c>
      <c r="J9" s="116">
        <f t="shared" si="0"/>
        <v>2.0776614310645725</v>
      </c>
      <c r="K9" s="115">
        <v>5390</v>
      </c>
      <c r="L9" s="116">
        <f t="shared" si="0"/>
        <v>0.52821094414516589</v>
      </c>
      <c r="M9" s="115">
        <v>5217</v>
      </c>
      <c r="N9" s="116">
        <v>-3.2096474953617782E-2</v>
      </c>
      <c r="O9" s="116">
        <v>0.10623409669211203</v>
      </c>
    </row>
    <row r="10" spans="1:16" x14ac:dyDescent="0.25">
      <c r="A10" s="1" t="s">
        <v>72</v>
      </c>
      <c r="B10" s="114" t="s">
        <v>73</v>
      </c>
      <c r="C10" s="115">
        <v>4935</v>
      </c>
      <c r="D10" s="116">
        <v>1.0442260442260487E-2</v>
      </c>
      <c r="E10" s="115">
        <v>5359</v>
      </c>
      <c r="F10" s="116">
        <f t="shared" si="0"/>
        <v>8.5916919959473148E-2</v>
      </c>
      <c r="G10" s="115">
        <v>1385</v>
      </c>
      <c r="H10" s="116">
        <f t="shared" si="0"/>
        <v>-0.74155626049636125</v>
      </c>
      <c r="I10" s="115">
        <v>4177</v>
      </c>
      <c r="J10" s="116">
        <f t="shared" si="0"/>
        <v>2.0158844765342958</v>
      </c>
      <c r="K10" s="115">
        <v>5270</v>
      </c>
      <c r="L10" s="116">
        <f t="shared" si="0"/>
        <v>0.2616710557816615</v>
      </c>
      <c r="M10" s="115">
        <v>4803</v>
      </c>
      <c r="N10" s="116">
        <v>-8.861480075901329E-2</v>
      </c>
      <c r="O10" s="116">
        <v>-2.6747720364741601E-2</v>
      </c>
    </row>
    <row r="11" spans="1:16" x14ac:dyDescent="0.25">
      <c r="A11" s="1" t="s">
        <v>74</v>
      </c>
      <c r="B11" s="114" t="s">
        <v>75</v>
      </c>
      <c r="C11" s="115">
        <v>5148</v>
      </c>
      <c r="D11" s="116">
        <v>-1.0190348009998074E-2</v>
      </c>
      <c r="E11" s="115">
        <v>2198</v>
      </c>
      <c r="F11" s="116">
        <f t="shared" si="0"/>
        <v>-0.57303807303807308</v>
      </c>
      <c r="G11" s="115">
        <v>2288</v>
      </c>
      <c r="H11" s="116">
        <f t="shared" si="0"/>
        <v>4.0946314831665109E-2</v>
      </c>
      <c r="I11" s="115">
        <v>4740</v>
      </c>
      <c r="J11" s="116">
        <f t="shared" si="0"/>
        <v>1.0716783216783217</v>
      </c>
      <c r="K11" s="115">
        <v>5659</v>
      </c>
      <c r="L11" s="116">
        <f t="shared" si="0"/>
        <v>0.19388185654008439</v>
      </c>
      <c r="M11" s="115">
        <v>5168</v>
      </c>
      <c r="N11" s="116">
        <v>-8.6764446015197061E-2</v>
      </c>
      <c r="O11" s="116">
        <v>3.8850038850037905E-3</v>
      </c>
    </row>
    <row r="12" spans="1:16" x14ac:dyDescent="0.25">
      <c r="A12" s="1" t="s">
        <v>76</v>
      </c>
      <c r="B12" s="114" t="s">
        <v>77</v>
      </c>
      <c r="C12" s="115">
        <v>4194</v>
      </c>
      <c r="D12" s="116">
        <v>-0.12424305700563787</v>
      </c>
      <c r="E12" s="115">
        <v>0</v>
      </c>
      <c r="F12" s="116">
        <f t="shared" si="0"/>
        <v>-1</v>
      </c>
      <c r="G12" s="115">
        <v>1830</v>
      </c>
      <c r="H12" s="116" t="str">
        <f t="shared" si="0"/>
        <v>-</v>
      </c>
      <c r="I12" s="115">
        <v>4075</v>
      </c>
      <c r="J12" s="116">
        <f t="shared" si="0"/>
        <v>1.2267759562841531</v>
      </c>
      <c r="K12" s="115">
        <v>5170</v>
      </c>
      <c r="L12" s="116">
        <f t="shared" si="0"/>
        <v>0.26871165644171779</v>
      </c>
      <c r="M12" s="115">
        <v>5054</v>
      </c>
      <c r="N12" s="116">
        <v>-2.2437137330754364E-2</v>
      </c>
      <c r="O12" s="116">
        <v>0.20505484024797327</v>
      </c>
    </row>
    <row r="13" spans="1:16" x14ac:dyDescent="0.25">
      <c r="A13" s="1" t="s">
        <v>78</v>
      </c>
      <c r="B13" s="114" t="s">
        <v>79</v>
      </c>
      <c r="C13" s="115">
        <v>4065</v>
      </c>
      <c r="D13" s="116">
        <v>-7.810593116914788E-3</v>
      </c>
      <c r="E13" s="115">
        <v>0</v>
      </c>
      <c r="F13" s="116">
        <f t="shared" si="0"/>
        <v>-1</v>
      </c>
      <c r="G13" s="115">
        <v>2659</v>
      </c>
      <c r="H13" s="116" t="str">
        <f t="shared" si="0"/>
        <v>-</v>
      </c>
      <c r="I13" s="115">
        <v>3632</v>
      </c>
      <c r="J13" s="116">
        <f t="shared" si="0"/>
        <v>0.365927040240692</v>
      </c>
      <c r="K13" s="115">
        <v>5013</v>
      </c>
      <c r="L13" s="116">
        <f t="shared" si="0"/>
        <v>0.38023127753303965</v>
      </c>
      <c r="M13" s="115">
        <v>4992</v>
      </c>
      <c r="N13" s="116">
        <v>-4.1891083183722699E-3</v>
      </c>
      <c r="O13" s="116">
        <v>0.22804428044280445</v>
      </c>
    </row>
    <row r="14" spans="1:16" x14ac:dyDescent="0.25">
      <c r="A14" s="1" t="s">
        <v>80</v>
      </c>
      <c r="B14" s="114" t="s">
        <v>81</v>
      </c>
      <c r="C14" s="115">
        <v>3920</v>
      </c>
      <c r="D14" s="116">
        <v>-3.2815198618307395E-2</v>
      </c>
      <c r="E14" s="115">
        <v>0</v>
      </c>
      <c r="F14" s="116">
        <f t="shared" si="0"/>
        <v>-1</v>
      </c>
      <c r="G14" s="115">
        <v>2494</v>
      </c>
      <c r="H14" s="116" t="str">
        <f t="shared" si="0"/>
        <v>-</v>
      </c>
      <c r="I14" s="115">
        <v>4520</v>
      </c>
      <c r="J14" s="116">
        <f t="shared" si="0"/>
        <v>0.81234963913392133</v>
      </c>
      <c r="K14" s="115">
        <v>4181</v>
      </c>
      <c r="L14" s="116">
        <f t="shared" si="0"/>
        <v>-7.4999999999999956E-2</v>
      </c>
      <c r="M14" s="115">
        <v>3964</v>
      </c>
      <c r="N14" s="116">
        <v>-5.1901458981104986E-2</v>
      </c>
      <c r="O14" s="116">
        <v>1.1224489795918391E-2</v>
      </c>
    </row>
    <row r="15" spans="1:16" x14ac:dyDescent="0.25">
      <c r="A15" s="1" t="s">
        <v>82</v>
      </c>
      <c r="B15" s="114" t="s">
        <v>83</v>
      </c>
      <c r="C15" s="115">
        <v>4387</v>
      </c>
      <c r="D15" s="116">
        <v>5.7873161321437161E-2</v>
      </c>
      <c r="E15" s="115">
        <v>0</v>
      </c>
      <c r="F15" s="116">
        <f t="shared" si="0"/>
        <v>-1</v>
      </c>
      <c r="G15" s="115">
        <v>2428</v>
      </c>
      <c r="H15" s="116" t="str">
        <f t="shared" si="0"/>
        <v>-</v>
      </c>
      <c r="I15" s="115">
        <v>4275</v>
      </c>
      <c r="J15" s="116">
        <f t="shared" si="0"/>
        <v>0.76070840197693568</v>
      </c>
      <c r="K15" s="115">
        <v>4340</v>
      </c>
      <c r="L15" s="116">
        <f t="shared" si="0"/>
        <v>1.5204678362572999E-2</v>
      </c>
      <c r="M15" s="115">
        <v>4593</v>
      </c>
      <c r="N15" s="116">
        <v>5.8294930875576023E-2</v>
      </c>
      <c r="O15" s="116">
        <v>4.6956918167312622E-2</v>
      </c>
    </row>
    <row r="16" spans="1:16" x14ac:dyDescent="0.25">
      <c r="A16" s="1" t="s">
        <v>84</v>
      </c>
      <c r="B16" s="114" t="s">
        <v>85</v>
      </c>
      <c r="C16" s="115">
        <v>4223</v>
      </c>
      <c r="D16" s="116">
        <v>0.22654661632297413</v>
      </c>
      <c r="E16" s="115">
        <v>2777</v>
      </c>
      <c r="F16" s="116">
        <f t="shared" si="0"/>
        <v>-0.34241060857210515</v>
      </c>
      <c r="G16" s="115">
        <v>2929</v>
      </c>
      <c r="H16" s="116">
        <f t="shared" si="0"/>
        <v>5.473532589124952E-2</v>
      </c>
      <c r="I16" s="115">
        <v>3932</v>
      </c>
      <c r="J16" s="116">
        <f t="shared" si="0"/>
        <v>0.34243769204506647</v>
      </c>
      <c r="K16" s="115">
        <v>4645</v>
      </c>
      <c r="L16" s="116">
        <f t="shared" si="0"/>
        <v>0.18133265513733465</v>
      </c>
      <c r="M16" s="115">
        <v>2899</v>
      </c>
      <c r="N16" s="116">
        <v>-0.37588805166846073</v>
      </c>
      <c r="O16" s="116">
        <v>-0.3135211934643618</v>
      </c>
    </row>
    <row r="17" spans="1:16" x14ac:dyDescent="0.25">
      <c r="A17" s="1" t="s">
        <v>86</v>
      </c>
      <c r="B17" s="114" t="s">
        <v>87</v>
      </c>
      <c r="C17" s="115">
        <v>3835</v>
      </c>
      <c r="D17" s="116">
        <v>0.20825456836798995</v>
      </c>
      <c r="E17" s="115">
        <v>1764</v>
      </c>
      <c r="F17" s="116">
        <f t="shared" si="0"/>
        <v>-0.54002607561929594</v>
      </c>
      <c r="G17" s="115">
        <v>3914</v>
      </c>
      <c r="H17" s="116">
        <f t="shared" si="0"/>
        <v>1.2188208616780045</v>
      </c>
      <c r="I17" s="115">
        <v>4578</v>
      </c>
      <c r="J17" s="116">
        <f t="shared" si="0"/>
        <v>0.16964741951967288</v>
      </c>
      <c r="K17" s="115">
        <v>4521</v>
      </c>
      <c r="L17" s="116">
        <f t="shared" si="0"/>
        <v>-1.2450851900393189E-2</v>
      </c>
      <c r="M17" s="115">
        <v>5087</v>
      </c>
      <c r="N17" s="116">
        <v>0.12519354125193538</v>
      </c>
      <c r="O17" s="116">
        <v>0.32646675358539756</v>
      </c>
    </row>
    <row r="18" spans="1:16" x14ac:dyDescent="0.25">
      <c r="A18" s="1" t="s">
        <v>88</v>
      </c>
      <c r="B18" s="114" t="s">
        <v>89</v>
      </c>
      <c r="C18" s="115">
        <v>4677</v>
      </c>
      <c r="D18" s="116">
        <v>8.8438308886971129E-3</v>
      </c>
      <c r="E18" s="115">
        <v>1764</v>
      </c>
      <c r="F18" s="116">
        <f t="shared" si="0"/>
        <v>-0.62283515073765239</v>
      </c>
      <c r="G18" s="115">
        <v>3380</v>
      </c>
      <c r="H18" s="116">
        <f t="shared" si="0"/>
        <v>0.91609977324263037</v>
      </c>
      <c r="I18" s="115">
        <v>4025</v>
      </c>
      <c r="J18" s="116">
        <f t="shared" si="0"/>
        <v>0.19082840236686383</v>
      </c>
      <c r="K18" s="115">
        <v>4419</v>
      </c>
      <c r="L18" s="116">
        <f t="shared" si="0"/>
        <v>9.7888198757764E-2</v>
      </c>
      <c r="M18" s="115"/>
      <c r="N18" s="116" t="s">
        <v>229</v>
      </c>
      <c r="O18" s="116" t="s">
        <v>229</v>
      </c>
    </row>
    <row r="19" spans="1:16" x14ac:dyDescent="0.25">
      <c r="A19" s="1" t="s">
        <v>90</v>
      </c>
      <c r="B19" s="114" t="s">
        <v>91</v>
      </c>
      <c r="C19" s="115">
        <v>6020</v>
      </c>
      <c r="D19" s="116">
        <v>0.12924404426936786</v>
      </c>
      <c r="E19" s="115">
        <v>1763</v>
      </c>
      <c r="F19" s="116">
        <f t="shared" si="0"/>
        <v>-0.70714285714285707</v>
      </c>
      <c r="G19" s="115">
        <v>4448</v>
      </c>
      <c r="H19" s="116">
        <f t="shared" si="0"/>
        <v>1.5229722064662505</v>
      </c>
      <c r="I19" s="115">
        <v>4838</v>
      </c>
      <c r="J19" s="116">
        <f t="shared" si="0"/>
        <v>8.7679856115107979E-2</v>
      </c>
      <c r="K19" s="115">
        <v>4964</v>
      </c>
      <c r="L19" s="116">
        <f t="shared" si="0"/>
        <v>2.6043819760231512E-2</v>
      </c>
      <c r="M19" s="115"/>
      <c r="N19" s="116" t="s">
        <v>229</v>
      </c>
      <c r="O19" s="116" t="s">
        <v>229</v>
      </c>
    </row>
    <row r="20" spans="1:16" x14ac:dyDescent="0.25">
      <c r="A20" s="1" t="s">
        <v>92</v>
      </c>
      <c r="B20" s="114" t="s">
        <v>93</v>
      </c>
      <c r="C20" s="115">
        <v>5767</v>
      </c>
      <c r="D20" s="116">
        <v>7.113670133729566E-2</v>
      </c>
      <c r="E20" s="115">
        <v>1794</v>
      </c>
      <c r="F20" s="116">
        <f t="shared" si="0"/>
        <v>-0.6889197156233744</v>
      </c>
      <c r="G20" s="115">
        <v>4543</v>
      </c>
      <c r="H20" s="116">
        <f t="shared" si="0"/>
        <v>1.5323299888517279</v>
      </c>
      <c r="I20" s="115">
        <v>5166</v>
      </c>
      <c r="J20" s="116">
        <f t="shared" si="0"/>
        <v>0.13713405238828957</v>
      </c>
      <c r="K20" s="115">
        <v>4585</v>
      </c>
      <c r="L20" s="116">
        <f t="shared" si="0"/>
        <v>-0.11246612466124661</v>
      </c>
      <c r="M20" s="115"/>
      <c r="N20" s="116" t="s">
        <v>229</v>
      </c>
      <c r="O20" s="116" t="s">
        <v>229</v>
      </c>
    </row>
    <row r="21" spans="1:16" ht="15.75" x14ac:dyDescent="0.25">
      <c r="A21" s="1" t="s">
        <v>0</v>
      </c>
      <c r="B21" s="117" t="s">
        <v>30</v>
      </c>
      <c r="C21" s="118">
        <v>55887</v>
      </c>
      <c r="D21" s="119">
        <v>3.521283295669253E-2</v>
      </c>
      <c r="E21" s="118">
        <v>24221</v>
      </c>
      <c r="F21" s="119">
        <f t="shared" si="0"/>
        <v>-0.56660761894537193</v>
      </c>
      <c r="G21" s="118">
        <v>33444</v>
      </c>
      <c r="H21" s="119">
        <f t="shared" si="0"/>
        <v>0.38078526898146237</v>
      </c>
      <c r="I21" s="118">
        <v>51485</v>
      </c>
      <c r="J21" s="119">
        <f t="shared" si="0"/>
        <v>0.53943906231312044</v>
      </c>
      <c r="K21" s="118">
        <v>58157</v>
      </c>
      <c r="L21" s="119">
        <f t="shared" si="0"/>
        <v>0.12959114305137409</v>
      </c>
      <c r="M21" s="118">
        <v>41777</v>
      </c>
      <c r="N21" s="119">
        <v>-5.4583719930299424E-2</v>
      </c>
      <c r="O21" s="119">
        <v>5.9711336022119088E-2</v>
      </c>
    </row>
    <row r="22" spans="1:16" ht="6" customHeight="1" x14ac:dyDescent="0.25"/>
    <row r="23" spans="1:16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15"/>
      <c r="N23" s="105"/>
      <c r="O23" s="105"/>
    </row>
    <row r="24" spans="1:16" x14ac:dyDescent="0.25">
      <c r="K24" s="120"/>
      <c r="N24" s="79"/>
    </row>
    <row r="26" spans="1:16" ht="48.75" customHeight="1" thickBot="1" x14ac:dyDescent="0.3">
      <c r="B26" s="270" t="s">
        <v>251</v>
      </c>
      <c r="C26" s="270"/>
      <c r="D26" s="270"/>
      <c r="E26" s="270"/>
      <c r="F26" s="270"/>
      <c r="G26" s="270"/>
      <c r="H26" s="270"/>
      <c r="I26" s="270"/>
      <c r="J26" s="270"/>
      <c r="K26" s="270"/>
      <c r="L26" s="270"/>
      <c r="M26" s="270"/>
      <c r="N26" s="270"/>
      <c r="O26" s="270"/>
      <c r="P26" s="1" t="s">
        <v>94</v>
      </c>
    </row>
    <row r="27" spans="1:16" ht="10.5" customHeight="1" thickBot="1" x14ac:dyDescent="0.3">
      <c r="B27" s="106"/>
      <c r="C27" s="107"/>
      <c r="D27" s="106"/>
      <c r="E27" s="106"/>
      <c r="F27" s="106"/>
      <c r="G27" s="106"/>
      <c r="H27" s="106"/>
      <c r="I27" s="106"/>
      <c r="J27" s="106"/>
      <c r="K27" s="106"/>
      <c r="L27" s="106"/>
      <c r="M27" s="4"/>
      <c r="N27" s="4"/>
      <c r="P27" s="1" t="s">
        <v>95</v>
      </c>
    </row>
    <row r="28" spans="1:16" ht="22.5" thickTop="1" thickBot="1" x14ac:dyDescent="0.3">
      <c r="B28" s="121" t="s">
        <v>96</v>
      </c>
      <c r="C28" s="292" t="s">
        <v>137</v>
      </c>
      <c r="D28" s="293"/>
      <c r="E28" s="293"/>
      <c r="F28" s="293"/>
      <c r="G28" s="293"/>
      <c r="H28" s="293"/>
      <c r="I28" s="293"/>
      <c r="J28" s="293"/>
      <c r="K28" s="293"/>
      <c r="L28" s="293"/>
      <c r="M28" s="293"/>
      <c r="N28" s="293"/>
      <c r="O28" s="294"/>
    </row>
    <row r="29" spans="1:16" ht="22.5" thickTop="1" thickBot="1" x14ac:dyDescent="0.3">
      <c r="B29" s="109"/>
      <c r="C29" s="295">
        <f>2019</f>
        <v>2019</v>
      </c>
      <c r="D29" s="296"/>
      <c r="E29" s="297">
        <v>2020</v>
      </c>
      <c r="F29" s="296"/>
      <c r="G29" s="297">
        <v>2021</v>
      </c>
      <c r="H29" s="296"/>
      <c r="I29" s="297">
        <v>2022</v>
      </c>
      <c r="J29" s="296"/>
      <c r="K29" s="297">
        <v>2023</v>
      </c>
      <c r="L29" s="296"/>
      <c r="M29" s="297">
        <v>2024</v>
      </c>
      <c r="N29" s="298"/>
      <c r="O29" s="299"/>
    </row>
    <row r="30" spans="1:16" ht="16.5" thickTop="1" thickBot="1" x14ac:dyDescent="0.3">
      <c r="B30" s="85"/>
      <c r="C30" s="111" t="s">
        <v>69</v>
      </c>
      <c r="D30" s="112" t="str">
        <f>CONCATENATE("var ",RIGHT(2019,2),"/",RIGHT(2018,2))</f>
        <v>var 19/18</v>
      </c>
      <c r="E30" s="113" t="s">
        <v>69</v>
      </c>
      <c r="F30" s="112" t="str">
        <f>CONCATENATE("var ",RIGHT(E29,2),"/",RIGHT(E29-1,2))</f>
        <v>var 20/19</v>
      </c>
      <c r="G30" s="113" t="s">
        <v>69</v>
      </c>
      <c r="H30" s="112" t="str">
        <f>CONCATENATE("var ",RIGHT(G29,2),"/",RIGHT(G29-1,2))</f>
        <v>var 21/20</v>
      </c>
      <c r="I30" s="113" t="s">
        <v>69</v>
      </c>
      <c r="J30" s="112" t="str">
        <f>CONCATENATE("var ",RIGHT(I29,2),"/",RIGHT(I29-1,2))</f>
        <v>var 22/21</v>
      </c>
      <c r="K30" s="113" t="s">
        <v>69</v>
      </c>
      <c r="L30" s="112" t="str">
        <f>CONCATENATE("var ",RIGHT(K29,2),"/",RIGHT(K29-1,2))</f>
        <v>var 23/22</v>
      </c>
      <c r="M30" s="113" t="s">
        <v>69</v>
      </c>
      <c r="N30" s="112" t="s">
        <v>273</v>
      </c>
      <c r="O30" s="112" t="s">
        <v>274</v>
      </c>
    </row>
    <row r="31" spans="1:16" x14ac:dyDescent="0.25">
      <c r="B31" s="114" t="s">
        <v>71</v>
      </c>
      <c r="C31" s="115">
        <v>4716</v>
      </c>
      <c r="D31" s="116">
        <v>-2.7027027027026973E-2</v>
      </c>
      <c r="E31" s="115">
        <v>5197</v>
      </c>
      <c r="F31" s="116">
        <f t="shared" ref="F31:L43" si="1">IFERROR(E31/C31-1,"-")</f>
        <v>0.10199321458863442</v>
      </c>
      <c r="G31" s="115">
        <v>1146</v>
      </c>
      <c r="H31" s="116">
        <f t="shared" si="1"/>
        <v>-0.77948816624975947</v>
      </c>
      <c r="I31" s="115">
        <v>3527</v>
      </c>
      <c r="J31" s="116">
        <f t="shared" si="1"/>
        <v>2.0776614310645725</v>
      </c>
      <c r="K31" s="115">
        <v>5390</v>
      </c>
      <c r="L31" s="116">
        <f t="shared" si="1"/>
        <v>0.52821094414516589</v>
      </c>
      <c r="M31" s="115">
        <v>5217</v>
      </c>
      <c r="N31" s="116">
        <v>-3.2096474953617782E-2</v>
      </c>
      <c r="O31" s="116">
        <v>0.10623409669211203</v>
      </c>
    </row>
    <row r="32" spans="1:16" x14ac:dyDescent="0.25">
      <c r="B32" s="114" t="s">
        <v>73</v>
      </c>
      <c r="C32" s="115">
        <v>4935</v>
      </c>
      <c r="D32" s="116">
        <v>1.0442260442260487E-2</v>
      </c>
      <c r="E32" s="115">
        <v>5359</v>
      </c>
      <c r="F32" s="116">
        <f t="shared" si="1"/>
        <v>8.5916919959473148E-2</v>
      </c>
      <c r="G32" s="115">
        <v>1385</v>
      </c>
      <c r="H32" s="116">
        <f t="shared" si="1"/>
        <v>-0.74155626049636125</v>
      </c>
      <c r="I32" s="115">
        <v>4177</v>
      </c>
      <c r="J32" s="116">
        <f t="shared" si="1"/>
        <v>2.0158844765342958</v>
      </c>
      <c r="K32" s="115">
        <v>5270</v>
      </c>
      <c r="L32" s="116">
        <f t="shared" si="1"/>
        <v>0.2616710557816615</v>
      </c>
      <c r="M32" s="115">
        <v>4803</v>
      </c>
      <c r="N32" s="116">
        <v>-8.861480075901329E-2</v>
      </c>
      <c r="O32" s="116">
        <v>-2.6747720364741601E-2</v>
      </c>
    </row>
    <row r="33" spans="2:16" x14ac:dyDescent="0.25">
      <c r="B33" s="114" t="s">
        <v>75</v>
      </c>
      <c r="C33" s="115">
        <v>5148</v>
      </c>
      <c r="D33" s="116">
        <v>-1.0190348009998074E-2</v>
      </c>
      <c r="E33" s="115">
        <v>2198</v>
      </c>
      <c r="F33" s="116">
        <f t="shared" si="1"/>
        <v>-0.57303807303807308</v>
      </c>
      <c r="G33" s="115">
        <v>2288</v>
      </c>
      <c r="H33" s="116">
        <f t="shared" si="1"/>
        <v>4.0946314831665109E-2</v>
      </c>
      <c r="I33" s="115">
        <v>4740</v>
      </c>
      <c r="J33" s="116">
        <f t="shared" si="1"/>
        <v>1.0716783216783217</v>
      </c>
      <c r="K33" s="115">
        <v>5659</v>
      </c>
      <c r="L33" s="116">
        <f t="shared" si="1"/>
        <v>0.19388185654008439</v>
      </c>
      <c r="M33" s="115">
        <v>5168</v>
      </c>
      <c r="N33" s="116">
        <v>-8.6764446015197061E-2</v>
      </c>
      <c r="O33" s="116">
        <v>3.8850038850037905E-3</v>
      </c>
    </row>
    <row r="34" spans="2:16" x14ac:dyDescent="0.25">
      <c r="B34" s="114" t="s">
        <v>77</v>
      </c>
      <c r="C34" s="115">
        <v>4194</v>
      </c>
      <c r="D34" s="116">
        <v>-0.12424305700563787</v>
      </c>
      <c r="E34" s="115">
        <v>0</v>
      </c>
      <c r="F34" s="116">
        <f t="shared" si="1"/>
        <v>-1</v>
      </c>
      <c r="G34" s="115">
        <v>1830</v>
      </c>
      <c r="H34" s="116" t="str">
        <f t="shared" si="1"/>
        <v>-</v>
      </c>
      <c r="I34" s="115">
        <v>4075</v>
      </c>
      <c r="J34" s="116">
        <f t="shared" si="1"/>
        <v>1.2267759562841531</v>
      </c>
      <c r="K34" s="115">
        <v>5170</v>
      </c>
      <c r="L34" s="116">
        <f t="shared" si="1"/>
        <v>0.26871165644171779</v>
      </c>
      <c r="M34" s="115">
        <v>5054</v>
      </c>
      <c r="N34" s="116">
        <v>-2.2437137330754364E-2</v>
      </c>
      <c r="O34" s="116">
        <v>0.20505484024797327</v>
      </c>
    </row>
    <row r="35" spans="2:16" x14ac:dyDescent="0.25">
      <c r="B35" s="114" t="s">
        <v>79</v>
      </c>
      <c r="C35" s="115">
        <v>4065</v>
      </c>
      <c r="D35" s="116">
        <v>-7.810593116914788E-3</v>
      </c>
      <c r="E35" s="115">
        <v>0</v>
      </c>
      <c r="F35" s="116">
        <f t="shared" si="1"/>
        <v>-1</v>
      </c>
      <c r="G35" s="115">
        <v>2659</v>
      </c>
      <c r="H35" s="116" t="str">
        <f t="shared" si="1"/>
        <v>-</v>
      </c>
      <c r="I35" s="115">
        <v>3632</v>
      </c>
      <c r="J35" s="116">
        <f t="shared" si="1"/>
        <v>0.365927040240692</v>
      </c>
      <c r="K35" s="115">
        <v>5013</v>
      </c>
      <c r="L35" s="116">
        <f t="shared" si="1"/>
        <v>0.38023127753303965</v>
      </c>
      <c r="M35" s="115">
        <v>4992</v>
      </c>
      <c r="N35" s="116">
        <v>-4.1891083183722699E-3</v>
      </c>
      <c r="O35" s="116">
        <v>0.22804428044280445</v>
      </c>
    </row>
    <row r="36" spans="2:16" x14ac:dyDescent="0.25">
      <c r="B36" s="114" t="s">
        <v>81</v>
      </c>
      <c r="C36" s="115">
        <v>3920</v>
      </c>
      <c r="D36" s="116">
        <v>-3.2815198618307395E-2</v>
      </c>
      <c r="E36" s="115">
        <v>0</v>
      </c>
      <c r="F36" s="116">
        <f t="shared" si="1"/>
        <v>-1</v>
      </c>
      <c r="G36" s="115">
        <v>2494</v>
      </c>
      <c r="H36" s="116" t="str">
        <f t="shared" si="1"/>
        <v>-</v>
      </c>
      <c r="I36" s="115">
        <v>4520</v>
      </c>
      <c r="J36" s="116">
        <f t="shared" si="1"/>
        <v>0.81234963913392133</v>
      </c>
      <c r="K36" s="115">
        <v>4181</v>
      </c>
      <c r="L36" s="116">
        <f t="shared" si="1"/>
        <v>-7.4999999999999956E-2</v>
      </c>
      <c r="M36" s="115">
        <v>3964</v>
      </c>
      <c r="N36" s="116">
        <v>-5.1901458981104986E-2</v>
      </c>
      <c r="O36" s="116">
        <v>1.1224489795918391E-2</v>
      </c>
    </row>
    <row r="37" spans="2:16" x14ac:dyDescent="0.25">
      <c r="B37" s="114" t="s">
        <v>83</v>
      </c>
      <c r="C37" s="115">
        <v>4387</v>
      </c>
      <c r="D37" s="116">
        <v>5.7873161321437161E-2</v>
      </c>
      <c r="E37" s="115">
        <v>0</v>
      </c>
      <c r="F37" s="116">
        <f t="shared" si="1"/>
        <v>-1</v>
      </c>
      <c r="G37" s="115">
        <v>2428</v>
      </c>
      <c r="H37" s="116" t="str">
        <f t="shared" si="1"/>
        <v>-</v>
      </c>
      <c r="I37" s="115">
        <v>4275</v>
      </c>
      <c r="J37" s="116">
        <f t="shared" si="1"/>
        <v>0.76070840197693568</v>
      </c>
      <c r="K37" s="115">
        <v>4340</v>
      </c>
      <c r="L37" s="116">
        <f t="shared" si="1"/>
        <v>1.5204678362572999E-2</v>
      </c>
      <c r="M37" s="115">
        <v>4593</v>
      </c>
      <c r="N37" s="116">
        <v>5.8294930875576023E-2</v>
      </c>
      <c r="O37" s="116">
        <v>4.6956918167312622E-2</v>
      </c>
    </row>
    <row r="38" spans="2:16" x14ac:dyDescent="0.25">
      <c r="B38" s="114" t="s">
        <v>85</v>
      </c>
      <c r="C38" s="115">
        <v>4223</v>
      </c>
      <c r="D38" s="116">
        <v>0.22654661632297413</v>
      </c>
      <c r="E38" s="115">
        <v>2777</v>
      </c>
      <c r="F38" s="116">
        <f t="shared" si="1"/>
        <v>-0.34241060857210515</v>
      </c>
      <c r="G38" s="115">
        <v>2929</v>
      </c>
      <c r="H38" s="116">
        <f t="shared" si="1"/>
        <v>5.473532589124952E-2</v>
      </c>
      <c r="I38" s="115">
        <v>3932</v>
      </c>
      <c r="J38" s="116">
        <f t="shared" si="1"/>
        <v>0.34243769204506647</v>
      </c>
      <c r="K38" s="115">
        <v>4645</v>
      </c>
      <c r="L38" s="116">
        <f t="shared" si="1"/>
        <v>0.18133265513733465</v>
      </c>
      <c r="M38" s="115">
        <v>2899</v>
      </c>
      <c r="N38" s="116">
        <v>-0.37588805166846073</v>
      </c>
      <c r="O38" s="116">
        <v>-0.3135211934643618</v>
      </c>
    </row>
    <row r="39" spans="2:16" x14ac:dyDescent="0.25">
      <c r="B39" s="114" t="s">
        <v>87</v>
      </c>
      <c r="C39" s="115">
        <v>3835</v>
      </c>
      <c r="D39" s="116">
        <v>0.20825456836798995</v>
      </c>
      <c r="E39" s="115">
        <v>1764</v>
      </c>
      <c r="F39" s="116">
        <f t="shared" si="1"/>
        <v>-0.54002607561929594</v>
      </c>
      <c r="G39" s="115">
        <v>3914</v>
      </c>
      <c r="H39" s="116">
        <f t="shared" si="1"/>
        <v>1.2188208616780045</v>
      </c>
      <c r="I39" s="115">
        <v>4578</v>
      </c>
      <c r="J39" s="116">
        <f t="shared" si="1"/>
        <v>0.16964741951967288</v>
      </c>
      <c r="K39" s="115">
        <v>4521</v>
      </c>
      <c r="L39" s="116">
        <f t="shared" si="1"/>
        <v>-1.2450851900393189E-2</v>
      </c>
      <c r="M39" s="115">
        <v>5087</v>
      </c>
      <c r="N39" s="116">
        <v>0.12519354125193538</v>
      </c>
      <c r="O39" s="116">
        <v>0.32646675358539756</v>
      </c>
    </row>
    <row r="40" spans="2:16" x14ac:dyDescent="0.25">
      <c r="B40" s="114" t="s">
        <v>89</v>
      </c>
      <c r="C40" s="115">
        <v>4677</v>
      </c>
      <c r="D40" s="116">
        <v>8.8438308886971129E-3</v>
      </c>
      <c r="E40" s="115">
        <v>1764</v>
      </c>
      <c r="F40" s="116">
        <f t="shared" si="1"/>
        <v>-0.62283515073765239</v>
      </c>
      <c r="G40" s="115">
        <v>3380</v>
      </c>
      <c r="H40" s="116">
        <f t="shared" si="1"/>
        <v>0.91609977324263037</v>
      </c>
      <c r="I40" s="115">
        <v>4025</v>
      </c>
      <c r="J40" s="116">
        <f t="shared" si="1"/>
        <v>0.19082840236686383</v>
      </c>
      <c r="K40" s="115">
        <v>4419</v>
      </c>
      <c r="L40" s="116">
        <f t="shared" si="1"/>
        <v>9.7888198757764E-2</v>
      </c>
      <c r="M40" s="115"/>
      <c r="N40" s="116" t="s">
        <v>229</v>
      </c>
      <c r="O40" s="116" t="s">
        <v>229</v>
      </c>
    </row>
    <row r="41" spans="2:16" x14ac:dyDescent="0.25">
      <c r="B41" s="114" t="s">
        <v>91</v>
      </c>
      <c r="C41" s="115">
        <v>6020</v>
      </c>
      <c r="D41" s="116">
        <v>0.12924404426936786</v>
      </c>
      <c r="E41" s="115">
        <v>1763</v>
      </c>
      <c r="F41" s="116">
        <f t="shared" si="1"/>
        <v>-0.70714285714285707</v>
      </c>
      <c r="G41" s="115">
        <v>4448</v>
      </c>
      <c r="H41" s="116">
        <f t="shared" si="1"/>
        <v>1.5229722064662505</v>
      </c>
      <c r="I41" s="115">
        <v>4838</v>
      </c>
      <c r="J41" s="116">
        <f t="shared" si="1"/>
        <v>8.7679856115107979E-2</v>
      </c>
      <c r="K41" s="115">
        <v>4964</v>
      </c>
      <c r="L41" s="116">
        <f t="shared" si="1"/>
        <v>2.6043819760231512E-2</v>
      </c>
      <c r="M41" s="115"/>
      <c r="N41" s="116" t="s">
        <v>229</v>
      </c>
      <c r="O41" s="116" t="s">
        <v>229</v>
      </c>
    </row>
    <row r="42" spans="2:16" x14ac:dyDescent="0.25">
      <c r="B42" s="114" t="s">
        <v>93</v>
      </c>
      <c r="C42" s="115">
        <v>5767</v>
      </c>
      <c r="D42" s="116">
        <v>7.113670133729566E-2</v>
      </c>
      <c r="E42" s="115">
        <v>1794</v>
      </c>
      <c r="F42" s="116">
        <f t="shared" si="1"/>
        <v>-0.6889197156233744</v>
      </c>
      <c r="G42" s="115">
        <v>4543</v>
      </c>
      <c r="H42" s="116">
        <f t="shared" si="1"/>
        <v>1.5323299888517279</v>
      </c>
      <c r="I42" s="115">
        <v>5166</v>
      </c>
      <c r="J42" s="116">
        <f t="shared" si="1"/>
        <v>0.13713405238828957</v>
      </c>
      <c r="K42" s="115">
        <v>4585</v>
      </c>
      <c r="L42" s="116">
        <f t="shared" si="1"/>
        <v>-0.11246612466124661</v>
      </c>
      <c r="M42" s="115"/>
      <c r="N42" s="116" t="s">
        <v>229</v>
      </c>
      <c r="O42" s="116" t="s">
        <v>229</v>
      </c>
    </row>
    <row r="43" spans="2:16" ht="15.75" x14ac:dyDescent="0.25">
      <c r="B43" s="117" t="s">
        <v>30</v>
      </c>
      <c r="C43" s="118">
        <v>55887</v>
      </c>
      <c r="D43" s="119">
        <v>3.521283295669253E-2</v>
      </c>
      <c r="E43" s="118">
        <v>24221</v>
      </c>
      <c r="F43" s="119">
        <f t="shared" si="1"/>
        <v>-0.56660761894537193</v>
      </c>
      <c r="G43" s="118">
        <v>33444</v>
      </c>
      <c r="H43" s="119">
        <f t="shared" si="1"/>
        <v>0.38078526898146237</v>
      </c>
      <c r="I43" s="118">
        <v>51485</v>
      </c>
      <c r="J43" s="119">
        <f t="shared" si="1"/>
        <v>0.53943906231312044</v>
      </c>
      <c r="K43" s="118">
        <v>58157</v>
      </c>
      <c r="L43" s="119">
        <f t="shared" si="1"/>
        <v>0.12959114305137409</v>
      </c>
      <c r="M43" s="118">
        <v>41777</v>
      </c>
      <c r="N43" s="119">
        <v>-5.4583719930299424E-2</v>
      </c>
      <c r="O43" s="119">
        <v>5.9711336022119088E-2</v>
      </c>
    </row>
    <row r="44" spans="2:16" ht="6" customHeight="1" x14ac:dyDescent="0.25"/>
    <row r="45" spans="2:16" x14ac:dyDescent="0.25">
      <c r="B45" s="105" t="s">
        <v>55</v>
      </c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  <c r="O45" s="105"/>
    </row>
    <row r="46" spans="2:16" x14ac:dyDescent="0.25">
      <c r="K46" s="79"/>
    </row>
    <row r="48" spans="2:16" ht="48.75" customHeight="1" thickBot="1" x14ac:dyDescent="0.3">
      <c r="B48" s="270" t="s">
        <v>252</v>
      </c>
      <c r="C48" s="270"/>
      <c r="D48" s="270"/>
      <c r="E48" s="270"/>
      <c r="F48" s="270"/>
      <c r="G48" s="270"/>
      <c r="H48" s="270"/>
      <c r="I48" s="270"/>
      <c r="J48" s="270"/>
      <c r="K48" s="270"/>
      <c r="L48" s="270"/>
      <c r="M48" s="270"/>
      <c r="N48" s="270"/>
      <c r="O48" s="270"/>
      <c r="P48" s="1" t="s">
        <v>98</v>
      </c>
    </row>
    <row r="49" spans="1:16" ht="10.5" customHeight="1" thickBot="1" x14ac:dyDescent="0.3">
      <c r="B49" s="106"/>
      <c r="C49" s="107"/>
      <c r="D49" s="106"/>
      <c r="E49" s="106"/>
      <c r="F49" s="106"/>
      <c r="G49" s="106"/>
      <c r="H49" s="106"/>
      <c r="I49" s="106"/>
      <c r="J49" s="106"/>
      <c r="K49" s="106"/>
      <c r="L49" s="106"/>
      <c r="M49" s="4"/>
      <c r="N49" s="4"/>
      <c r="P49" s="1" t="s">
        <v>99</v>
      </c>
    </row>
    <row r="50" spans="1:16" ht="22.5" thickTop="1" thickBot="1" x14ac:dyDescent="0.3">
      <c r="B50" s="109"/>
      <c r="C50" s="292" t="s">
        <v>61</v>
      </c>
      <c r="D50" s="293"/>
      <c r="E50" s="293"/>
      <c r="F50" s="293"/>
      <c r="G50" s="293"/>
      <c r="H50" s="293"/>
      <c r="I50" s="293"/>
      <c r="J50" s="293"/>
      <c r="K50" s="293"/>
      <c r="L50" s="293"/>
      <c r="M50" s="293"/>
      <c r="N50" s="293"/>
      <c r="O50" s="294"/>
    </row>
    <row r="51" spans="1:16" ht="22.5" thickTop="1" thickBot="1" x14ac:dyDescent="0.3">
      <c r="B51" s="109"/>
      <c r="C51" s="295">
        <f>2019</f>
        <v>2019</v>
      </c>
      <c r="D51" s="296"/>
      <c r="E51" s="297">
        <v>2020</v>
      </c>
      <c r="F51" s="296"/>
      <c r="G51" s="297">
        <v>2021</v>
      </c>
      <c r="H51" s="296"/>
      <c r="I51" s="297">
        <v>2022</v>
      </c>
      <c r="J51" s="296"/>
      <c r="K51" s="297">
        <v>2023</v>
      </c>
      <c r="L51" s="296"/>
      <c r="M51" s="297">
        <v>2024</v>
      </c>
      <c r="N51" s="298"/>
      <c r="O51" s="299"/>
    </row>
    <row r="52" spans="1:16" ht="16.5" thickTop="1" thickBot="1" x14ac:dyDescent="0.3">
      <c r="B52" s="85"/>
      <c r="C52" s="111" t="s">
        <v>69</v>
      </c>
      <c r="D52" s="112" t="str">
        <f>CONCATENATE("var ",RIGHT(2019,2),"/",RIGHT(2018,2))</f>
        <v>var 19/18</v>
      </c>
      <c r="E52" s="113" t="s">
        <v>69</v>
      </c>
      <c r="F52" s="112" t="str">
        <f>CONCATENATE("var ",RIGHT(E51,2),"/",RIGHT(E51-1,2))</f>
        <v>var 20/19</v>
      </c>
      <c r="G52" s="113" t="s">
        <v>69</v>
      </c>
      <c r="H52" s="112" t="str">
        <f>CONCATENATE("var ",RIGHT(G51,2),"/",RIGHT(G51-1,2))</f>
        <v>var 21/20</v>
      </c>
      <c r="I52" s="113" t="s">
        <v>69</v>
      </c>
      <c r="J52" s="112" t="str">
        <f>CONCATENATE("var ",RIGHT(I51,2),"/",RIGHT(I51-1,2))</f>
        <v>var 22/21</v>
      </c>
      <c r="K52" s="113" t="s">
        <v>69</v>
      </c>
      <c r="L52" s="112" t="str">
        <f>CONCATENATE("var ",RIGHT(K51,2),"/",RIGHT(K51-1,2))</f>
        <v>var 23/22</v>
      </c>
      <c r="M52" s="113" t="s">
        <v>69</v>
      </c>
      <c r="N52" s="112" t="s">
        <v>273</v>
      </c>
      <c r="O52" s="112" t="s">
        <v>274</v>
      </c>
    </row>
    <row r="53" spans="1:16" x14ac:dyDescent="0.25">
      <c r="A53" s="1">
        <v>1</v>
      </c>
      <c r="B53" s="114" t="s">
        <v>71</v>
      </c>
      <c r="C53" s="115">
        <v>3665</v>
      </c>
      <c r="D53" s="116">
        <v>1.8904642757853862E-2</v>
      </c>
      <c r="E53" s="115">
        <v>3703</v>
      </c>
      <c r="F53" s="116">
        <f t="shared" ref="F53:L65" si="2">IFERROR(E53/C53-1,"-")</f>
        <v>1.0368349249658904E-2</v>
      </c>
      <c r="G53" s="115">
        <v>0</v>
      </c>
      <c r="H53" s="116">
        <f t="shared" si="2"/>
        <v>-1</v>
      </c>
      <c r="I53" s="115">
        <v>0</v>
      </c>
      <c r="J53" s="116" t="str">
        <f t="shared" si="2"/>
        <v>-</v>
      </c>
      <c r="K53" s="115">
        <v>4641</v>
      </c>
      <c r="L53" s="116" t="str">
        <f t="shared" si="2"/>
        <v>-</v>
      </c>
      <c r="M53" s="115">
        <v>4486</v>
      </c>
      <c r="N53" s="116">
        <v>-3.3397974574445155E-2</v>
      </c>
      <c r="O53" s="116">
        <v>0.22401091405184181</v>
      </c>
    </row>
    <row r="54" spans="1:16" x14ac:dyDescent="0.25">
      <c r="A54" s="1">
        <v>2</v>
      </c>
      <c r="B54" s="114" t="s">
        <v>73</v>
      </c>
      <c r="C54" s="115">
        <v>3809</v>
      </c>
      <c r="D54" s="116">
        <v>3.085250338294987E-2</v>
      </c>
      <c r="E54" s="115">
        <v>3601</v>
      </c>
      <c r="F54" s="116">
        <f t="shared" si="2"/>
        <v>-5.4607508532423243E-2</v>
      </c>
      <c r="G54" s="115">
        <v>0</v>
      </c>
      <c r="H54" s="116">
        <f t="shared" si="2"/>
        <v>-1</v>
      </c>
      <c r="I54" s="115">
        <v>0</v>
      </c>
      <c r="J54" s="116" t="str">
        <f t="shared" si="2"/>
        <v>-</v>
      </c>
      <c r="K54" s="115">
        <v>4493</v>
      </c>
      <c r="L54" s="116" t="str">
        <f t="shared" si="2"/>
        <v>-</v>
      </c>
      <c r="M54" s="115">
        <v>4023</v>
      </c>
      <c r="N54" s="116">
        <v>-0.10460716670376136</v>
      </c>
      <c r="O54" s="116">
        <v>5.618272512470468E-2</v>
      </c>
    </row>
    <row r="55" spans="1:16" x14ac:dyDescent="0.25">
      <c r="A55" s="1">
        <v>3</v>
      </c>
      <c r="B55" s="114" t="s">
        <v>75</v>
      </c>
      <c r="C55" s="115">
        <v>3736</v>
      </c>
      <c r="D55" s="116">
        <v>-5.5372945638432314E-2</v>
      </c>
      <c r="E55" s="115">
        <v>1389</v>
      </c>
      <c r="F55" s="116">
        <f t="shared" si="2"/>
        <v>-0.62821199143468953</v>
      </c>
      <c r="G55" s="115">
        <v>0</v>
      </c>
      <c r="H55" s="116">
        <f t="shared" si="2"/>
        <v>-1</v>
      </c>
      <c r="I55" s="115">
        <v>0</v>
      </c>
      <c r="J55" s="116" t="str">
        <f t="shared" si="2"/>
        <v>-</v>
      </c>
      <c r="K55" s="115">
        <v>4830</v>
      </c>
      <c r="L55" s="116" t="str">
        <f t="shared" si="2"/>
        <v>-</v>
      </c>
      <c r="M55" s="115">
        <v>4388</v>
      </c>
      <c r="N55" s="116">
        <v>-9.1511387163561109E-2</v>
      </c>
      <c r="O55" s="116">
        <v>0.17451820128479656</v>
      </c>
    </row>
    <row r="56" spans="1:16" x14ac:dyDescent="0.25">
      <c r="A56" s="1">
        <v>4</v>
      </c>
      <c r="B56" s="114" t="s">
        <v>77</v>
      </c>
      <c r="C56" s="115">
        <v>3146</v>
      </c>
      <c r="D56" s="116">
        <v>-8.9171974522292974E-2</v>
      </c>
      <c r="E56" s="115">
        <v>0</v>
      </c>
      <c r="F56" s="116">
        <f t="shared" si="2"/>
        <v>-1</v>
      </c>
      <c r="G56" s="115">
        <v>0</v>
      </c>
      <c r="H56" s="116" t="str">
        <f t="shared" si="2"/>
        <v>-</v>
      </c>
      <c r="I56" s="115">
        <v>3637</v>
      </c>
      <c r="J56" s="116" t="str">
        <f t="shared" si="2"/>
        <v>-</v>
      </c>
      <c r="K56" s="115">
        <v>4467</v>
      </c>
      <c r="L56" s="116">
        <f t="shared" si="2"/>
        <v>0.22821006323893323</v>
      </c>
      <c r="M56" s="115">
        <v>4407</v>
      </c>
      <c r="N56" s="116">
        <v>-1.3431833445265329E-2</v>
      </c>
      <c r="O56" s="116">
        <v>0.40082644628099184</v>
      </c>
    </row>
    <row r="57" spans="1:16" x14ac:dyDescent="0.25">
      <c r="A57" s="1">
        <v>5</v>
      </c>
      <c r="B57" s="114" t="s">
        <v>79</v>
      </c>
      <c r="C57" s="115">
        <v>3108</v>
      </c>
      <c r="D57" s="116">
        <v>5.9665871121718395E-2</v>
      </c>
      <c r="E57" s="115">
        <v>0</v>
      </c>
      <c r="F57" s="116">
        <f t="shared" si="2"/>
        <v>-1</v>
      </c>
      <c r="G57" s="115">
        <v>0</v>
      </c>
      <c r="H57" s="116" t="str">
        <f t="shared" si="2"/>
        <v>-</v>
      </c>
      <c r="I57" s="115">
        <v>3101</v>
      </c>
      <c r="J57" s="116" t="str">
        <f t="shared" si="2"/>
        <v>-</v>
      </c>
      <c r="K57" s="115">
        <v>4524</v>
      </c>
      <c r="L57" s="116">
        <f t="shared" si="2"/>
        <v>0.45888423089326014</v>
      </c>
      <c r="M57" s="115">
        <v>4496</v>
      </c>
      <c r="N57" s="116">
        <v>-6.1892130857648109E-3</v>
      </c>
      <c r="O57" s="116">
        <v>0.44658944658944666</v>
      </c>
    </row>
    <row r="58" spans="1:16" x14ac:dyDescent="0.25">
      <c r="A58" s="1">
        <v>6</v>
      </c>
      <c r="B58" s="114" t="s">
        <v>81</v>
      </c>
      <c r="C58" s="115">
        <v>3051</v>
      </c>
      <c r="D58" s="116">
        <v>0.17753763025858738</v>
      </c>
      <c r="E58" s="115">
        <v>0</v>
      </c>
      <c r="F58" s="116">
        <f t="shared" si="2"/>
        <v>-1</v>
      </c>
      <c r="G58" s="115">
        <v>0</v>
      </c>
      <c r="H58" s="116" t="str">
        <f t="shared" si="2"/>
        <v>-</v>
      </c>
      <c r="I58" s="115">
        <v>4107</v>
      </c>
      <c r="J58" s="116" t="str">
        <f t="shared" si="2"/>
        <v>-</v>
      </c>
      <c r="K58" s="115">
        <v>3719</v>
      </c>
      <c r="L58" s="116">
        <f t="shared" si="2"/>
        <v>-9.4472851229608024E-2</v>
      </c>
      <c r="M58" s="115">
        <v>3480</v>
      </c>
      <c r="N58" s="116">
        <v>-6.426458725463835E-2</v>
      </c>
      <c r="O58" s="116">
        <v>0.14060963618485744</v>
      </c>
    </row>
    <row r="59" spans="1:16" x14ac:dyDescent="0.25">
      <c r="A59" s="1">
        <v>7</v>
      </c>
      <c r="B59" s="114" t="s">
        <v>83</v>
      </c>
      <c r="C59" s="115">
        <v>3441</v>
      </c>
      <c r="D59" s="116">
        <v>0.10394610202117427</v>
      </c>
      <c r="E59" s="115">
        <v>0</v>
      </c>
      <c r="F59" s="116">
        <f t="shared" si="2"/>
        <v>-1</v>
      </c>
      <c r="G59" s="115">
        <v>0</v>
      </c>
      <c r="H59" s="116" t="str">
        <f t="shared" si="2"/>
        <v>-</v>
      </c>
      <c r="I59" s="115">
        <v>3890</v>
      </c>
      <c r="J59" s="116" t="str">
        <f t="shared" si="2"/>
        <v>-</v>
      </c>
      <c r="K59" s="115">
        <v>0</v>
      </c>
      <c r="L59" s="116">
        <f t="shared" si="2"/>
        <v>-1</v>
      </c>
      <c r="M59" s="115">
        <v>3932</v>
      </c>
      <c r="N59" s="116" t="s">
        <v>229</v>
      </c>
      <c r="O59" s="116">
        <v>0.14269107817494908</v>
      </c>
    </row>
    <row r="60" spans="1:16" x14ac:dyDescent="0.25">
      <c r="A60" s="1">
        <v>8</v>
      </c>
      <c r="B60" s="114" t="s">
        <v>85</v>
      </c>
      <c r="C60" s="115">
        <v>3268</v>
      </c>
      <c r="D60" s="116">
        <v>0.15804394046775339</v>
      </c>
      <c r="E60" s="115">
        <v>0</v>
      </c>
      <c r="F60" s="116">
        <f t="shared" si="2"/>
        <v>-1</v>
      </c>
      <c r="G60" s="115">
        <v>0</v>
      </c>
      <c r="H60" s="116" t="str">
        <f t="shared" si="2"/>
        <v>-</v>
      </c>
      <c r="I60" s="115">
        <v>3368</v>
      </c>
      <c r="J60" s="116" t="str">
        <f t="shared" si="2"/>
        <v>-</v>
      </c>
      <c r="K60" s="115">
        <v>0</v>
      </c>
      <c r="L60" s="116">
        <f t="shared" si="2"/>
        <v>-1</v>
      </c>
      <c r="M60" s="115">
        <v>2669</v>
      </c>
      <c r="N60" s="116" t="s">
        <v>229</v>
      </c>
      <c r="O60" s="116">
        <v>-0.18329253365973075</v>
      </c>
    </row>
    <row r="61" spans="1:16" x14ac:dyDescent="0.25">
      <c r="A61" s="1">
        <v>9</v>
      </c>
      <c r="B61" s="114" t="s">
        <v>87</v>
      </c>
      <c r="C61" s="115">
        <v>2711</v>
      </c>
      <c r="D61" s="116">
        <v>0.2384650525354044</v>
      </c>
      <c r="E61" s="115">
        <v>0</v>
      </c>
      <c r="F61" s="116">
        <f t="shared" si="2"/>
        <v>-1</v>
      </c>
      <c r="G61" s="115">
        <v>0</v>
      </c>
      <c r="H61" s="116" t="str">
        <f t="shared" si="2"/>
        <v>-</v>
      </c>
      <c r="I61" s="115">
        <v>4017</v>
      </c>
      <c r="J61" s="116" t="str">
        <f t="shared" si="2"/>
        <v>-</v>
      </c>
      <c r="K61" s="115">
        <v>4039</v>
      </c>
      <c r="L61" s="116">
        <f t="shared" si="2"/>
        <v>5.4767239233257659E-3</v>
      </c>
      <c r="M61" s="115">
        <v>4491</v>
      </c>
      <c r="N61" s="116">
        <v>0.11190888833869761</v>
      </c>
      <c r="O61" s="116">
        <v>0.65658428624123943</v>
      </c>
    </row>
    <row r="62" spans="1:16" x14ac:dyDescent="0.25">
      <c r="A62" s="1">
        <v>10</v>
      </c>
      <c r="B62" s="114" t="s">
        <v>89</v>
      </c>
      <c r="C62" s="115">
        <v>3774</v>
      </c>
      <c r="D62" s="116">
        <v>0.14606741573033699</v>
      </c>
      <c r="E62" s="115">
        <v>0</v>
      </c>
      <c r="F62" s="116">
        <f t="shared" si="2"/>
        <v>-1</v>
      </c>
      <c r="G62" s="115">
        <v>0</v>
      </c>
      <c r="H62" s="116" t="str">
        <f t="shared" si="2"/>
        <v>-</v>
      </c>
      <c r="I62" s="115">
        <v>3524</v>
      </c>
      <c r="J62" s="116" t="str">
        <f t="shared" si="2"/>
        <v>-</v>
      </c>
      <c r="K62" s="115">
        <v>3716</v>
      </c>
      <c r="L62" s="116">
        <f t="shared" si="2"/>
        <v>5.4483541430192961E-2</v>
      </c>
      <c r="M62" s="115"/>
      <c r="N62" s="116" t="s">
        <v>229</v>
      </c>
      <c r="O62" s="116" t="s">
        <v>229</v>
      </c>
    </row>
    <row r="63" spans="1:16" x14ac:dyDescent="0.25">
      <c r="A63" s="1">
        <v>11</v>
      </c>
      <c r="B63" s="114" t="s">
        <v>91</v>
      </c>
      <c r="C63" s="115">
        <v>4578</v>
      </c>
      <c r="D63" s="116">
        <v>0.1610448896779102</v>
      </c>
      <c r="E63" s="115">
        <v>0</v>
      </c>
      <c r="F63" s="116">
        <f t="shared" si="2"/>
        <v>-1</v>
      </c>
      <c r="G63" s="115">
        <v>0</v>
      </c>
      <c r="H63" s="116" t="str">
        <f t="shared" si="2"/>
        <v>-</v>
      </c>
      <c r="I63" s="115">
        <v>4148</v>
      </c>
      <c r="J63" s="116" t="str">
        <f t="shared" si="2"/>
        <v>-</v>
      </c>
      <c r="K63" s="115">
        <v>4138</v>
      </c>
      <c r="L63" s="116">
        <f t="shared" si="2"/>
        <v>-2.4108003857280513E-3</v>
      </c>
      <c r="M63" s="115"/>
      <c r="N63" s="116" t="s">
        <v>229</v>
      </c>
      <c r="O63" s="116" t="s">
        <v>229</v>
      </c>
    </row>
    <row r="64" spans="1:16" x14ac:dyDescent="0.25">
      <c r="A64" s="1">
        <v>12</v>
      </c>
      <c r="B64" s="114" t="s">
        <v>93</v>
      </c>
      <c r="C64" s="115">
        <v>4201</v>
      </c>
      <c r="D64" s="116">
        <v>0.11521104327050713</v>
      </c>
      <c r="E64" s="115">
        <v>0</v>
      </c>
      <c r="F64" s="116">
        <f t="shared" si="2"/>
        <v>-1</v>
      </c>
      <c r="G64" s="115">
        <v>0</v>
      </c>
      <c r="H64" s="116" t="str">
        <f t="shared" si="2"/>
        <v>-</v>
      </c>
      <c r="I64" s="115">
        <v>4483</v>
      </c>
      <c r="J64" s="116" t="str">
        <f t="shared" si="2"/>
        <v>-</v>
      </c>
      <c r="K64" s="115">
        <v>3751</v>
      </c>
      <c r="L64" s="116">
        <f t="shared" si="2"/>
        <v>-0.16328351550301134</v>
      </c>
      <c r="M64" s="115"/>
      <c r="N64" s="116" t="s">
        <v>229</v>
      </c>
      <c r="O64" s="116" t="s">
        <v>229</v>
      </c>
    </row>
    <row r="65" spans="1:16" ht="15.75" x14ac:dyDescent="0.25">
      <c r="B65" s="117" t="s">
        <v>30</v>
      </c>
      <c r="C65" s="118">
        <v>42488</v>
      </c>
      <c r="D65" s="119">
        <v>7.9581258257953147E-2</v>
      </c>
      <c r="E65" s="118">
        <v>0</v>
      </c>
      <c r="F65" s="119">
        <f t="shared" si="2"/>
        <v>-1</v>
      </c>
      <c r="G65" s="118">
        <v>0</v>
      </c>
      <c r="H65" s="119" t="str">
        <f t="shared" si="2"/>
        <v>-</v>
      </c>
      <c r="I65" s="118">
        <v>46354</v>
      </c>
      <c r="J65" s="119" t="str">
        <f t="shared" si="2"/>
        <v>-</v>
      </c>
      <c r="K65" s="118">
        <v>50550</v>
      </c>
      <c r="L65" s="119">
        <f t="shared" si="2"/>
        <v>9.0520774906156953E-2</v>
      </c>
      <c r="M65" s="118">
        <v>36372</v>
      </c>
      <c r="N65" s="119">
        <v>0.18425422459544816</v>
      </c>
      <c r="O65" s="119">
        <v>0.21503257056956748</v>
      </c>
    </row>
    <row r="66" spans="1:16" ht="6" customHeight="1" x14ac:dyDescent="0.25"/>
    <row r="67" spans="1:16" x14ac:dyDescent="0.25">
      <c r="B67" s="105" t="s">
        <v>55</v>
      </c>
      <c r="C67" s="105"/>
      <c r="D67" s="105"/>
      <c r="E67" s="105"/>
      <c r="F67" s="105"/>
      <c r="G67" s="105"/>
      <c r="H67" s="105"/>
      <c r="I67" s="105"/>
      <c r="J67" s="105"/>
      <c r="K67" s="105"/>
      <c r="L67" s="105"/>
      <c r="M67" s="105"/>
      <c r="N67" s="105"/>
      <c r="O67" s="105"/>
    </row>
    <row r="70" spans="1:16" ht="48.75" customHeight="1" thickBot="1" x14ac:dyDescent="0.3">
      <c r="B70" s="270" t="s">
        <v>253</v>
      </c>
      <c r="C70" s="270"/>
      <c r="D70" s="270"/>
      <c r="E70" s="270"/>
      <c r="F70" s="270"/>
      <c r="G70" s="270"/>
      <c r="H70" s="270"/>
      <c r="I70" s="270"/>
      <c r="J70" s="270"/>
      <c r="K70" s="270"/>
      <c r="L70" s="270"/>
      <c r="M70" s="270"/>
      <c r="N70" s="270"/>
      <c r="O70" s="270"/>
      <c r="P70" s="1" t="s">
        <v>101</v>
      </c>
    </row>
    <row r="71" spans="1:16" ht="10.5" customHeight="1" thickBot="1" x14ac:dyDescent="0.3">
      <c r="B71" s="106"/>
      <c r="C71" s="107"/>
      <c r="D71" s="106"/>
      <c r="E71" s="106"/>
      <c r="F71" s="106"/>
      <c r="G71" s="106"/>
      <c r="H71" s="106"/>
      <c r="I71" s="106"/>
      <c r="J71" s="106"/>
      <c r="K71" s="106"/>
      <c r="L71" s="106"/>
      <c r="M71" s="4"/>
      <c r="N71" s="4"/>
      <c r="P71" s="1" t="s">
        <v>102</v>
      </c>
    </row>
    <row r="72" spans="1:16" ht="22.5" thickTop="1" thickBot="1" x14ac:dyDescent="0.3">
      <c r="B72" s="109"/>
      <c r="C72" s="292" t="s">
        <v>62</v>
      </c>
      <c r="D72" s="293"/>
      <c r="E72" s="293"/>
      <c r="F72" s="293"/>
      <c r="G72" s="293"/>
      <c r="H72" s="293"/>
      <c r="I72" s="293"/>
      <c r="J72" s="293"/>
      <c r="K72" s="293"/>
      <c r="L72" s="293"/>
      <c r="M72" s="293"/>
      <c r="N72" s="293"/>
      <c r="O72" s="294"/>
    </row>
    <row r="73" spans="1:16" ht="22.5" thickTop="1" thickBot="1" x14ac:dyDescent="0.3">
      <c r="B73" s="109"/>
      <c r="C73" s="295">
        <f>2019</f>
        <v>2019</v>
      </c>
      <c r="D73" s="296"/>
      <c r="E73" s="297">
        <v>2020</v>
      </c>
      <c r="F73" s="296"/>
      <c r="G73" s="297">
        <v>2021</v>
      </c>
      <c r="H73" s="296"/>
      <c r="I73" s="297">
        <v>2022</v>
      </c>
      <c r="J73" s="296"/>
      <c r="K73" s="297">
        <v>2023</v>
      </c>
      <c r="L73" s="296"/>
      <c r="M73" s="297">
        <v>2024</v>
      </c>
      <c r="N73" s="298"/>
      <c r="O73" s="299"/>
    </row>
    <row r="74" spans="1:16" ht="16.5" thickTop="1" thickBot="1" x14ac:dyDescent="0.3">
      <c r="B74" s="85"/>
      <c r="C74" s="111" t="s">
        <v>69</v>
      </c>
      <c r="D74" s="112" t="str">
        <f>CONCATENATE("var ",RIGHT(2019,2),"/",RIGHT(2018,2))</f>
        <v>var 19/18</v>
      </c>
      <c r="E74" s="113" t="s">
        <v>69</v>
      </c>
      <c r="F74" s="112" t="str">
        <f>CONCATENATE("var ",RIGHT(E73,2),"/",RIGHT(E73-1,2))</f>
        <v>var 20/19</v>
      </c>
      <c r="G74" s="113" t="s">
        <v>69</v>
      </c>
      <c r="H74" s="112" t="str">
        <f>CONCATENATE("var ",RIGHT(G73,2),"/",RIGHT(G73-1,2))</f>
        <v>var 21/20</v>
      </c>
      <c r="I74" s="113" t="s">
        <v>69</v>
      </c>
      <c r="J74" s="112" t="str">
        <f>CONCATENATE("var ",RIGHT(I73,2),"/",RIGHT(I73-1,2))</f>
        <v>var 22/21</v>
      </c>
      <c r="K74" s="113" t="s">
        <v>69</v>
      </c>
      <c r="L74" s="112" t="str">
        <f>CONCATENATE("var ",RIGHT(K73,2),"/",RIGHT(K73-1,2))</f>
        <v>var 23/22</v>
      </c>
      <c r="M74" s="113" t="s">
        <v>69</v>
      </c>
      <c r="N74" s="112" t="s">
        <v>273</v>
      </c>
      <c r="O74" s="112" t="s">
        <v>274</v>
      </c>
    </row>
    <row r="75" spans="1:16" x14ac:dyDescent="0.25">
      <c r="A75" s="1">
        <v>1</v>
      </c>
      <c r="B75" s="114" t="s">
        <v>71</v>
      </c>
      <c r="C75" s="115">
        <v>1051</v>
      </c>
      <c r="D75" s="116">
        <v>-0.15920000000000001</v>
      </c>
      <c r="E75" s="115">
        <v>1494</v>
      </c>
      <c r="F75" s="116">
        <f t="shared" ref="F75:L87" si="3">IFERROR(E75/C75-1,"-")</f>
        <v>0.42150333016175079</v>
      </c>
      <c r="G75" s="115">
        <v>0</v>
      </c>
      <c r="H75" s="116">
        <f t="shared" si="3"/>
        <v>-1</v>
      </c>
      <c r="I75" s="115">
        <v>0</v>
      </c>
      <c r="J75" s="116" t="str">
        <f t="shared" si="3"/>
        <v>-</v>
      </c>
      <c r="K75" s="115">
        <v>749</v>
      </c>
      <c r="L75" s="116" t="str">
        <f t="shared" si="3"/>
        <v>-</v>
      </c>
      <c r="M75" s="115">
        <v>731</v>
      </c>
      <c r="N75" s="116">
        <v>-2.4032042723631464E-2</v>
      </c>
      <c r="O75" s="116">
        <v>-0.30447193149381546</v>
      </c>
    </row>
    <row r="76" spans="1:16" x14ac:dyDescent="0.25">
      <c r="A76" s="1">
        <v>2</v>
      </c>
      <c r="B76" s="114" t="s">
        <v>73</v>
      </c>
      <c r="C76" s="115">
        <v>1126</v>
      </c>
      <c r="D76" s="116">
        <v>-5.2985702270815782E-2</v>
      </c>
      <c r="E76" s="115">
        <v>1758</v>
      </c>
      <c r="F76" s="116">
        <f t="shared" si="3"/>
        <v>0.56127886323268217</v>
      </c>
      <c r="G76" s="115">
        <v>0</v>
      </c>
      <c r="H76" s="116">
        <f t="shared" si="3"/>
        <v>-1</v>
      </c>
      <c r="I76" s="115">
        <v>0</v>
      </c>
      <c r="J76" s="116" t="str">
        <f t="shared" si="3"/>
        <v>-</v>
      </c>
      <c r="K76" s="115">
        <v>777</v>
      </c>
      <c r="L76" s="116" t="str">
        <f t="shared" si="3"/>
        <v>-</v>
      </c>
      <c r="M76" s="115">
        <v>780</v>
      </c>
      <c r="N76" s="116">
        <v>3.8610038610038533E-3</v>
      </c>
      <c r="O76" s="116">
        <v>-0.30728241563055059</v>
      </c>
    </row>
    <row r="77" spans="1:16" x14ac:dyDescent="0.25">
      <c r="A77" s="1">
        <v>3</v>
      </c>
      <c r="B77" s="114" t="s">
        <v>75</v>
      </c>
      <c r="C77" s="115">
        <v>1412</v>
      </c>
      <c r="D77" s="116">
        <v>0.1332263242375602</v>
      </c>
      <c r="E77" s="115">
        <v>809</v>
      </c>
      <c r="F77" s="116">
        <f t="shared" si="3"/>
        <v>-0.42705382436260619</v>
      </c>
      <c r="G77" s="115">
        <v>0</v>
      </c>
      <c r="H77" s="116">
        <f t="shared" si="3"/>
        <v>-1</v>
      </c>
      <c r="I77" s="115">
        <v>0</v>
      </c>
      <c r="J77" s="116" t="str">
        <f t="shared" si="3"/>
        <v>-</v>
      </c>
      <c r="K77" s="115">
        <v>829</v>
      </c>
      <c r="L77" s="116" t="str">
        <f t="shared" si="3"/>
        <v>-</v>
      </c>
      <c r="M77" s="115">
        <v>780</v>
      </c>
      <c r="N77" s="116">
        <v>-5.9107358262967424E-2</v>
      </c>
      <c r="O77" s="116">
        <v>-0.44759206798866857</v>
      </c>
    </row>
    <row r="78" spans="1:16" x14ac:dyDescent="0.25">
      <c r="A78" s="1">
        <v>4</v>
      </c>
      <c r="B78" s="114" t="s">
        <v>77</v>
      </c>
      <c r="C78" s="115">
        <v>1048</v>
      </c>
      <c r="D78" s="116">
        <v>-0.21498127340823969</v>
      </c>
      <c r="E78" s="115">
        <v>0</v>
      </c>
      <c r="F78" s="116">
        <f t="shared" si="3"/>
        <v>-1</v>
      </c>
      <c r="G78" s="115">
        <v>0</v>
      </c>
      <c r="H78" s="116" t="str">
        <f t="shared" si="3"/>
        <v>-</v>
      </c>
      <c r="I78" s="115">
        <v>438</v>
      </c>
      <c r="J78" s="116" t="str">
        <f t="shared" si="3"/>
        <v>-</v>
      </c>
      <c r="K78" s="115">
        <v>703</v>
      </c>
      <c r="L78" s="116">
        <f t="shared" si="3"/>
        <v>0.60502283105022836</v>
      </c>
      <c r="M78" s="115">
        <v>647</v>
      </c>
      <c r="N78" s="116">
        <v>-7.9658605974395447E-2</v>
      </c>
      <c r="O78" s="116">
        <v>-0.38263358778625955</v>
      </c>
    </row>
    <row r="79" spans="1:16" x14ac:dyDescent="0.25">
      <c r="A79" s="1">
        <v>5</v>
      </c>
      <c r="B79" s="114" t="s">
        <v>79</v>
      </c>
      <c r="C79" s="115">
        <v>957</v>
      </c>
      <c r="D79" s="116">
        <v>-0.17783505154639179</v>
      </c>
      <c r="E79" s="115">
        <v>0</v>
      </c>
      <c r="F79" s="116">
        <f t="shared" si="3"/>
        <v>-1</v>
      </c>
      <c r="G79" s="115">
        <v>0</v>
      </c>
      <c r="H79" s="116" t="str">
        <f t="shared" si="3"/>
        <v>-</v>
      </c>
      <c r="I79" s="115">
        <v>531</v>
      </c>
      <c r="J79" s="116" t="str">
        <f t="shared" si="3"/>
        <v>-</v>
      </c>
      <c r="K79" s="115">
        <v>489</v>
      </c>
      <c r="L79" s="116">
        <f t="shared" si="3"/>
        <v>-7.9096045197740161E-2</v>
      </c>
      <c r="M79" s="115">
        <v>496</v>
      </c>
      <c r="N79" s="116">
        <v>1.4314928425357865E-2</v>
      </c>
      <c r="O79" s="116">
        <v>-0.48171368861024033</v>
      </c>
    </row>
    <row r="80" spans="1:16" x14ac:dyDescent="0.25">
      <c r="A80" s="1">
        <v>6</v>
      </c>
      <c r="B80" s="114" t="s">
        <v>81</v>
      </c>
      <c r="C80" s="115">
        <v>869</v>
      </c>
      <c r="D80" s="116">
        <v>-0.40560875512995898</v>
      </c>
      <c r="E80" s="115">
        <v>0</v>
      </c>
      <c r="F80" s="116">
        <f t="shared" si="3"/>
        <v>-1</v>
      </c>
      <c r="G80" s="115">
        <v>0</v>
      </c>
      <c r="H80" s="116" t="str">
        <f t="shared" si="3"/>
        <v>-</v>
      </c>
      <c r="I80" s="115">
        <v>413</v>
      </c>
      <c r="J80" s="116" t="str">
        <f t="shared" si="3"/>
        <v>-</v>
      </c>
      <c r="K80" s="115">
        <v>462</v>
      </c>
      <c r="L80" s="116">
        <f t="shared" si="3"/>
        <v>0.11864406779661008</v>
      </c>
      <c r="M80" s="115">
        <v>484</v>
      </c>
      <c r="N80" s="116">
        <v>4.7619047619047672E-2</v>
      </c>
      <c r="O80" s="116">
        <v>-0.44303797468354433</v>
      </c>
    </row>
    <row r="81" spans="1:16" x14ac:dyDescent="0.25">
      <c r="A81" s="1">
        <v>7</v>
      </c>
      <c r="B81" s="114" t="s">
        <v>83</v>
      </c>
      <c r="C81" s="115">
        <v>946</v>
      </c>
      <c r="D81" s="116">
        <v>-8.1553398058252458E-2</v>
      </c>
      <c r="E81" s="115">
        <v>0</v>
      </c>
      <c r="F81" s="116">
        <f t="shared" si="3"/>
        <v>-1</v>
      </c>
      <c r="G81" s="115">
        <v>0</v>
      </c>
      <c r="H81" s="116" t="str">
        <f t="shared" si="3"/>
        <v>-</v>
      </c>
      <c r="I81" s="115">
        <v>385</v>
      </c>
      <c r="J81" s="116" t="str">
        <f t="shared" si="3"/>
        <v>-</v>
      </c>
      <c r="K81" s="115">
        <v>0</v>
      </c>
      <c r="L81" s="116">
        <f t="shared" si="3"/>
        <v>-1</v>
      </c>
      <c r="M81" s="115">
        <v>661</v>
      </c>
      <c r="N81" s="116" t="s">
        <v>229</v>
      </c>
      <c r="O81" s="116">
        <v>-0.30126849894291752</v>
      </c>
    </row>
    <row r="82" spans="1:16" x14ac:dyDescent="0.25">
      <c r="A82" s="1">
        <v>8</v>
      </c>
      <c r="B82" s="114" t="s">
        <v>85</v>
      </c>
      <c r="C82" s="115">
        <v>955</v>
      </c>
      <c r="D82" s="116">
        <v>0.53784219001610301</v>
      </c>
      <c r="E82" s="115">
        <v>0</v>
      </c>
      <c r="F82" s="116">
        <f t="shared" si="3"/>
        <v>-1</v>
      </c>
      <c r="G82" s="115">
        <v>0</v>
      </c>
      <c r="H82" s="116" t="str">
        <f t="shared" si="3"/>
        <v>-</v>
      </c>
      <c r="I82" s="115">
        <v>564</v>
      </c>
      <c r="J82" s="116" t="str">
        <f t="shared" si="3"/>
        <v>-</v>
      </c>
      <c r="K82" s="115">
        <v>0</v>
      </c>
      <c r="L82" s="116">
        <f t="shared" si="3"/>
        <v>-1</v>
      </c>
      <c r="M82" s="115">
        <v>230</v>
      </c>
      <c r="N82" s="116" t="s">
        <v>229</v>
      </c>
      <c r="O82" s="116">
        <v>-0.75916230366492143</v>
      </c>
    </row>
    <row r="83" spans="1:16" x14ac:dyDescent="0.25">
      <c r="A83" s="1">
        <v>9</v>
      </c>
      <c r="B83" s="114" t="s">
        <v>87</v>
      </c>
      <c r="C83" s="115">
        <v>1124</v>
      </c>
      <c r="D83" s="116">
        <v>0.14111675126903545</v>
      </c>
      <c r="E83" s="115">
        <v>0</v>
      </c>
      <c r="F83" s="116">
        <f t="shared" si="3"/>
        <v>-1</v>
      </c>
      <c r="G83" s="115">
        <v>0</v>
      </c>
      <c r="H83" s="116" t="str">
        <f t="shared" si="3"/>
        <v>-</v>
      </c>
      <c r="I83" s="115">
        <v>561</v>
      </c>
      <c r="J83" s="116" t="str">
        <f t="shared" si="3"/>
        <v>-</v>
      </c>
      <c r="K83" s="115">
        <v>482</v>
      </c>
      <c r="L83" s="116">
        <f t="shared" si="3"/>
        <v>-0.14081996434937616</v>
      </c>
      <c r="M83" s="115">
        <v>596</v>
      </c>
      <c r="N83" s="116">
        <v>0.23651452282157681</v>
      </c>
      <c r="O83" s="116">
        <v>-0.46975088967971534</v>
      </c>
    </row>
    <row r="84" spans="1:16" x14ac:dyDescent="0.25">
      <c r="A84" s="1">
        <v>10</v>
      </c>
      <c r="B84" s="114" t="s">
        <v>89</v>
      </c>
      <c r="C84" s="115">
        <v>903</v>
      </c>
      <c r="D84" s="116">
        <v>-0.32762472077438576</v>
      </c>
      <c r="E84" s="115">
        <v>0</v>
      </c>
      <c r="F84" s="116">
        <f t="shared" si="3"/>
        <v>-1</v>
      </c>
      <c r="G84" s="115">
        <v>0</v>
      </c>
      <c r="H84" s="116" t="str">
        <f t="shared" si="3"/>
        <v>-</v>
      </c>
      <c r="I84" s="115">
        <v>501</v>
      </c>
      <c r="J84" s="116" t="str">
        <f t="shared" si="3"/>
        <v>-</v>
      </c>
      <c r="K84" s="115">
        <v>703</v>
      </c>
      <c r="L84" s="116">
        <f t="shared" si="3"/>
        <v>0.40319361277445109</v>
      </c>
      <c r="M84" s="115"/>
      <c r="N84" s="116" t="s">
        <v>229</v>
      </c>
      <c r="O84" s="116" t="s">
        <v>229</v>
      </c>
    </row>
    <row r="85" spans="1:16" x14ac:dyDescent="0.25">
      <c r="A85" s="1">
        <v>11</v>
      </c>
      <c r="B85" s="114" t="s">
        <v>91</v>
      </c>
      <c r="C85" s="115">
        <v>1442</v>
      </c>
      <c r="D85" s="116">
        <v>3.8904899135446591E-2</v>
      </c>
      <c r="E85" s="115">
        <v>0</v>
      </c>
      <c r="F85" s="116">
        <f t="shared" si="3"/>
        <v>-1</v>
      </c>
      <c r="G85" s="115">
        <v>0</v>
      </c>
      <c r="H85" s="116" t="str">
        <f t="shared" si="3"/>
        <v>-</v>
      </c>
      <c r="I85" s="115">
        <v>690</v>
      </c>
      <c r="J85" s="116" t="str">
        <f t="shared" si="3"/>
        <v>-</v>
      </c>
      <c r="K85" s="115">
        <v>826</v>
      </c>
      <c r="L85" s="116">
        <f t="shared" si="3"/>
        <v>0.19710144927536222</v>
      </c>
      <c r="M85" s="115"/>
      <c r="N85" s="116" t="s">
        <v>229</v>
      </c>
      <c r="O85" s="116" t="s">
        <v>229</v>
      </c>
    </row>
    <row r="86" spans="1:16" x14ac:dyDescent="0.25">
      <c r="A86" s="1">
        <v>12</v>
      </c>
      <c r="B86" s="114" t="s">
        <v>93</v>
      </c>
      <c r="C86" s="115">
        <v>1566</v>
      </c>
      <c r="D86" s="116">
        <v>-3.153988868274582E-2</v>
      </c>
      <c r="E86" s="115">
        <v>0</v>
      </c>
      <c r="F86" s="116">
        <f t="shared" si="3"/>
        <v>-1</v>
      </c>
      <c r="G86" s="115">
        <v>0</v>
      </c>
      <c r="H86" s="116" t="str">
        <f t="shared" si="3"/>
        <v>-</v>
      </c>
      <c r="I86" s="115">
        <v>683</v>
      </c>
      <c r="J86" s="116" t="str">
        <f t="shared" si="3"/>
        <v>-</v>
      </c>
      <c r="K86" s="115">
        <v>834</v>
      </c>
      <c r="L86" s="116">
        <f t="shared" si="3"/>
        <v>0.22108345534407037</v>
      </c>
      <c r="M86" s="115"/>
      <c r="N86" s="116" t="s">
        <v>229</v>
      </c>
      <c r="O86" s="116" t="s">
        <v>229</v>
      </c>
    </row>
    <row r="87" spans="1:16" ht="15.75" x14ac:dyDescent="0.25">
      <c r="B87" s="117" t="s">
        <v>30</v>
      </c>
      <c r="C87" s="118">
        <v>13399</v>
      </c>
      <c r="D87" s="119">
        <v>-8.4142173615857851E-2</v>
      </c>
      <c r="E87" s="118">
        <v>0</v>
      </c>
      <c r="F87" s="119">
        <f t="shared" si="3"/>
        <v>-1</v>
      </c>
      <c r="G87" s="118">
        <v>0</v>
      </c>
      <c r="H87" s="119" t="str">
        <f t="shared" si="3"/>
        <v>-</v>
      </c>
      <c r="I87" s="118">
        <v>5131</v>
      </c>
      <c r="J87" s="119" t="str">
        <f t="shared" si="3"/>
        <v>-</v>
      </c>
      <c r="K87" s="118">
        <v>7607</v>
      </c>
      <c r="L87" s="119">
        <f t="shared" si="3"/>
        <v>0.48255700643149479</v>
      </c>
      <c r="M87" s="118">
        <v>5405</v>
      </c>
      <c r="N87" s="119">
        <v>0.20351814740592289</v>
      </c>
      <c r="O87" s="119">
        <v>-0.43033305227655982</v>
      </c>
    </row>
    <row r="88" spans="1:16" ht="6" customHeight="1" x14ac:dyDescent="0.25"/>
    <row r="89" spans="1:16" x14ac:dyDescent="0.25">
      <c r="B89" s="105" t="s">
        <v>55</v>
      </c>
      <c r="C89" s="105"/>
      <c r="D89" s="105"/>
      <c r="E89" s="105"/>
      <c r="F89" s="105"/>
      <c r="G89" s="105"/>
      <c r="H89" s="105"/>
      <c r="I89" s="105"/>
      <c r="J89" s="105"/>
      <c r="K89" s="105"/>
      <c r="L89" s="105"/>
      <c r="M89" s="105"/>
      <c r="N89" s="105"/>
      <c r="O89" s="105"/>
    </row>
    <row r="92" spans="1:16" ht="48.75" customHeight="1" thickBot="1" x14ac:dyDescent="0.3">
      <c r="B92" s="270" t="s">
        <v>254</v>
      </c>
      <c r="C92" s="270"/>
      <c r="D92" s="270"/>
      <c r="E92" s="270"/>
      <c r="F92" s="270"/>
      <c r="G92" s="270"/>
      <c r="H92" s="270"/>
      <c r="I92" s="270"/>
      <c r="J92" s="270"/>
      <c r="K92" s="270"/>
      <c r="L92" s="270"/>
      <c r="M92" s="270"/>
      <c r="N92" s="270"/>
      <c r="O92" s="270"/>
      <c r="P92" s="1" t="s">
        <v>114</v>
      </c>
    </row>
    <row r="93" spans="1:16" ht="10.5" customHeight="1" thickBot="1" x14ac:dyDescent="0.3">
      <c r="B93" s="106"/>
      <c r="C93" s="107"/>
      <c r="D93" s="106"/>
      <c r="E93" s="106"/>
      <c r="F93" s="106"/>
      <c r="G93" s="106"/>
      <c r="H93" s="106"/>
      <c r="I93" s="106"/>
      <c r="J93" s="106"/>
      <c r="K93" s="106"/>
      <c r="L93" s="106"/>
      <c r="M93" s="4"/>
      <c r="N93" s="4"/>
      <c r="P93" s="1" t="s">
        <v>115</v>
      </c>
    </row>
    <row r="94" spans="1:16" ht="22.5" thickTop="1" thickBot="1" x14ac:dyDescent="0.3">
      <c r="B94" s="121" t="s">
        <v>96</v>
      </c>
      <c r="C94" s="292" t="s">
        <v>32</v>
      </c>
      <c r="D94" s="293"/>
      <c r="E94" s="293"/>
      <c r="F94" s="293"/>
      <c r="G94" s="293"/>
      <c r="H94" s="293"/>
      <c r="I94" s="293"/>
      <c r="J94" s="293"/>
      <c r="K94" s="293"/>
      <c r="L94" s="293"/>
      <c r="M94" s="293"/>
      <c r="N94" s="293"/>
      <c r="O94" s="294"/>
    </row>
    <row r="95" spans="1:16" ht="22.5" thickTop="1" thickBot="1" x14ac:dyDescent="0.3">
      <c r="B95" s="109"/>
      <c r="C95" s="295">
        <f>2019</f>
        <v>2019</v>
      </c>
      <c r="D95" s="296"/>
      <c r="E95" s="297">
        <v>2020</v>
      </c>
      <c r="F95" s="296"/>
      <c r="G95" s="297">
        <v>2021</v>
      </c>
      <c r="H95" s="296"/>
      <c r="I95" s="297">
        <v>2022</v>
      </c>
      <c r="J95" s="296"/>
      <c r="K95" s="297">
        <v>2023</v>
      </c>
      <c r="L95" s="296"/>
      <c r="M95" s="297">
        <v>2024</v>
      </c>
      <c r="N95" s="298"/>
      <c r="O95" s="299"/>
    </row>
    <row r="96" spans="1:16" ht="16.5" thickTop="1" thickBot="1" x14ac:dyDescent="0.3">
      <c r="B96" s="85"/>
      <c r="C96" s="111" t="s">
        <v>69</v>
      </c>
      <c r="D96" s="112" t="str">
        <f>CONCATENATE("var ",RIGHT(2019,2),"/",RIGHT(2018,2))</f>
        <v>var 19/18</v>
      </c>
      <c r="E96" s="113" t="s">
        <v>69</v>
      </c>
      <c r="F96" s="112" t="str">
        <f>CONCATENATE("var ",RIGHT(E95,2),"/",RIGHT(E95-1,2))</f>
        <v>var 20/19</v>
      </c>
      <c r="G96" s="113" t="s">
        <v>69</v>
      </c>
      <c r="H96" s="112" t="str">
        <f>CONCATENATE("var ",RIGHT(G95,2),"/",RIGHT(G95-1,2))</f>
        <v>var 21/20</v>
      </c>
      <c r="I96" s="113" t="s">
        <v>69</v>
      </c>
      <c r="J96" s="112" t="str">
        <f>CONCATENATE("var ",RIGHT(I95,2),"/",RIGHT(I95-1,2))</f>
        <v>var 22/21</v>
      </c>
      <c r="K96" s="113" t="s">
        <v>69</v>
      </c>
      <c r="L96" s="112" t="str">
        <f>CONCATENATE("var ",RIGHT(K95,2),"/",RIGHT(K95-1,2))</f>
        <v>var 23/22</v>
      </c>
      <c r="M96" s="113" t="s">
        <v>69</v>
      </c>
      <c r="N96" s="112" t="s">
        <v>273</v>
      </c>
      <c r="O96" s="112" t="s">
        <v>274</v>
      </c>
    </row>
    <row r="97" spans="2:15" x14ac:dyDescent="0.25">
      <c r="B97" s="114" t="s">
        <v>71</v>
      </c>
      <c r="C97" s="115" t="s">
        <v>229</v>
      </c>
      <c r="D97" s="116" t="s">
        <v>229</v>
      </c>
      <c r="E97" s="115" t="s">
        <v>229</v>
      </c>
      <c r="F97" s="116" t="str">
        <f t="shared" ref="F97:L109" si="4">IFERROR(E97/C97-1,"-")</f>
        <v>-</v>
      </c>
      <c r="G97" s="115" t="s">
        <v>229</v>
      </c>
      <c r="H97" s="116" t="str">
        <f t="shared" si="4"/>
        <v>-</v>
      </c>
      <c r="I97" s="115" t="s">
        <v>229</v>
      </c>
      <c r="J97" s="116" t="str">
        <f t="shared" si="4"/>
        <v>-</v>
      </c>
      <c r="K97" s="115" t="s">
        <v>229</v>
      </c>
      <c r="L97" s="116" t="str">
        <f t="shared" si="4"/>
        <v>-</v>
      </c>
      <c r="M97" s="115"/>
      <c r="N97" s="116" t="s">
        <v>229</v>
      </c>
      <c r="O97" s="116" t="e">
        <v>#VALUE!</v>
      </c>
    </row>
    <row r="98" spans="2:15" x14ac:dyDescent="0.25">
      <c r="B98" s="114" t="s">
        <v>73</v>
      </c>
      <c r="C98" s="115" t="s">
        <v>229</v>
      </c>
      <c r="D98" s="116" t="s">
        <v>229</v>
      </c>
      <c r="E98" s="115" t="s">
        <v>229</v>
      </c>
      <c r="F98" s="116" t="str">
        <f t="shared" si="4"/>
        <v>-</v>
      </c>
      <c r="G98" s="115" t="s">
        <v>229</v>
      </c>
      <c r="H98" s="116" t="str">
        <f t="shared" si="4"/>
        <v>-</v>
      </c>
      <c r="I98" s="115" t="s">
        <v>229</v>
      </c>
      <c r="J98" s="116" t="str">
        <f t="shared" si="4"/>
        <v>-</v>
      </c>
      <c r="K98" s="115" t="s">
        <v>229</v>
      </c>
      <c r="L98" s="116" t="str">
        <f t="shared" si="4"/>
        <v>-</v>
      </c>
      <c r="M98" s="115"/>
      <c r="N98" s="116" t="s">
        <v>229</v>
      </c>
      <c r="O98" s="116" t="s">
        <v>229</v>
      </c>
    </row>
    <row r="99" spans="2:15" x14ac:dyDescent="0.25">
      <c r="B99" s="114" t="s">
        <v>75</v>
      </c>
      <c r="C99" s="115" t="s">
        <v>229</v>
      </c>
      <c r="D99" s="116" t="s">
        <v>229</v>
      </c>
      <c r="E99" s="115" t="s">
        <v>229</v>
      </c>
      <c r="F99" s="116" t="str">
        <f t="shared" si="4"/>
        <v>-</v>
      </c>
      <c r="G99" s="115" t="s">
        <v>229</v>
      </c>
      <c r="H99" s="116" t="str">
        <f t="shared" si="4"/>
        <v>-</v>
      </c>
      <c r="I99" s="115" t="s">
        <v>229</v>
      </c>
      <c r="J99" s="116" t="str">
        <f t="shared" si="4"/>
        <v>-</v>
      </c>
      <c r="K99" s="115" t="s">
        <v>229</v>
      </c>
      <c r="L99" s="116" t="str">
        <f t="shared" si="4"/>
        <v>-</v>
      </c>
      <c r="M99" s="115"/>
      <c r="N99" s="116" t="s">
        <v>229</v>
      </c>
      <c r="O99" s="116" t="s">
        <v>229</v>
      </c>
    </row>
    <row r="100" spans="2:15" x14ac:dyDescent="0.25">
      <c r="B100" s="114" t="s">
        <v>77</v>
      </c>
      <c r="C100" s="115" t="s">
        <v>229</v>
      </c>
      <c r="D100" s="116" t="s">
        <v>229</v>
      </c>
      <c r="E100" s="115" t="s">
        <v>229</v>
      </c>
      <c r="F100" s="116" t="str">
        <f t="shared" si="4"/>
        <v>-</v>
      </c>
      <c r="G100" s="115" t="s">
        <v>229</v>
      </c>
      <c r="H100" s="116" t="str">
        <f t="shared" si="4"/>
        <v>-</v>
      </c>
      <c r="I100" s="115" t="s">
        <v>229</v>
      </c>
      <c r="J100" s="116" t="str">
        <f t="shared" si="4"/>
        <v>-</v>
      </c>
      <c r="K100" s="115" t="s">
        <v>229</v>
      </c>
      <c r="L100" s="116" t="str">
        <f t="shared" si="4"/>
        <v>-</v>
      </c>
      <c r="M100" s="115"/>
      <c r="N100" s="116" t="s">
        <v>229</v>
      </c>
      <c r="O100" s="116" t="s">
        <v>229</v>
      </c>
    </row>
    <row r="101" spans="2:15" x14ac:dyDescent="0.25">
      <c r="B101" s="114" t="s">
        <v>79</v>
      </c>
      <c r="C101" s="115" t="s">
        <v>229</v>
      </c>
      <c r="D101" s="116" t="s">
        <v>229</v>
      </c>
      <c r="E101" s="115" t="s">
        <v>229</v>
      </c>
      <c r="F101" s="116" t="str">
        <f t="shared" si="4"/>
        <v>-</v>
      </c>
      <c r="G101" s="115" t="s">
        <v>229</v>
      </c>
      <c r="H101" s="116" t="str">
        <f t="shared" si="4"/>
        <v>-</v>
      </c>
      <c r="I101" s="115" t="s">
        <v>229</v>
      </c>
      <c r="J101" s="116" t="str">
        <f t="shared" si="4"/>
        <v>-</v>
      </c>
      <c r="K101" s="115" t="s">
        <v>229</v>
      </c>
      <c r="L101" s="116" t="str">
        <f t="shared" si="4"/>
        <v>-</v>
      </c>
      <c r="M101" s="115"/>
      <c r="N101" s="116" t="s">
        <v>229</v>
      </c>
      <c r="O101" s="116" t="s">
        <v>229</v>
      </c>
    </row>
    <row r="102" spans="2:15" x14ac:dyDescent="0.25">
      <c r="B102" s="114" t="s">
        <v>81</v>
      </c>
      <c r="C102" s="115" t="s">
        <v>229</v>
      </c>
      <c r="D102" s="116" t="s">
        <v>229</v>
      </c>
      <c r="E102" s="115" t="s">
        <v>229</v>
      </c>
      <c r="F102" s="116" t="str">
        <f t="shared" si="4"/>
        <v>-</v>
      </c>
      <c r="G102" s="115" t="s">
        <v>229</v>
      </c>
      <c r="H102" s="116" t="str">
        <f t="shared" si="4"/>
        <v>-</v>
      </c>
      <c r="I102" s="115" t="s">
        <v>229</v>
      </c>
      <c r="J102" s="116" t="str">
        <f t="shared" si="4"/>
        <v>-</v>
      </c>
      <c r="K102" s="115" t="s">
        <v>229</v>
      </c>
      <c r="L102" s="116" t="str">
        <f t="shared" si="4"/>
        <v>-</v>
      </c>
      <c r="M102" s="115"/>
      <c r="N102" s="116" t="s">
        <v>229</v>
      </c>
      <c r="O102" s="116" t="s">
        <v>229</v>
      </c>
    </row>
    <row r="103" spans="2:15" x14ac:dyDescent="0.25">
      <c r="B103" s="114" t="s">
        <v>83</v>
      </c>
      <c r="C103" s="115" t="s">
        <v>229</v>
      </c>
      <c r="D103" s="116" t="s">
        <v>229</v>
      </c>
      <c r="E103" s="115" t="s">
        <v>229</v>
      </c>
      <c r="F103" s="116" t="str">
        <f t="shared" si="4"/>
        <v>-</v>
      </c>
      <c r="G103" s="115" t="s">
        <v>229</v>
      </c>
      <c r="H103" s="116" t="str">
        <f t="shared" si="4"/>
        <v>-</v>
      </c>
      <c r="I103" s="115" t="s">
        <v>229</v>
      </c>
      <c r="J103" s="116" t="str">
        <f t="shared" si="4"/>
        <v>-</v>
      </c>
      <c r="K103" s="115" t="s">
        <v>229</v>
      </c>
      <c r="L103" s="116" t="str">
        <f t="shared" si="4"/>
        <v>-</v>
      </c>
      <c r="M103" s="115"/>
      <c r="N103" s="116" t="s">
        <v>229</v>
      </c>
      <c r="O103" s="116" t="s">
        <v>229</v>
      </c>
    </row>
    <row r="104" spans="2:15" x14ac:dyDescent="0.25">
      <c r="B104" s="114" t="s">
        <v>85</v>
      </c>
      <c r="C104" s="115" t="s">
        <v>229</v>
      </c>
      <c r="D104" s="116" t="s">
        <v>229</v>
      </c>
      <c r="E104" s="115" t="s">
        <v>229</v>
      </c>
      <c r="F104" s="116" t="str">
        <f t="shared" si="4"/>
        <v>-</v>
      </c>
      <c r="G104" s="115" t="s">
        <v>229</v>
      </c>
      <c r="H104" s="116" t="str">
        <f t="shared" si="4"/>
        <v>-</v>
      </c>
      <c r="I104" s="115" t="s">
        <v>229</v>
      </c>
      <c r="J104" s="116" t="str">
        <f t="shared" si="4"/>
        <v>-</v>
      </c>
      <c r="K104" s="115" t="s">
        <v>229</v>
      </c>
      <c r="L104" s="116" t="str">
        <f t="shared" si="4"/>
        <v>-</v>
      </c>
      <c r="M104" s="115"/>
      <c r="N104" s="116" t="s">
        <v>229</v>
      </c>
      <c r="O104" s="116" t="s">
        <v>229</v>
      </c>
    </row>
    <row r="105" spans="2:15" x14ac:dyDescent="0.25">
      <c r="B105" s="114" t="s">
        <v>87</v>
      </c>
      <c r="C105" s="115" t="s">
        <v>229</v>
      </c>
      <c r="D105" s="116" t="s">
        <v>229</v>
      </c>
      <c r="E105" s="115" t="s">
        <v>229</v>
      </c>
      <c r="F105" s="116" t="str">
        <f t="shared" si="4"/>
        <v>-</v>
      </c>
      <c r="G105" s="115" t="s">
        <v>229</v>
      </c>
      <c r="H105" s="116" t="str">
        <f t="shared" si="4"/>
        <v>-</v>
      </c>
      <c r="I105" s="115" t="s">
        <v>229</v>
      </c>
      <c r="J105" s="116" t="str">
        <f t="shared" si="4"/>
        <v>-</v>
      </c>
      <c r="K105" s="115" t="s">
        <v>229</v>
      </c>
      <c r="L105" s="116" t="str">
        <f t="shared" si="4"/>
        <v>-</v>
      </c>
      <c r="M105" s="115"/>
      <c r="N105" s="116" t="s">
        <v>229</v>
      </c>
      <c r="O105" s="116" t="s">
        <v>229</v>
      </c>
    </row>
    <row r="106" spans="2:15" x14ac:dyDescent="0.25">
      <c r="B106" s="114" t="s">
        <v>89</v>
      </c>
      <c r="C106" s="115" t="s">
        <v>229</v>
      </c>
      <c r="D106" s="116" t="s">
        <v>229</v>
      </c>
      <c r="E106" s="115" t="s">
        <v>229</v>
      </c>
      <c r="F106" s="116" t="str">
        <f t="shared" si="4"/>
        <v>-</v>
      </c>
      <c r="G106" s="115" t="s">
        <v>229</v>
      </c>
      <c r="H106" s="116" t="str">
        <f t="shared" si="4"/>
        <v>-</v>
      </c>
      <c r="I106" s="115" t="s">
        <v>229</v>
      </c>
      <c r="J106" s="116" t="str">
        <f t="shared" si="4"/>
        <v>-</v>
      </c>
      <c r="K106" s="115" t="s">
        <v>229</v>
      </c>
      <c r="L106" s="116" t="str">
        <f t="shared" si="4"/>
        <v>-</v>
      </c>
      <c r="M106" s="115"/>
      <c r="N106" s="116" t="s">
        <v>229</v>
      </c>
      <c r="O106" s="116" t="s">
        <v>229</v>
      </c>
    </row>
    <row r="107" spans="2:15" x14ac:dyDescent="0.25">
      <c r="B107" s="114" t="s">
        <v>91</v>
      </c>
      <c r="C107" s="115" t="s">
        <v>229</v>
      </c>
      <c r="D107" s="116" t="s">
        <v>229</v>
      </c>
      <c r="E107" s="115" t="s">
        <v>229</v>
      </c>
      <c r="F107" s="116" t="str">
        <f t="shared" si="4"/>
        <v>-</v>
      </c>
      <c r="G107" s="115" t="s">
        <v>229</v>
      </c>
      <c r="H107" s="116" t="str">
        <f t="shared" si="4"/>
        <v>-</v>
      </c>
      <c r="I107" s="115" t="s">
        <v>229</v>
      </c>
      <c r="J107" s="116" t="str">
        <f t="shared" si="4"/>
        <v>-</v>
      </c>
      <c r="K107" s="115" t="s">
        <v>229</v>
      </c>
      <c r="L107" s="116" t="str">
        <f t="shared" si="4"/>
        <v>-</v>
      </c>
      <c r="M107" s="115"/>
      <c r="N107" s="116" t="s">
        <v>229</v>
      </c>
      <c r="O107" s="116" t="s">
        <v>229</v>
      </c>
    </row>
    <row r="108" spans="2:15" x14ac:dyDescent="0.25">
      <c r="B108" s="114" t="s">
        <v>93</v>
      </c>
      <c r="C108" s="115" t="s">
        <v>229</v>
      </c>
      <c r="D108" s="116" t="s">
        <v>229</v>
      </c>
      <c r="E108" s="115" t="s">
        <v>229</v>
      </c>
      <c r="F108" s="116" t="str">
        <f t="shared" si="4"/>
        <v>-</v>
      </c>
      <c r="G108" s="115" t="s">
        <v>229</v>
      </c>
      <c r="H108" s="116" t="str">
        <f t="shared" si="4"/>
        <v>-</v>
      </c>
      <c r="I108" s="115" t="s">
        <v>229</v>
      </c>
      <c r="J108" s="116" t="str">
        <f t="shared" si="4"/>
        <v>-</v>
      </c>
      <c r="K108" s="115" t="s">
        <v>229</v>
      </c>
      <c r="L108" s="116" t="str">
        <f t="shared" si="4"/>
        <v>-</v>
      </c>
      <c r="M108" s="115"/>
      <c r="N108" s="116" t="s">
        <v>229</v>
      </c>
      <c r="O108" s="116" t="s">
        <v>229</v>
      </c>
    </row>
    <row r="109" spans="2:15" ht="15.75" x14ac:dyDescent="0.25">
      <c r="B109" s="117" t="s">
        <v>30</v>
      </c>
      <c r="C109" s="118" t="s">
        <v>229</v>
      </c>
      <c r="D109" s="119" t="s">
        <v>229</v>
      </c>
      <c r="E109" s="118" t="s">
        <v>229</v>
      </c>
      <c r="F109" s="119" t="str">
        <f t="shared" si="4"/>
        <v>-</v>
      </c>
      <c r="G109" s="118" t="s">
        <v>229</v>
      </c>
      <c r="H109" s="119" t="str">
        <f t="shared" si="4"/>
        <v>-</v>
      </c>
      <c r="I109" s="118" t="s">
        <v>229</v>
      </c>
      <c r="J109" s="119" t="str">
        <f t="shared" si="4"/>
        <v>-</v>
      </c>
      <c r="K109" s="118" t="s">
        <v>229</v>
      </c>
      <c r="L109" s="119" t="str">
        <f t="shared" si="4"/>
        <v>-</v>
      </c>
      <c r="M109" s="118"/>
      <c r="N109" s="119" t="s">
        <v>229</v>
      </c>
      <c r="O109" s="119" t="s">
        <v>229</v>
      </c>
    </row>
    <row r="110" spans="2:15" ht="6" customHeight="1" x14ac:dyDescent="0.25"/>
    <row r="111" spans="2:15" x14ac:dyDescent="0.25">
      <c r="B111" s="105" t="s">
        <v>55</v>
      </c>
      <c r="C111" s="105"/>
      <c r="D111" s="105"/>
      <c r="E111" s="105"/>
      <c r="F111" s="105"/>
      <c r="G111" s="105"/>
      <c r="H111" s="105"/>
      <c r="I111" s="105"/>
      <c r="J111" s="105"/>
      <c r="K111" s="105"/>
      <c r="L111" s="105"/>
      <c r="M111" s="105"/>
      <c r="N111" s="105"/>
      <c r="O111" s="105"/>
    </row>
    <row r="114" spans="11:11" x14ac:dyDescent="0.25">
      <c r="K114" s="120"/>
    </row>
  </sheetData>
  <mergeCells count="40">
    <mergeCell ref="B4:O4"/>
    <mergeCell ref="C6:O6"/>
    <mergeCell ref="C7:D7"/>
    <mergeCell ref="E7:F7"/>
    <mergeCell ref="G7:H7"/>
    <mergeCell ref="I7:J7"/>
    <mergeCell ref="K7:L7"/>
    <mergeCell ref="M7:O7"/>
    <mergeCell ref="B26:O26"/>
    <mergeCell ref="C28:O28"/>
    <mergeCell ref="C29:D29"/>
    <mergeCell ref="E29:F29"/>
    <mergeCell ref="G29:H29"/>
    <mergeCell ref="I29:J29"/>
    <mergeCell ref="K29:L29"/>
    <mergeCell ref="M29:O29"/>
    <mergeCell ref="B48:O48"/>
    <mergeCell ref="C50:O50"/>
    <mergeCell ref="C51:D51"/>
    <mergeCell ref="E51:F51"/>
    <mergeCell ref="G51:H51"/>
    <mergeCell ref="I51:J51"/>
    <mergeCell ref="K51:L51"/>
    <mergeCell ref="M51:O51"/>
    <mergeCell ref="B70:O70"/>
    <mergeCell ref="C72:O72"/>
    <mergeCell ref="C73:D73"/>
    <mergeCell ref="E73:F73"/>
    <mergeCell ref="G73:H73"/>
    <mergeCell ref="I73:J73"/>
    <mergeCell ref="K73:L73"/>
    <mergeCell ref="M73:O73"/>
    <mergeCell ref="B92:O92"/>
    <mergeCell ref="C94:O94"/>
    <mergeCell ref="C95:D95"/>
    <mergeCell ref="E95:F95"/>
    <mergeCell ref="G95:H95"/>
    <mergeCell ref="I95:J95"/>
    <mergeCell ref="K95:L95"/>
    <mergeCell ref="M95:O95"/>
  </mergeCells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0C68BA-764A-473C-9A9F-286E9497D65F}">
  <sheetPr>
    <tabColor theme="7" tint="0.79998168889431442"/>
  </sheetPr>
  <dimension ref="A4:E111"/>
  <sheetViews>
    <sheetView showGridLines="0" zoomScaleNormal="100" workbookViewId="0"/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70" t="s">
        <v>255</v>
      </c>
      <c r="C4" s="270"/>
      <c r="D4" s="270"/>
      <c r="E4" s="1" t="s">
        <v>66</v>
      </c>
    </row>
    <row r="5" spans="1:5" ht="10.5" customHeight="1" thickBot="1" x14ac:dyDescent="0.3">
      <c r="B5" s="106"/>
      <c r="C5" s="107"/>
      <c r="D5" s="106"/>
      <c r="E5" s="1" t="s">
        <v>67</v>
      </c>
    </row>
    <row r="6" spans="1:5" ht="22.5" thickTop="1" thickBot="1" x14ac:dyDescent="0.3">
      <c r="B6" s="108" t="s">
        <v>30</v>
      </c>
      <c r="C6" s="292" t="s">
        <v>132</v>
      </c>
      <c r="D6" s="293"/>
    </row>
    <row r="7" spans="1:5" ht="16.5" thickTop="1" thickBot="1" x14ac:dyDescent="0.3">
      <c r="B7" s="85"/>
      <c r="C7" s="111" t="s">
        <v>138</v>
      </c>
      <c r="D7" s="112" t="s">
        <v>139</v>
      </c>
    </row>
    <row r="8" spans="1:5" x14ac:dyDescent="0.25">
      <c r="A8" s="1" t="s">
        <v>70</v>
      </c>
      <c r="B8" s="114">
        <v>2023</v>
      </c>
      <c r="C8" s="115">
        <v>58157</v>
      </c>
      <c r="D8" s="116">
        <f t="shared" ref="D8:D9" si="0">C8/C9-1</f>
        <v>0.12959114305137409</v>
      </c>
    </row>
    <row r="9" spans="1:5" x14ac:dyDescent="0.25">
      <c r="A9" s="1"/>
      <c r="B9" s="114">
        <v>2022</v>
      </c>
      <c r="C9" s="115">
        <v>51485</v>
      </c>
      <c r="D9" s="116">
        <f t="shared" si="0"/>
        <v>0.53943906231312044</v>
      </c>
    </row>
    <row r="10" spans="1:5" x14ac:dyDescent="0.25">
      <c r="A10" s="1"/>
      <c r="B10" s="114">
        <v>2021</v>
      </c>
      <c r="C10" s="115">
        <v>33444</v>
      </c>
      <c r="D10" s="116">
        <f>C10/C11-1</f>
        <v>0.38078526898146237</v>
      </c>
    </row>
    <row r="11" spans="1:5" x14ac:dyDescent="0.25">
      <c r="A11" s="1" t="s">
        <v>72</v>
      </c>
      <c r="B11" s="114">
        <v>2020</v>
      </c>
      <c r="C11" s="115">
        <v>24221</v>
      </c>
      <c r="D11" s="116">
        <f t="shared" ref="D11:D20" si="1">C11/C12-1</f>
        <v>-0.56660761894537193</v>
      </c>
    </row>
    <row r="12" spans="1:5" x14ac:dyDescent="0.25">
      <c r="A12" s="1" t="s">
        <v>74</v>
      </c>
      <c r="B12" s="114">
        <v>2019</v>
      </c>
      <c r="C12" s="115">
        <v>55887</v>
      </c>
      <c r="D12" s="116">
        <f t="shared" si="1"/>
        <v>3.521283295669253E-2</v>
      </c>
    </row>
    <row r="13" spans="1:5" x14ac:dyDescent="0.25">
      <c r="A13" s="1" t="s">
        <v>76</v>
      </c>
      <c r="B13" s="114">
        <v>2018</v>
      </c>
      <c r="C13" s="115">
        <v>53986</v>
      </c>
      <c r="D13" s="116">
        <f t="shared" si="1"/>
        <v>-6.4610586502642287E-2</v>
      </c>
    </row>
    <row r="14" spans="1:5" x14ac:dyDescent="0.25">
      <c r="A14" s="1" t="s">
        <v>78</v>
      </c>
      <c r="B14" s="114">
        <v>2017</v>
      </c>
      <c r="C14" s="115">
        <v>57715</v>
      </c>
      <c r="D14" s="116">
        <f>C14/C15-1</f>
        <v>7.382737641170678E-2</v>
      </c>
    </row>
    <row r="15" spans="1:5" x14ac:dyDescent="0.25">
      <c r="A15" s="1" t="s">
        <v>80</v>
      </c>
      <c r="B15" s="114">
        <v>2016</v>
      </c>
      <c r="C15" s="115">
        <v>53747</v>
      </c>
      <c r="D15" s="116">
        <f>C15/C16-1</f>
        <v>0.30377935183388316</v>
      </c>
    </row>
    <row r="16" spans="1:5" x14ac:dyDescent="0.25">
      <c r="A16" s="1" t="s">
        <v>82</v>
      </c>
      <c r="B16" s="114">
        <v>2015</v>
      </c>
      <c r="C16" s="115">
        <v>41224</v>
      </c>
      <c r="D16" s="116">
        <f t="shared" si="1"/>
        <v>0.22058388109196425</v>
      </c>
    </row>
    <row r="17" spans="1:5" x14ac:dyDescent="0.25">
      <c r="A17" s="1" t="s">
        <v>84</v>
      </c>
      <c r="B17" s="114">
        <v>2014</v>
      </c>
      <c r="C17" s="115">
        <v>33774</v>
      </c>
      <c r="D17" s="116">
        <f t="shared" si="1"/>
        <v>0.11915965272715212</v>
      </c>
    </row>
    <row r="18" spans="1:5" x14ac:dyDescent="0.25">
      <c r="A18" s="1" t="s">
        <v>86</v>
      </c>
      <c r="B18" s="114">
        <v>2013</v>
      </c>
      <c r="C18" s="115">
        <v>30178</v>
      </c>
      <c r="D18" s="116">
        <f t="shared" si="1"/>
        <v>-5.0857052995754048E-2</v>
      </c>
    </row>
    <row r="19" spans="1:5" x14ac:dyDescent="0.25">
      <c r="A19" s="1" t="s">
        <v>88</v>
      </c>
      <c r="B19" s="114">
        <v>2012</v>
      </c>
      <c r="C19" s="115">
        <v>31795</v>
      </c>
      <c r="D19" s="116">
        <f>C19/C20-1</f>
        <v>-1.4505780615565844E-2</v>
      </c>
    </row>
    <row r="20" spans="1:5" x14ac:dyDescent="0.25">
      <c r="A20" s="1" t="s">
        <v>90</v>
      </c>
      <c r="B20" s="114">
        <v>2011</v>
      </c>
      <c r="C20" s="115">
        <v>32263</v>
      </c>
      <c r="D20" s="116">
        <f t="shared" si="1"/>
        <v>-0.19553671612018453</v>
      </c>
    </row>
    <row r="21" spans="1:5" x14ac:dyDescent="0.25">
      <c r="A21" s="1" t="s">
        <v>92</v>
      </c>
      <c r="B21" s="114">
        <v>2010</v>
      </c>
      <c r="C21" s="115">
        <v>40105</v>
      </c>
      <c r="D21" s="116"/>
    </row>
    <row r="22" spans="1:5" ht="6" customHeight="1" x14ac:dyDescent="0.25"/>
    <row r="23" spans="1:5" x14ac:dyDescent="0.25">
      <c r="B23" s="105" t="s">
        <v>55</v>
      </c>
      <c r="C23" s="105"/>
      <c r="D23" s="105"/>
    </row>
    <row r="26" spans="1:5" ht="48.75" customHeight="1" thickBot="1" x14ac:dyDescent="0.3">
      <c r="B26" s="270" t="s">
        <v>256</v>
      </c>
      <c r="C26" s="270"/>
      <c r="D26" s="270"/>
      <c r="E26" s="1" t="s">
        <v>94</v>
      </c>
    </row>
    <row r="27" spans="1:5" ht="10.5" customHeight="1" thickBot="1" x14ac:dyDescent="0.3">
      <c r="B27" s="106"/>
      <c r="C27" s="107"/>
      <c r="D27" s="106"/>
      <c r="E27" s="1" t="s">
        <v>95</v>
      </c>
    </row>
    <row r="28" spans="1:5" ht="22.5" thickTop="1" thickBot="1" x14ac:dyDescent="0.3">
      <c r="B28" s="121" t="s">
        <v>96</v>
      </c>
      <c r="C28" s="292" t="s">
        <v>137</v>
      </c>
      <c r="D28" s="293"/>
    </row>
    <row r="29" spans="1:5" ht="16.5" thickTop="1" thickBot="1" x14ac:dyDescent="0.3">
      <c r="B29" s="85"/>
      <c r="C29" s="111" t="s">
        <v>138</v>
      </c>
      <c r="D29" s="112" t="s">
        <v>139</v>
      </c>
    </row>
    <row r="30" spans="1:5" x14ac:dyDescent="0.25">
      <c r="B30" s="114">
        <v>2023</v>
      </c>
      <c r="C30" s="115">
        <v>58157</v>
      </c>
      <c r="D30" s="116">
        <f t="shared" ref="D30:D31" si="2">C30/C31-1</f>
        <v>0.12959114305137409</v>
      </c>
    </row>
    <row r="31" spans="1:5" x14ac:dyDescent="0.25">
      <c r="B31" s="114">
        <v>2022</v>
      </c>
      <c r="C31" s="115">
        <v>51485</v>
      </c>
      <c r="D31" s="116">
        <f t="shared" si="2"/>
        <v>0.53943906231312044</v>
      </c>
    </row>
    <row r="32" spans="1:5" x14ac:dyDescent="0.25">
      <c r="B32" s="114">
        <v>2021</v>
      </c>
      <c r="C32" s="115">
        <v>33444</v>
      </c>
      <c r="D32" s="116">
        <f>C32/C33-1</f>
        <v>0.38078526898146237</v>
      </c>
    </row>
    <row r="33" spans="2:5" x14ac:dyDescent="0.25">
      <c r="B33" s="114">
        <v>2020</v>
      </c>
      <c r="C33" s="115">
        <v>24221</v>
      </c>
      <c r="D33" s="116">
        <f t="shared" ref="D33:D42" si="3">C33/C34-1</f>
        <v>-0.56660761894537193</v>
      </c>
    </row>
    <row r="34" spans="2:5" x14ac:dyDescent="0.25">
      <c r="B34" s="114">
        <v>2019</v>
      </c>
      <c r="C34" s="115">
        <v>55887</v>
      </c>
      <c r="D34" s="116">
        <f t="shared" si="3"/>
        <v>3.521283295669253E-2</v>
      </c>
    </row>
    <row r="35" spans="2:5" x14ac:dyDescent="0.25">
      <c r="B35" s="114">
        <v>2018</v>
      </c>
      <c r="C35" s="115">
        <v>53986</v>
      </c>
      <c r="D35" s="116">
        <f t="shared" si="3"/>
        <v>-6.3783296337402873E-2</v>
      </c>
    </row>
    <row r="36" spans="2:5" x14ac:dyDescent="0.25">
      <c r="B36" s="114">
        <v>2017</v>
      </c>
      <c r="C36" s="115">
        <v>57664</v>
      </c>
      <c r="D36" s="116">
        <f>C36/C37-1</f>
        <v>7.6001567427366634E-2</v>
      </c>
    </row>
    <row r="37" spans="2:5" x14ac:dyDescent="0.25">
      <c r="B37" s="114">
        <v>2016</v>
      </c>
      <c r="C37" s="115">
        <v>53591</v>
      </c>
      <c r="D37" s="116">
        <f>C37/C38-1</f>
        <v>0.30914109829978509</v>
      </c>
    </row>
    <row r="38" spans="2:5" x14ac:dyDescent="0.25">
      <c r="B38" s="114">
        <v>2015</v>
      </c>
      <c r="C38" s="115">
        <v>40936</v>
      </c>
      <c r="D38" s="116">
        <f t="shared" si="3"/>
        <v>0.22284621818616324</v>
      </c>
    </row>
    <row r="39" spans="2:5" x14ac:dyDescent="0.25">
      <c r="B39" s="114">
        <v>2014</v>
      </c>
      <c r="C39" s="115">
        <v>33476</v>
      </c>
      <c r="D39" s="116">
        <f t="shared" si="3"/>
        <v>0.11649934963145792</v>
      </c>
    </row>
    <row r="40" spans="2:5" x14ac:dyDescent="0.25">
      <c r="B40" s="114">
        <v>2013</v>
      </c>
      <c r="C40" s="115">
        <v>29983</v>
      </c>
      <c r="D40" s="116">
        <f t="shared" si="3"/>
        <v>-5.2430314139434886E-2</v>
      </c>
    </row>
    <row r="41" spans="2:5" x14ac:dyDescent="0.25">
      <c r="B41" s="114">
        <v>2012</v>
      </c>
      <c r="C41" s="115">
        <v>31642</v>
      </c>
      <c r="D41" s="116">
        <f>C41/C42-1</f>
        <v>4.4945675506092853E-2</v>
      </c>
    </row>
    <row r="42" spans="2:5" x14ac:dyDescent="0.25">
      <c r="B42" s="114">
        <v>2011</v>
      </c>
      <c r="C42" s="115">
        <v>30281</v>
      </c>
      <c r="D42" s="116">
        <f t="shared" si="3"/>
        <v>-0.180442784453827</v>
      </c>
    </row>
    <row r="43" spans="2:5" x14ac:dyDescent="0.25">
      <c r="B43" s="114">
        <v>2010</v>
      </c>
      <c r="C43" s="115">
        <v>36948</v>
      </c>
      <c r="D43" s="116"/>
    </row>
    <row r="44" spans="2:5" ht="6" customHeight="1" x14ac:dyDescent="0.25"/>
    <row r="45" spans="2:5" x14ac:dyDescent="0.25">
      <c r="B45" s="105" t="s">
        <v>55</v>
      </c>
      <c r="C45" s="105"/>
      <c r="D45" s="105"/>
    </row>
    <row r="48" spans="2:5" ht="48.75" customHeight="1" thickBot="1" x14ac:dyDescent="0.3">
      <c r="B48" s="270" t="s">
        <v>257</v>
      </c>
      <c r="C48" s="270"/>
      <c r="D48" s="270"/>
      <c r="E48" s="1" t="s">
        <v>98</v>
      </c>
    </row>
    <row r="49" spans="1:5" ht="10.5" customHeight="1" thickBot="1" x14ac:dyDescent="0.3">
      <c r="B49" s="106"/>
      <c r="C49" s="107"/>
      <c r="D49" s="106"/>
      <c r="E49" s="1" t="s">
        <v>99</v>
      </c>
    </row>
    <row r="50" spans="1:5" ht="22.5" thickTop="1" thickBot="1" x14ac:dyDescent="0.3">
      <c r="B50" s="109"/>
      <c r="C50" s="292" t="s">
        <v>140</v>
      </c>
      <c r="D50" s="293"/>
    </row>
    <row r="51" spans="1:5" ht="16.5" thickTop="1" thickBot="1" x14ac:dyDescent="0.3">
      <c r="B51" s="85"/>
      <c r="C51" s="111" t="s">
        <v>138</v>
      </c>
      <c r="D51" s="112" t="s">
        <v>139</v>
      </c>
    </row>
    <row r="52" spans="1:5" x14ac:dyDescent="0.25">
      <c r="A52" s="1">
        <v>1</v>
      </c>
      <c r="B52" s="114">
        <v>2023</v>
      </c>
      <c r="C52" s="115">
        <v>50550</v>
      </c>
      <c r="D52" s="116">
        <f t="shared" ref="D52:D53" si="4">C52/C53-1</f>
        <v>9.0520774906156953E-2</v>
      </c>
    </row>
    <row r="53" spans="1:5" x14ac:dyDescent="0.25">
      <c r="A53" s="1"/>
      <c r="B53" s="114">
        <v>2022</v>
      </c>
      <c r="C53" s="115">
        <v>46354</v>
      </c>
      <c r="D53" s="116" t="e">
        <f t="shared" si="4"/>
        <v>#DIV/0!</v>
      </c>
    </row>
    <row r="54" spans="1:5" x14ac:dyDescent="0.25">
      <c r="A54" s="1"/>
      <c r="B54" s="114">
        <v>2021</v>
      </c>
      <c r="C54" s="115">
        <v>0</v>
      </c>
      <c r="D54" s="116" t="e">
        <f>C54/C55-1</f>
        <v>#DIV/0!</v>
      </c>
    </row>
    <row r="55" spans="1:5" x14ac:dyDescent="0.25">
      <c r="A55" s="1">
        <v>2</v>
      </c>
      <c r="B55" s="114">
        <v>2020</v>
      </c>
      <c r="C55" s="115">
        <v>0</v>
      </c>
      <c r="D55" s="116">
        <f t="shared" ref="D55:D64" si="5">C55/C56-1</f>
        <v>-1</v>
      </c>
    </row>
    <row r="56" spans="1:5" x14ac:dyDescent="0.25">
      <c r="A56" s="1">
        <v>3</v>
      </c>
      <c r="B56" s="114">
        <v>2019</v>
      </c>
      <c r="C56" s="115">
        <v>42488</v>
      </c>
      <c r="D56" s="116">
        <f t="shared" si="5"/>
        <v>7.9581258257953147E-2</v>
      </c>
    </row>
    <row r="57" spans="1:5" x14ac:dyDescent="0.25">
      <c r="A57" s="1">
        <v>4</v>
      </c>
      <c r="B57" s="114">
        <v>2018</v>
      </c>
      <c r="C57" s="115">
        <v>39356</v>
      </c>
      <c r="D57" s="116">
        <f t="shared" si="5"/>
        <v>0.52672821786019086</v>
      </c>
    </row>
    <row r="58" spans="1:5" x14ac:dyDescent="0.25">
      <c r="A58" s="1">
        <v>5</v>
      </c>
      <c r="B58" s="114">
        <v>2017</v>
      </c>
      <c r="C58" s="115">
        <v>25778</v>
      </c>
      <c r="D58" s="116" t="e">
        <f>C58/C59-1</f>
        <v>#DIV/0!</v>
      </c>
    </row>
    <row r="59" spans="1:5" x14ac:dyDescent="0.25">
      <c r="A59" s="1">
        <v>6</v>
      </c>
      <c r="B59" s="114">
        <v>2016</v>
      </c>
      <c r="C59" s="115">
        <v>0</v>
      </c>
      <c r="D59" s="116" t="e">
        <f>C59/C60-1</f>
        <v>#DIV/0!</v>
      </c>
    </row>
    <row r="60" spans="1:5" x14ac:dyDescent="0.25">
      <c r="A60" s="1">
        <v>7</v>
      </c>
      <c r="B60" s="114">
        <v>2015</v>
      </c>
      <c r="C60" s="115">
        <v>0</v>
      </c>
      <c r="D60" s="116" t="e">
        <f t="shared" si="5"/>
        <v>#DIV/0!</v>
      </c>
    </row>
    <row r="61" spans="1:5" x14ac:dyDescent="0.25">
      <c r="A61" s="1">
        <v>8</v>
      </c>
      <c r="B61" s="114">
        <v>2014</v>
      </c>
      <c r="C61" s="115">
        <v>0</v>
      </c>
      <c r="D61" s="116" t="e">
        <f t="shared" si="5"/>
        <v>#DIV/0!</v>
      </c>
    </row>
    <row r="62" spans="1:5" x14ac:dyDescent="0.25">
      <c r="A62" s="1">
        <v>9</v>
      </c>
      <c r="B62" s="114">
        <v>2013</v>
      </c>
      <c r="C62" s="115">
        <v>0</v>
      </c>
      <c r="D62" s="116" t="e">
        <f t="shared" si="5"/>
        <v>#DIV/0!</v>
      </c>
    </row>
    <row r="63" spans="1:5" x14ac:dyDescent="0.25">
      <c r="A63" s="1">
        <v>10</v>
      </c>
      <c r="B63" s="114">
        <v>2012</v>
      </c>
      <c r="C63" s="115">
        <v>0</v>
      </c>
      <c r="D63" s="116" t="e">
        <f>C63/C64-1</f>
        <v>#DIV/0!</v>
      </c>
    </row>
    <row r="64" spans="1:5" x14ac:dyDescent="0.25">
      <c r="A64" s="1">
        <v>11</v>
      </c>
      <c r="B64" s="114">
        <v>2011</v>
      </c>
      <c r="C64" s="115">
        <v>0</v>
      </c>
      <c r="D64" s="116" t="e">
        <f t="shared" si="5"/>
        <v>#DIV/0!</v>
      </c>
    </row>
    <row r="65" spans="1:5" x14ac:dyDescent="0.25">
      <c r="A65" s="1">
        <v>12</v>
      </c>
      <c r="B65" s="114">
        <v>2010</v>
      </c>
      <c r="C65" s="115">
        <v>0</v>
      </c>
      <c r="D65" s="116"/>
    </row>
    <row r="66" spans="1:5" ht="6" customHeight="1" x14ac:dyDescent="0.25"/>
    <row r="67" spans="1:5" x14ac:dyDescent="0.25">
      <c r="B67" s="105" t="s">
        <v>55</v>
      </c>
      <c r="C67" s="105"/>
      <c r="D67" s="105"/>
    </row>
    <row r="70" spans="1:5" ht="48.75" customHeight="1" thickBot="1" x14ac:dyDescent="0.3">
      <c r="B70" s="270" t="s">
        <v>141</v>
      </c>
      <c r="C70" s="270"/>
      <c r="D70" s="270"/>
      <c r="E70" s="1" t="s">
        <v>101</v>
      </c>
    </row>
    <row r="71" spans="1:5" ht="10.5" customHeight="1" thickBot="1" x14ac:dyDescent="0.3">
      <c r="B71" s="106"/>
      <c r="C71" s="107"/>
      <c r="D71" s="106"/>
      <c r="E71" s="1" t="s">
        <v>102</v>
      </c>
    </row>
    <row r="72" spans="1:5" ht="22.5" thickTop="1" thickBot="1" x14ac:dyDescent="0.3">
      <c r="B72" s="109"/>
      <c r="C72" s="292" t="s">
        <v>142</v>
      </c>
      <c r="D72" s="293"/>
    </row>
    <row r="73" spans="1:5" ht="16.5" thickTop="1" thickBot="1" x14ac:dyDescent="0.3">
      <c r="B73" s="85"/>
      <c r="C73" s="111" t="s">
        <v>138</v>
      </c>
      <c r="D73" s="112" t="s">
        <v>139</v>
      </c>
    </row>
    <row r="74" spans="1:5" x14ac:dyDescent="0.25">
      <c r="A74" s="1">
        <v>1</v>
      </c>
      <c r="B74" s="114">
        <v>2023</v>
      </c>
      <c r="C74" s="115">
        <v>7607</v>
      </c>
      <c r="D74" s="116">
        <f t="shared" ref="D74:D75" si="6">C74/C75-1</f>
        <v>0.48255700643149479</v>
      </c>
    </row>
    <row r="75" spans="1:5" x14ac:dyDescent="0.25">
      <c r="A75" s="1"/>
      <c r="B75" s="114">
        <v>2022</v>
      </c>
      <c r="C75" s="115">
        <v>5131</v>
      </c>
      <c r="D75" s="116" t="e">
        <f t="shared" si="6"/>
        <v>#DIV/0!</v>
      </c>
    </row>
    <row r="76" spans="1:5" x14ac:dyDescent="0.25">
      <c r="A76" s="1"/>
      <c r="B76" s="114">
        <v>2021</v>
      </c>
      <c r="C76" s="115">
        <v>0</v>
      </c>
      <c r="D76" s="116" t="e">
        <f>C76/C77-1</f>
        <v>#DIV/0!</v>
      </c>
    </row>
    <row r="77" spans="1:5" x14ac:dyDescent="0.25">
      <c r="A77" s="1">
        <v>2</v>
      </c>
      <c r="B77" s="114">
        <v>2020</v>
      </c>
      <c r="C77" s="115">
        <v>0</v>
      </c>
      <c r="D77" s="116">
        <f t="shared" ref="D77:D79" si="7">C77/C78-1</f>
        <v>-1</v>
      </c>
    </row>
    <row r="78" spans="1:5" x14ac:dyDescent="0.25">
      <c r="A78" s="1">
        <v>3</v>
      </c>
      <c r="B78" s="114">
        <v>2019</v>
      </c>
      <c r="C78" s="115">
        <v>13399</v>
      </c>
      <c r="D78" s="116">
        <f t="shared" si="7"/>
        <v>-8.4142173615857851E-2</v>
      </c>
    </row>
    <row r="79" spans="1:5" x14ac:dyDescent="0.25">
      <c r="A79" s="1">
        <v>4</v>
      </c>
      <c r="B79" s="114">
        <v>2018</v>
      </c>
      <c r="C79" s="115">
        <v>14630</v>
      </c>
      <c r="D79" s="116">
        <f t="shared" si="7"/>
        <v>-0.54117794643417172</v>
      </c>
    </row>
    <row r="80" spans="1:5" x14ac:dyDescent="0.25">
      <c r="A80" s="1">
        <v>5</v>
      </c>
      <c r="B80" s="114">
        <v>2017</v>
      </c>
      <c r="C80" s="115">
        <v>31886</v>
      </c>
      <c r="D80" s="116" t="e">
        <f>C80/C81-1</f>
        <v>#DIV/0!</v>
      </c>
    </row>
    <row r="81" spans="1:5" x14ac:dyDescent="0.25">
      <c r="A81" s="1">
        <v>6</v>
      </c>
      <c r="B81" s="114">
        <v>2016</v>
      </c>
      <c r="C81" s="115">
        <v>0</v>
      </c>
      <c r="D81" s="116" t="e">
        <f>C81/C82-1</f>
        <v>#DIV/0!</v>
      </c>
    </row>
    <row r="82" spans="1:5" x14ac:dyDescent="0.25">
      <c r="A82" s="1">
        <v>7</v>
      </c>
      <c r="B82" s="114">
        <v>2015</v>
      </c>
      <c r="C82" s="115">
        <v>0</v>
      </c>
      <c r="D82" s="116" t="e">
        <f t="shared" ref="D82:D84" si="8">C82/C83-1</f>
        <v>#DIV/0!</v>
      </c>
    </row>
    <row r="83" spans="1:5" x14ac:dyDescent="0.25">
      <c r="A83" s="1">
        <v>8</v>
      </c>
      <c r="B83" s="114">
        <v>2014</v>
      </c>
      <c r="C83" s="115">
        <v>0</v>
      </c>
      <c r="D83" s="116" t="e">
        <f t="shared" si="8"/>
        <v>#DIV/0!</v>
      </c>
    </row>
    <row r="84" spans="1:5" x14ac:dyDescent="0.25">
      <c r="A84" s="1">
        <v>9</v>
      </c>
      <c r="B84" s="114">
        <v>2013</v>
      </c>
      <c r="C84" s="115">
        <v>0</v>
      </c>
      <c r="D84" s="116" t="e">
        <f t="shared" si="8"/>
        <v>#DIV/0!</v>
      </c>
    </row>
    <row r="85" spans="1:5" x14ac:dyDescent="0.25">
      <c r="A85" s="1">
        <v>10</v>
      </c>
      <c r="B85" s="114">
        <v>2012</v>
      </c>
      <c r="C85" s="115">
        <v>0</v>
      </c>
      <c r="D85" s="116" t="e">
        <f>C85/C86-1</f>
        <v>#DIV/0!</v>
      </c>
    </row>
    <row r="86" spans="1:5" x14ac:dyDescent="0.25">
      <c r="A86" s="1">
        <v>11</v>
      </c>
      <c r="B86" s="114">
        <v>2011</v>
      </c>
      <c r="C86" s="115">
        <v>0</v>
      </c>
      <c r="D86" s="116">
        <f t="shared" ref="D86" si="9">C86/C87-1</f>
        <v>-1</v>
      </c>
    </row>
    <row r="87" spans="1:5" x14ac:dyDescent="0.25">
      <c r="A87" s="1">
        <v>12</v>
      </c>
      <c r="B87" s="114">
        <v>2010</v>
      </c>
      <c r="C87" s="115">
        <v>36948</v>
      </c>
      <c r="D87" s="116"/>
    </row>
    <row r="88" spans="1:5" ht="6" customHeight="1" x14ac:dyDescent="0.25"/>
    <row r="89" spans="1:5" x14ac:dyDescent="0.25">
      <c r="B89" s="105" t="s">
        <v>55</v>
      </c>
      <c r="C89" s="105"/>
      <c r="D89" s="105"/>
    </row>
    <row r="92" spans="1:5" ht="48.75" customHeight="1" thickBot="1" x14ac:dyDescent="0.3">
      <c r="B92" s="270" t="s">
        <v>258</v>
      </c>
      <c r="C92" s="270"/>
      <c r="D92" s="270"/>
      <c r="E92" s="1" t="s">
        <v>114</v>
      </c>
    </row>
    <row r="93" spans="1:5" ht="10.5" customHeight="1" thickBot="1" x14ac:dyDescent="0.3">
      <c r="B93" s="106"/>
      <c r="C93" s="107"/>
      <c r="D93" s="106"/>
      <c r="E93" s="1" t="s">
        <v>115</v>
      </c>
    </row>
    <row r="94" spans="1:5" ht="22.5" thickTop="1" thickBot="1" x14ac:dyDescent="0.3">
      <c r="B94" s="121" t="s">
        <v>96</v>
      </c>
      <c r="C94" s="292" t="s">
        <v>32</v>
      </c>
      <c r="D94" s="293"/>
    </row>
    <row r="95" spans="1:5" ht="16.5" thickTop="1" thickBot="1" x14ac:dyDescent="0.3">
      <c r="B95" s="85"/>
      <c r="C95" s="111" t="s">
        <v>138</v>
      </c>
      <c r="D95" s="112" t="s">
        <v>139</v>
      </c>
    </row>
    <row r="96" spans="1:5" x14ac:dyDescent="0.25">
      <c r="B96" s="114">
        <v>2023</v>
      </c>
      <c r="C96" s="115" t="s">
        <v>229</v>
      </c>
      <c r="D96" s="116" t="e">
        <f t="shared" ref="D96:D108" si="10">C96/C97-1</f>
        <v>#VALUE!</v>
      </c>
    </row>
    <row r="97" spans="2:4" x14ac:dyDescent="0.25">
      <c r="B97" s="114">
        <v>2022</v>
      </c>
      <c r="C97" s="115" t="s">
        <v>229</v>
      </c>
      <c r="D97" s="116" t="e">
        <f t="shared" si="10"/>
        <v>#VALUE!</v>
      </c>
    </row>
    <row r="98" spans="2:4" x14ac:dyDescent="0.25">
      <c r="B98" s="114">
        <v>2021</v>
      </c>
      <c r="C98" s="115" t="s">
        <v>229</v>
      </c>
      <c r="D98" s="116" t="e">
        <f t="shared" si="10"/>
        <v>#VALUE!</v>
      </c>
    </row>
    <row r="99" spans="2:4" x14ac:dyDescent="0.25">
      <c r="B99" s="114">
        <v>2020</v>
      </c>
      <c r="C99" s="115" t="s">
        <v>229</v>
      </c>
      <c r="D99" s="116" t="e">
        <f t="shared" si="10"/>
        <v>#VALUE!</v>
      </c>
    </row>
    <row r="100" spans="2:4" x14ac:dyDescent="0.25">
      <c r="B100" s="114">
        <v>2019</v>
      </c>
      <c r="C100" s="115" t="s">
        <v>229</v>
      </c>
      <c r="D100" s="116" t="e">
        <f t="shared" si="10"/>
        <v>#VALUE!</v>
      </c>
    </row>
    <row r="101" spans="2:4" x14ac:dyDescent="0.25">
      <c r="B101" s="114">
        <v>2018</v>
      </c>
      <c r="C101" s="115" t="s">
        <v>229</v>
      </c>
      <c r="D101" s="116" t="e">
        <f t="shared" si="10"/>
        <v>#VALUE!</v>
      </c>
    </row>
    <row r="102" spans="2:4" x14ac:dyDescent="0.25">
      <c r="B102" s="114">
        <v>2017</v>
      </c>
      <c r="C102" s="115" t="s">
        <v>229</v>
      </c>
      <c r="D102" s="116" t="e">
        <f t="shared" si="10"/>
        <v>#VALUE!</v>
      </c>
    </row>
    <row r="103" spans="2:4" x14ac:dyDescent="0.25">
      <c r="B103" s="114">
        <v>2016</v>
      </c>
      <c r="C103" s="115" t="s">
        <v>229</v>
      </c>
      <c r="D103" s="116" t="e">
        <f t="shared" si="10"/>
        <v>#VALUE!</v>
      </c>
    </row>
    <row r="104" spans="2:4" x14ac:dyDescent="0.25">
      <c r="B104" s="114">
        <v>2015</v>
      </c>
      <c r="C104" s="115" t="s">
        <v>229</v>
      </c>
      <c r="D104" s="116" t="e">
        <f t="shared" si="10"/>
        <v>#VALUE!</v>
      </c>
    </row>
    <row r="105" spans="2:4" x14ac:dyDescent="0.25">
      <c r="B105" s="114">
        <v>2014</v>
      </c>
      <c r="C105" s="115" t="s">
        <v>229</v>
      </c>
      <c r="D105" s="116" t="e">
        <f t="shared" si="10"/>
        <v>#VALUE!</v>
      </c>
    </row>
    <row r="106" spans="2:4" x14ac:dyDescent="0.25">
      <c r="B106" s="114">
        <v>2013</v>
      </c>
      <c r="C106" s="115" t="s">
        <v>229</v>
      </c>
      <c r="D106" s="116" t="e">
        <f t="shared" si="10"/>
        <v>#VALUE!</v>
      </c>
    </row>
    <row r="107" spans="2:4" x14ac:dyDescent="0.25">
      <c r="B107" s="114">
        <v>2012</v>
      </c>
      <c r="C107" s="115" t="s">
        <v>229</v>
      </c>
      <c r="D107" s="116" t="e">
        <f t="shared" si="10"/>
        <v>#VALUE!</v>
      </c>
    </row>
    <row r="108" spans="2:4" x14ac:dyDescent="0.25">
      <c r="B108" s="114">
        <v>2011</v>
      </c>
      <c r="C108" s="115" t="s">
        <v>229</v>
      </c>
      <c r="D108" s="116" t="e">
        <f t="shared" si="10"/>
        <v>#VALUE!</v>
      </c>
    </row>
    <row r="109" spans="2:4" x14ac:dyDescent="0.25">
      <c r="B109" s="114">
        <v>2010</v>
      </c>
      <c r="C109" s="115" t="s">
        <v>229</v>
      </c>
      <c r="D109" s="116"/>
    </row>
    <row r="110" spans="2:4" ht="6" customHeight="1" x14ac:dyDescent="0.25"/>
    <row r="111" spans="2:4" x14ac:dyDescent="0.25">
      <c r="B111" s="105" t="s">
        <v>55</v>
      </c>
      <c r="C111" s="105"/>
      <c r="D111" s="105"/>
    </row>
  </sheetData>
  <mergeCells count="10">
    <mergeCell ref="B70:D70"/>
    <mergeCell ref="C72:D72"/>
    <mergeCell ref="B92:D92"/>
    <mergeCell ref="C94:D94"/>
    <mergeCell ref="B4:D4"/>
    <mergeCell ref="C6:D6"/>
    <mergeCell ref="B26:D26"/>
    <mergeCell ref="C28:D28"/>
    <mergeCell ref="B48:D48"/>
    <mergeCell ref="C50:D50"/>
  </mergeCells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58CEBF-D3F9-4623-A89D-8A78A6BFA657}">
  <sheetPr>
    <tabColor theme="7" tint="0.79998168889431442"/>
  </sheetPr>
  <dimension ref="A1:X59"/>
  <sheetViews>
    <sheetView showGridLines="0" workbookViewId="0"/>
  </sheetViews>
  <sheetFormatPr baseColWidth="10" defaultRowHeight="15" x14ac:dyDescent="0.25"/>
  <cols>
    <col min="1" max="1" width="15.5703125" customWidth="1"/>
    <col min="2" max="2" width="27.42578125" customWidth="1"/>
    <col min="3" max="8" width="12.85546875" customWidth="1"/>
    <col min="9" max="11" width="9.7109375" customWidth="1"/>
    <col min="12" max="12" width="11.140625" customWidth="1"/>
    <col min="13" max="13" width="12.28515625" customWidth="1"/>
    <col min="19" max="20" width="11.42578125" customWidth="1"/>
    <col min="21" max="22" width="10.42578125" customWidth="1"/>
    <col min="23" max="23" width="11.140625" customWidth="1"/>
    <col min="24" max="24" width="10.42578125" customWidth="1"/>
  </cols>
  <sheetData>
    <row r="1" spans="1:24" ht="42.75" customHeight="1" x14ac:dyDescent="0.25"/>
    <row r="2" spans="1:24" ht="24" x14ac:dyDescent="0.4">
      <c r="B2" s="126"/>
      <c r="C2" s="126"/>
      <c r="D2" s="126"/>
      <c r="E2" s="126"/>
      <c r="F2" s="126"/>
    </row>
    <row r="3" spans="1:24" ht="40.5" customHeight="1" thickBot="1" x14ac:dyDescent="0.3">
      <c r="B3" s="62" t="s">
        <v>143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62"/>
      <c r="W3" s="62"/>
      <c r="X3" s="62"/>
    </row>
    <row r="4" spans="1:24" ht="8.25" customHeight="1" thickBot="1" x14ac:dyDescent="0.3">
      <c r="B4" s="83"/>
      <c r="C4" s="83"/>
      <c r="D4" s="83"/>
      <c r="E4" s="83"/>
      <c r="F4" s="83"/>
      <c r="G4" s="83"/>
      <c r="H4" s="83"/>
      <c r="I4" s="83"/>
      <c r="J4" s="84"/>
      <c r="K4" s="83"/>
      <c r="L4" s="84"/>
      <c r="M4" s="83"/>
      <c r="N4" s="83"/>
      <c r="O4" s="83"/>
      <c r="P4" s="83"/>
      <c r="Q4" s="83"/>
      <c r="R4" s="83"/>
      <c r="S4" s="83"/>
      <c r="T4" s="84"/>
      <c r="U4" s="84"/>
      <c r="V4" s="84"/>
      <c r="W4" s="84"/>
      <c r="X4" s="84"/>
    </row>
    <row r="5" spans="1:24" ht="75.75" thickBot="1" x14ac:dyDescent="0.3">
      <c r="B5" s="85"/>
      <c r="C5" s="127" t="s">
        <v>230</v>
      </c>
      <c r="D5" s="127" t="s">
        <v>259</v>
      </c>
      <c r="E5" s="127" t="s">
        <v>231</v>
      </c>
      <c r="F5" s="127" t="s">
        <v>232</v>
      </c>
      <c r="G5" s="127" t="s">
        <v>233</v>
      </c>
      <c r="H5" s="127" t="s">
        <v>234</v>
      </c>
      <c r="I5" s="128" t="str">
        <f>CONCATENATE("var. ",RIGHT(H5,2),"/",RIGHT(G5,2))</f>
        <v>var. 24/23</v>
      </c>
      <c r="J5" s="128" t="str">
        <f>CONCATENATE("dif. ",RIGHT(H5,2),"/",RIGHT(G5,2))</f>
        <v>dif. 24/23</v>
      </c>
      <c r="K5" s="128" t="str">
        <f>CONCATENATE("var. ",RIGHT(H5,2),"/",RIGHT(C5,2))</f>
        <v>var. 24/19</v>
      </c>
      <c r="L5" s="128" t="str">
        <f>CONCATENATE("dif. ",RIGHT(H5,2),"/",RIGHT(C5,2))</f>
        <v>dif. 24/19</v>
      </c>
      <c r="M5" s="14" t="str">
        <f>CONCATENATE("cuota ",H5)</f>
        <v>cuota acumulado a septiembre 2024</v>
      </c>
      <c r="N5" s="14" t="str">
        <f>CONCATENATE("cuota/ total municipio ",RIGHT(H5,2))</f>
        <v>cuota/ total municipio 24</v>
      </c>
      <c r="O5" s="13" t="s">
        <v>224</v>
      </c>
      <c r="P5" s="13" t="s">
        <v>235</v>
      </c>
      <c r="Q5" s="13" t="s">
        <v>225</v>
      </c>
      <c r="R5" s="13" t="s">
        <v>226</v>
      </c>
      <c r="S5" s="13" t="s">
        <v>227</v>
      </c>
      <c r="T5" s="13" t="s">
        <v>228</v>
      </c>
      <c r="U5" s="128" t="str">
        <f>CONCATENATE("var. ",RIGHT(T5,2),"/",RIGHT(S5,2))</f>
        <v>var. 24/23</v>
      </c>
      <c r="V5" s="128" t="str">
        <f>CONCATENATE("dif. ",RIGHT(T5,2),"/",RIGHT(S5,2))</f>
        <v>dif. 24/23</v>
      </c>
      <c r="W5" s="14" t="str">
        <f>CONCATENATE("cuota ",T5)</f>
        <v>cuota septiembre 2024</v>
      </c>
      <c r="X5" s="129" t="str">
        <f>CONCATENATE("cuota/ total municipio ",RIGHT(T5,2))</f>
        <v>cuota/ total municipio 24</v>
      </c>
    </row>
    <row r="6" spans="1:24" ht="15.75" x14ac:dyDescent="0.25">
      <c r="B6" s="130" t="s">
        <v>43</v>
      </c>
      <c r="C6" s="131">
        <v>3620829</v>
      </c>
      <c r="D6" s="131">
        <v>1311192</v>
      </c>
      <c r="E6" s="131">
        <v>1311969</v>
      </c>
      <c r="F6" s="131">
        <v>3492085</v>
      </c>
      <c r="G6" s="131">
        <v>3849133</v>
      </c>
      <c r="H6" s="131">
        <v>4095618</v>
      </c>
      <c r="I6" s="132">
        <f>IFERROR(H6/G6-1,"-")</f>
        <v>6.4036498608907477E-2</v>
      </c>
      <c r="J6" s="131">
        <f>IFERROR(H6-G6,"-")</f>
        <v>246485</v>
      </c>
      <c r="K6" s="132">
        <f>IFERROR(H6/C6-1,"-")</f>
        <v>0.13112715347783621</v>
      </c>
      <c r="L6" s="131">
        <f>IFERROR(H6-C6,"-")</f>
        <v>474789</v>
      </c>
      <c r="M6" s="132">
        <f>IFERROR(H6/$H$6,"-")</f>
        <v>1</v>
      </c>
      <c r="N6" s="133">
        <f>H6/H6</f>
        <v>1</v>
      </c>
      <c r="O6" s="131">
        <v>382041</v>
      </c>
      <c r="P6" s="131">
        <v>109886</v>
      </c>
      <c r="Q6" s="131">
        <v>280035</v>
      </c>
      <c r="R6" s="131">
        <v>390968</v>
      </c>
      <c r="S6" s="131">
        <v>423998</v>
      </c>
      <c r="T6" s="131">
        <v>434954</v>
      </c>
      <c r="U6" s="132">
        <f>IFERROR(T6/S6-1,"-")</f>
        <v>2.5839744527096808E-2</v>
      </c>
      <c r="V6" s="131">
        <f t="shared" ref="V6:V57" si="0">T6-S6</f>
        <v>10956</v>
      </c>
      <c r="W6" s="132">
        <f>IFERROR(R6/$R$6,"-")</f>
        <v>1</v>
      </c>
      <c r="X6" s="133">
        <f>IFERROR(T6/T6,"-")</f>
        <v>1</v>
      </c>
    </row>
    <row r="7" spans="1:24" ht="15.75" x14ac:dyDescent="0.25">
      <c r="B7" s="134" t="s">
        <v>60</v>
      </c>
      <c r="C7" s="135">
        <v>2653036</v>
      </c>
      <c r="D7" s="135">
        <v>1002314</v>
      </c>
      <c r="E7" s="135">
        <v>1038412</v>
      </c>
      <c r="F7" s="135">
        <v>2770259</v>
      </c>
      <c r="G7" s="135">
        <v>3031978</v>
      </c>
      <c r="H7" s="135">
        <v>3198024</v>
      </c>
      <c r="I7" s="136">
        <f t="shared" ref="I7:I57" si="1">IFERROR(H7/G7-1,"-")</f>
        <v>5.4764909244064519E-2</v>
      </c>
      <c r="J7" s="135">
        <f t="shared" ref="J7:J57" si="2">IFERROR(H7-G7,"-")</f>
        <v>166046</v>
      </c>
      <c r="K7" s="136">
        <f t="shared" ref="K7:K57" si="3">IFERROR(H7/C7-1,"-")</f>
        <v>0.20542050692112723</v>
      </c>
      <c r="L7" s="135">
        <f t="shared" ref="L7:L57" si="4">IFERROR(H7-C7,"-")</f>
        <v>544988</v>
      </c>
      <c r="M7" s="136">
        <f t="shared" ref="M7:M57" si="5">IFERROR(H7/$H$6,"-")</f>
        <v>0.78084040064283344</v>
      </c>
      <c r="N7" s="136">
        <f>H7/H6</f>
        <v>0.78084040064283344</v>
      </c>
      <c r="O7" s="135">
        <v>286586</v>
      </c>
      <c r="P7" s="135">
        <v>87408</v>
      </c>
      <c r="Q7" s="135">
        <v>229668</v>
      </c>
      <c r="R7" s="135">
        <v>311856</v>
      </c>
      <c r="S7" s="135">
        <v>334033</v>
      </c>
      <c r="T7" s="135">
        <v>340570</v>
      </c>
      <c r="U7" s="136">
        <f t="shared" ref="U7:U57" si="6">IFERROR(T7/S7-1,"-")</f>
        <v>1.9569922732185052E-2</v>
      </c>
      <c r="V7" s="135">
        <f t="shared" si="0"/>
        <v>6537</v>
      </c>
      <c r="W7" s="136">
        <f t="shared" ref="W7:W57" si="7">IFERROR(R7/$R$6,"-")</f>
        <v>0.79765095864623192</v>
      </c>
      <c r="X7" s="136">
        <f>IFERROR(T7/T6,"-")</f>
        <v>0.78300234047738382</v>
      </c>
    </row>
    <row r="8" spans="1:24" x14ac:dyDescent="0.25">
      <c r="B8" s="97" t="s">
        <v>140</v>
      </c>
      <c r="C8" s="52">
        <v>2100189</v>
      </c>
      <c r="D8" s="52">
        <v>795657</v>
      </c>
      <c r="E8" s="52">
        <v>856378</v>
      </c>
      <c r="F8" s="52">
        <v>2279770</v>
      </c>
      <c r="G8" s="52">
        <v>2487865</v>
      </c>
      <c r="H8" s="52">
        <v>2634612</v>
      </c>
      <c r="I8" s="98">
        <f t="shared" si="1"/>
        <v>5.8985113742104245E-2</v>
      </c>
      <c r="J8" s="52">
        <f t="shared" si="2"/>
        <v>146747</v>
      </c>
      <c r="K8" s="98">
        <f t="shared" si="3"/>
        <v>0.25446424107544607</v>
      </c>
      <c r="L8" s="52">
        <f t="shared" si="4"/>
        <v>534423</v>
      </c>
      <c r="M8" s="98">
        <f t="shared" si="5"/>
        <v>0.64327581332048056</v>
      </c>
      <c r="N8" s="98">
        <f>H8/H6</f>
        <v>0.64327581332048056</v>
      </c>
      <c r="O8" s="52">
        <v>230379</v>
      </c>
      <c r="P8" s="52">
        <v>68556</v>
      </c>
      <c r="Q8" s="52">
        <v>191758</v>
      </c>
      <c r="R8" s="52">
        <v>256065</v>
      </c>
      <c r="S8" s="52">
        <v>277683</v>
      </c>
      <c r="T8" s="52">
        <v>281159</v>
      </c>
      <c r="U8" s="98">
        <f t="shared" si="6"/>
        <v>1.2517871097618594E-2</v>
      </c>
      <c r="V8" s="52">
        <f t="shared" si="0"/>
        <v>3476</v>
      </c>
      <c r="W8" s="98">
        <f t="shared" si="7"/>
        <v>0.65495130036217797</v>
      </c>
      <c r="X8" s="98">
        <f>IFERROR(T8/T6,"-")</f>
        <v>0.64641088482920028</v>
      </c>
    </row>
    <row r="9" spans="1:24" x14ac:dyDescent="0.25">
      <c r="B9" s="97" t="s">
        <v>142</v>
      </c>
      <c r="C9" s="52">
        <v>552847</v>
      </c>
      <c r="D9" s="52">
        <v>206657</v>
      </c>
      <c r="E9" s="52">
        <v>182034</v>
      </c>
      <c r="F9" s="52">
        <v>490489</v>
      </c>
      <c r="G9" s="52">
        <v>544113</v>
      </c>
      <c r="H9" s="52">
        <v>563412</v>
      </c>
      <c r="I9" s="98">
        <f t="shared" si="1"/>
        <v>3.5468735354604597E-2</v>
      </c>
      <c r="J9" s="52">
        <f t="shared" si="2"/>
        <v>19299</v>
      </c>
      <c r="K9" s="98">
        <f t="shared" si="3"/>
        <v>1.9110169721459958E-2</v>
      </c>
      <c r="L9" s="52">
        <f t="shared" si="4"/>
        <v>10565</v>
      </c>
      <c r="M9" s="98">
        <f t="shared" si="5"/>
        <v>0.13756458732235283</v>
      </c>
      <c r="N9" s="98">
        <f>H9/H6</f>
        <v>0.13756458732235283</v>
      </c>
      <c r="O9" s="52">
        <v>56207</v>
      </c>
      <c r="P9" s="52">
        <v>18852</v>
      </c>
      <c r="Q9" s="52">
        <v>37910</v>
      </c>
      <c r="R9" s="52">
        <v>55791</v>
      </c>
      <c r="S9" s="52">
        <v>56350</v>
      </c>
      <c r="T9" s="52">
        <v>59411</v>
      </c>
      <c r="U9" s="98">
        <f t="shared" si="6"/>
        <v>5.4321206743566997E-2</v>
      </c>
      <c r="V9" s="52">
        <f t="shared" si="0"/>
        <v>3061</v>
      </c>
      <c r="W9" s="98">
        <f t="shared" si="7"/>
        <v>0.14269965828405393</v>
      </c>
      <c r="X9" s="98">
        <f>IFERROR(T9/T6,"-")</f>
        <v>0.13659145564818348</v>
      </c>
    </row>
    <row r="10" spans="1:24" ht="16.5" thickBot="1" x14ac:dyDescent="0.3">
      <c r="B10" s="137" t="s">
        <v>63</v>
      </c>
      <c r="C10" s="138">
        <v>967793</v>
      </c>
      <c r="D10" s="138">
        <v>303151</v>
      </c>
      <c r="E10" s="138">
        <v>273557</v>
      </c>
      <c r="F10" s="138">
        <v>721826</v>
      </c>
      <c r="G10" s="138">
        <v>817155</v>
      </c>
      <c r="H10" s="138">
        <v>897594</v>
      </c>
      <c r="I10" s="139">
        <f t="shared" si="1"/>
        <v>9.8437872863777365E-2</v>
      </c>
      <c r="J10" s="138">
        <f t="shared" si="2"/>
        <v>80439</v>
      </c>
      <c r="K10" s="139">
        <f t="shared" si="3"/>
        <v>-7.2535139229153334E-2</v>
      </c>
      <c r="L10" s="138">
        <f t="shared" si="4"/>
        <v>-70199</v>
      </c>
      <c r="M10" s="139">
        <f t="shared" si="5"/>
        <v>0.21915959935716661</v>
      </c>
      <c r="N10" s="139">
        <f>H10/H6</f>
        <v>0.21915959935716661</v>
      </c>
      <c r="O10" s="138">
        <v>95455</v>
      </c>
      <c r="P10" s="138">
        <v>22478</v>
      </c>
      <c r="Q10" s="138">
        <v>50367</v>
      </c>
      <c r="R10" s="138">
        <v>79112</v>
      </c>
      <c r="S10" s="138">
        <v>89965</v>
      </c>
      <c r="T10" s="138">
        <v>94384</v>
      </c>
      <c r="U10" s="139">
        <f t="shared" si="6"/>
        <v>4.9119101872950655E-2</v>
      </c>
      <c r="V10" s="138">
        <f t="shared" si="0"/>
        <v>4419</v>
      </c>
      <c r="W10" s="139">
        <f t="shared" si="7"/>
        <v>0.20234904135376808</v>
      </c>
      <c r="X10" s="139">
        <f>IFERROR(T10/T6,"-")</f>
        <v>0.21699765952261618</v>
      </c>
    </row>
    <row r="11" spans="1:24" ht="15.75" x14ac:dyDescent="0.25">
      <c r="A11" s="140">
        <f>G11/$G$11</f>
        <v>1</v>
      </c>
      <c r="B11" s="130" t="s">
        <v>44</v>
      </c>
      <c r="C11" s="131">
        <v>1326830</v>
      </c>
      <c r="D11" s="131">
        <v>434246</v>
      </c>
      <c r="E11" s="131">
        <v>505565</v>
      </c>
      <c r="F11" s="131">
        <v>1298122</v>
      </c>
      <c r="G11" s="131">
        <v>1400057</v>
      </c>
      <c r="H11" s="131">
        <v>1449683</v>
      </c>
      <c r="I11" s="132">
        <f t="shared" si="1"/>
        <v>3.5445699710797474E-2</v>
      </c>
      <c r="J11" s="131">
        <f t="shared" si="2"/>
        <v>49626</v>
      </c>
      <c r="K11" s="132">
        <f t="shared" si="3"/>
        <v>9.2591364379762231E-2</v>
      </c>
      <c r="L11" s="131">
        <f t="shared" si="4"/>
        <v>122853</v>
      </c>
      <c r="M11" s="132">
        <f t="shared" si="5"/>
        <v>0.35395952454550206</v>
      </c>
      <c r="N11" s="133">
        <f>H11/H11</f>
        <v>1</v>
      </c>
      <c r="O11" s="131">
        <v>136766</v>
      </c>
      <c r="P11" s="131">
        <v>37281</v>
      </c>
      <c r="Q11" s="131">
        <v>105384</v>
      </c>
      <c r="R11" s="131">
        <v>140395</v>
      </c>
      <c r="S11" s="131">
        <v>153067</v>
      </c>
      <c r="T11" s="131">
        <v>148572</v>
      </c>
      <c r="U11" s="132">
        <f t="shared" si="6"/>
        <v>-2.936622524776733E-2</v>
      </c>
      <c r="V11" s="131">
        <f t="shared" si="0"/>
        <v>-4495</v>
      </c>
      <c r="W11" s="132">
        <f t="shared" si="7"/>
        <v>0.35909588508522439</v>
      </c>
      <c r="X11" s="133">
        <f>IFERROR(T11/T11,"-")</f>
        <v>1</v>
      </c>
    </row>
    <row r="12" spans="1:24" ht="15.75" x14ac:dyDescent="0.25">
      <c r="A12" s="140">
        <f>G12/$G$11</f>
        <v>0.81779098993826682</v>
      </c>
      <c r="B12" s="134" t="s">
        <v>60</v>
      </c>
      <c r="C12" s="135">
        <v>1023538</v>
      </c>
      <c r="D12" s="135">
        <v>352777</v>
      </c>
      <c r="E12" s="135">
        <v>425407</v>
      </c>
      <c r="F12" s="135">
        <v>1107347</v>
      </c>
      <c r="G12" s="135">
        <v>1144954</v>
      </c>
      <c r="H12" s="135">
        <v>1180192</v>
      </c>
      <c r="I12" s="136">
        <f t="shared" si="1"/>
        <v>3.077678229867753E-2</v>
      </c>
      <c r="J12" s="135">
        <f t="shared" si="2"/>
        <v>35238</v>
      </c>
      <c r="K12" s="136">
        <f t="shared" si="3"/>
        <v>0.15305147439567457</v>
      </c>
      <c r="L12" s="135">
        <f t="shared" si="4"/>
        <v>156654</v>
      </c>
      <c r="M12" s="136">
        <f t="shared" si="5"/>
        <v>0.2881596867676624</v>
      </c>
      <c r="N12" s="136">
        <f>H12/H11</f>
        <v>0.81410349710936802</v>
      </c>
      <c r="O12" s="135">
        <v>108328</v>
      </c>
      <c r="P12" s="135">
        <v>29045</v>
      </c>
      <c r="Q12" s="135">
        <v>92716</v>
      </c>
      <c r="R12" s="135">
        <v>116996</v>
      </c>
      <c r="S12" s="135">
        <v>125237</v>
      </c>
      <c r="T12" s="135">
        <v>121062</v>
      </c>
      <c r="U12" s="136">
        <f t="shared" si="6"/>
        <v>-3.3336793439638468E-2</v>
      </c>
      <c r="V12" s="135">
        <f t="shared" si="0"/>
        <v>-4175</v>
      </c>
      <c r="W12" s="136">
        <f t="shared" si="7"/>
        <v>0.2992469971967015</v>
      </c>
      <c r="X12" s="136">
        <f>IFERROR(T12/T11,"-")</f>
        <v>0.81483725062595913</v>
      </c>
    </row>
    <row r="13" spans="1:24" x14ac:dyDescent="0.25">
      <c r="A13" s="140">
        <f>G13/$G$11</f>
        <v>0.72941530237697461</v>
      </c>
      <c r="B13" s="97" t="s">
        <v>140</v>
      </c>
      <c r="C13" s="52">
        <v>858685</v>
      </c>
      <c r="D13" s="52">
        <v>313172</v>
      </c>
      <c r="E13" s="52">
        <v>398389</v>
      </c>
      <c r="F13" s="52">
        <v>987366</v>
      </c>
      <c r="G13" s="52">
        <v>1021223</v>
      </c>
      <c r="H13" s="52">
        <v>1064916</v>
      </c>
      <c r="I13" s="98">
        <f t="shared" si="1"/>
        <v>4.278497448647367E-2</v>
      </c>
      <c r="J13" s="52">
        <f t="shared" si="2"/>
        <v>43693</v>
      </c>
      <c r="K13" s="98">
        <f t="shared" si="3"/>
        <v>0.24017072616850177</v>
      </c>
      <c r="L13" s="52">
        <f t="shared" si="4"/>
        <v>206231</v>
      </c>
      <c r="M13" s="98">
        <f t="shared" si="5"/>
        <v>0.26001350711907212</v>
      </c>
      <c r="N13" s="98">
        <f>H13/H11</f>
        <v>0.73458542315802833</v>
      </c>
      <c r="O13" s="52">
        <v>92717</v>
      </c>
      <c r="P13" s="52">
        <v>28487</v>
      </c>
      <c r="Q13" s="52">
        <v>84214</v>
      </c>
      <c r="R13" s="52">
        <v>103802</v>
      </c>
      <c r="S13" s="52">
        <v>112485</v>
      </c>
      <c r="T13" s="52">
        <v>109297</v>
      </c>
      <c r="U13" s="98">
        <f t="shared" si="6"/>
        <v>-2.8341556651998001E-2</v>
      </c>
      <c r="V13" s="52">
        <f t="shared" si="0"/>
        <v>-3188</v>
      </c>
      <c r="W13" s="98">
        <f t="shared" si="7"/>
        <v>0.26549998976898365</v>
      </c>
      <c r="X13" s="98">
        <f>IFERROR(T13/T11,"-")</f>
        <v>0.73565005519209536</v>
      </c>
    </row>
    <row r="14" spans="1:24" x14ac:dyDescent="0.25">
      <c r="A14" s="140">
        <f>G14/$G$11</f>
        <v>8.8375687561292146E-2</v>
      </c>
      <c r="B14" s="97" t="s">
        <v>142</v>
      </c>
      <c r="C14" s="52">
        <v>164853</v>
      </c>
      <c r="D14" s="52">
        <v>39605</v>
      </c>
      <c r="E14" s="52">
        <v>27018</v>
      </c>
      <c r="F14" s="52">
        <v>119981</v>
      </c>
      <c r="G14" s="52">
        <v>123731</v>
      </c>
      <c r="H14" s="52">
        <v>115276</v>
      </c>
      <c r="I14" s="98">
        <f t="shared" si="1"/>
        <v>-6.8333723965699811E-2</v>
      </c>
      <c r="J14" s="52">
        <f t="shared" si="2"/>
        <v>-8455</v>
      </c>
      <c r="K14" s="98">
        <f t="shared" si="3"/>
        <v>-0.30073459385027879</v>
      </c>
      <c r="L14" s="52">
        <f t="shared" si="4"/>
        <v>-49577</v>
      </c>
      <c r="M14" s="98">
        <f t="shared" si="5"/>
        <v>2.8146179648590272E-2</v>
      </c>
      <c r="N14" s="98">
        <f>H14/H11</f>
        <v>7.951807395133971E-2</v>
      </c>
      <c r="O14" s="52">
        <v>15611</v>
      </c>
      <c r="P14" s="52">
        <v>558</v>
      </c>
      <c r="Q14" s="52">
        <v>8502</v>
      </c>
      <c r="R14" s="52">
        <v>13194</v>
      </c>
      <c r="S14" s="52">
        <v>12752</v>
      </c>
      <c r="T14" s="52">
        <v>11765</v>
      </c>
      <c r="U14" s="98">
        <f t="shared" si="6"/>
        <v>-7.7399623588456756E-2</v>
      </c>
      <c r="V14" s="52">
        <f t="shared" si="0"/>
        <v>-987</v>
      </c>
      <c r="W14" s="98">
        <f t="shared" si="7"/>
        <v>3.3747007427717871E-2</v>
      </c>
      <c r="X14" s="98">
        <f>IFERROR(T14/T11,"-")</f>
        <v>7.9187195433863711E-2</v>
      </c>
    </row>
    <row r="15" spans="1:24" ht="16.5" thickBot="1" x14ac:dyDescent="0.3">
      <c r="A15" s="140">
        <f>G15/$G$11</f>
        <v>0.18220901006173321</v>
      </c>
      <c r="B15" s="137" t="s">
        <v>63</v>
      </c>
      <c r="C15" s="138">
        <v>303292</v>
      </c>
      <c r="D15" s="138">
        <v>81469</v>
      </c>
      <c r="E15" s="138">
        <v>80158</v>
      </c>
      <c r="F15" s="138">
        <v>190775</v>
      </c>
      <c r="G15" s="138">
        <v>255103</v>
      </c>
      <c r="H15" s="138">
        <v>269491</v>
      </c>
      <c r="I15" s="139">
        <f t="shared" si="1"/>
        <v>5.6400747933187834E-2</v>
      </c>
      <c r="J15" s="138">
        <f t="shared" si="2"/>
        <v>14388</v>
      </c>
      <c r="K15" s="139">
        <f t="shared" si="3"/>
        <v>-0.11144705432388591</v>
      </c>
      <c r="L15" s="138">
        <f t="shared" si="4"/>
        <v>-33801</v>
      </c>
      <c r="M15" s="139">
        <f t="shared" si="5"/>
        <v>6.5799837777839626E-2</v>
      </c>
      <c r="N15" s="139">
        <f>H15/H11</f>
        <v>0.18589650289063195</v>
      </c>
      <c r="O15" s="138">
        <v>28438</v>
      </c>
      <c r="P15" s="138">
        <v>8236</v>
      </c>
      <c r="Q15" s="138">
        <v>12668</v>
      </c>
      <c r="R15" s="138">
        <v>23399</v>
      </c>
      <c r="S15" s="138">
        <v>27830</v>
      </c>
      <c r="T15" s="138">
        <v>27510</v>
      </c>
      <c r="U15" s="139">
        <f t="shared" si="6"/>
        <v>-1.1498383039885041E-2</v>
      </c>
      <c r="V15" s="138">
        <f t="shared" si="0"/>
        <v>-320</v>
      </c>
      <c r="W15" s="139">
        <f t="shared" si="7"/>
        <v>5.9848887888522849E-2</v>
      </c>
      <c r="X15" s="139">
        <f>IFERROR(T15/T11,"-")</f>
        <v>0.18516274937404087</v>
      </c>
    </row>
    <row r="16" spans="1:24" ht="15.75" x14ac:dyDescent="0.25">
      <c r="A16" s="79"/>
      <c r="B16" s="130" t="s">
        <v>45</v>
      </c>
      <c r="C16" s="131">
        <v>972864</v>
      </c>
      <c r="D16" s="131">
        <v>298260</v>
      </c>
      <c r="E16" s="131">
        <v>235520</v>
      </c>
      <c r="F16" s="131">
        <v>914043</v>
      </c>
      <c r="G16" s="131">
        <v>974839</v>
      </c>
      <c r="H16" s="131">
        <v>1033377</v>
      </c>
      <c r="I16" s="132">
        <f t="shared" si="1"/>
        <v>6.0048890124420495E-2</v>
      </c>
      <c r="J16" s="131">
        <f t="shared" si="2"/>
        <v>58538</v>
      </c>
      <c r="K16" s="132">
        <f t="shared" si="3"/>
        <v>6.2200883165581144E-2</v>
      </c>
      <c r="L16" s="131">
        <f t="shared" si="4"/>
        <v>60513</v>
      </c>
      <c r="M16" s="132">
        <f t="shared" si="5"/>
        <v>0.25231283776953806</v>
      </c>
      <c r="N16" s="133">
        <f>H16/H16</f>
        <v>1</v>
      </c>
      <c r="O16" s="131">
        <v>99309</v>
      </c>
      <c r="P16" s="131">
        <v>18180</v>
      </c>
      <c r="Q16" s="131">
        <v>59020</v>
      </c>
      <c r="R16" s="131">
        <v>103298</v>
      </c>
      <c r="S16" s="131">
        <v>107312</v>
      </c>
      <c r="T16" s="131">
        <v>111150</v>
      </c>
      <c r="U16" s="132">
        <f t="shared" si="6"/>
        <v>3.5764872521246494E-2</v>
      </c>
      <c r="V16" s="131">
        <f t="shared" si="0"/>
        <v>3838</v>
      </c>
      <c r="W16" s="132">
        <f t="shared" si="7"/>
        <v>0.26421088170898899</v>
      </c>
      <c r="X16" s="133">
        <f>IFERROR(T16/T16,"-")</f>
        <v>1</v>
      </c>
    </row>
    <row r="17" spans="2:24" ht="15.75" x14ac:dyDescent="0.25">
      <c r="B17" s="134" t="s">
        <v>60</v>
      </c>
      <c r="C17" s="135">
        <v>536693</v>
      </c>
      <c r="D17" s="135">
        <v>170072</v>
      </c>
      <c r="E17" s="135">
        <v>104720</v>
      </c>
      <c r="F17" s="135">
        <v>546989</v>
      </c>
      <c r="G17" s="135">
        <v>598309</v>
      </c>
      <c r="H17" s="135">
        <v>639306</v>
      </c>
      <c r="I17" s="136">
        <f t="shared" si="1"/>
        <v>6.8521449618842434E-2</v>
      </c>
      <c r="J17" s="135">
        <f t="shared" si="2"/>
        <v>40997</v>
      </c>
      <c r="K17" s="136">
        <f t="shared" si="3"/>
        <v>0.19119496620973253</v>
      </c>
      <c r="L17" s="135">
        <f t="shared" si="4"/>
        <v>102613</v>
      </c>
      <c r="M17" s="136">
        <f t="shared" si="5"/>
        <v>0.15609512410581261</v>
      </c>
      <c r="N17" s="136">
        <f>H17/H16</f>
        <v>0.61865708255554364</v>
      </c>
      <c r="O17" s="135">
        <v>56373</v>
      </c>
      <c r="P17" s="135">
        <v>8785</v>
      </c>
      <c r="Q17" s="135">
        <v>33952</v>
      </c>
      <c r="R17" s="135">
        <v>64404</v>
      </c>
      <c r="S17" s="135">
        <v>67208</v>
      </c>
      <c r="T17" s="135">
        <v>71650</v>
      </c>
      <c r="U17" s="136">
        <f t="shared" si="6"/>
        <v>6.6093322223544915E-2</v>
      </c>
      <c r="V17" s="135">
        <f t="shared" si="0"/>
        <v>4442</v>
      </c>
      <c r="W17" s="136">
        <f t="shared" si="7"/>
        <v>0.1647295942378916</v>
      </c>
      <c r="X17" s="136">
        <f>IFERROR(T17/T16,"-")</f>
        <v>0.64462438146648671</v>
      </c>
    </row>
    <row r="18" spans="2:24" x14ac:dyDescent="0.25">
      <c r="B18" s="97" t="s">
        <v>140</v>
      </c>
      <c r="C18" s="52">
        <v>407384</v>
      </c>
      <c r="D18" s="52">
        <v>124031</v>
      </c>
      <c r="E18" s="52">
        <v>86318</v>
      </c>
      <c r="F18" s="52">
        <v>415520</v>
      </c>
      <c r="G18" s="52">
        <v>452861</v>
      </c>
      <c r="H18" s="52">
        <v>482421</v>
      </c>
      <c r="I18" s="98">
        <f t="shared" si="1"/>
        <v>6.5273891988932631E-2</v>
      </c>
      <c r="J18" s="52">
        <f t="shared" si="2"/>
        <v>29560</v>
      </c>
      <c r="K18" s="98">
        <f t="shared" si="3"/>
        <v>0.18419230995817215</v>
      </c>
      <c r="L18" s="52">
        <f t="shared" si="4"/>
        <v>75037</v>
      </c>
      <c r="M18" s="98">
        <f t="shared" si="5"/>
        <v>0.11778954970898164</v>
      </c>
      <c r="N18" s="98">
        <f>H18/H16</f>
        <v>0.46683930453261491</v>
      </c>
      <c r="O18" s="52">
        <v>44069</v>
      </c>
      <c r="P18" s="52">
        <v>6466</v>
      </c>
      <c r="Q18" s="52">
        <v>28209</v>
      </c>
      <c r="R18" s="52">
        <v>49072</v>
      </c>
      <c r="S18" s="52">
        <v>51415</v>
      </c>
      <c r="T18" s="52">
        <v>54012</v>
      </c>
      <c r="U18" s="98">
        <f t="shared" si="6"/>
        <v>5.0510551395507086E-2</v>
      </c>
      <c r="V18" s="52">
        <f t="shared" si="0"/>
        <v>2597</v>
      </c>
      <c r="W18" s="98">
        <f t="shared" si="7"/>
        <v>0.12551410857154549</v>
      </c>
      <c r="X18" s="98">
        <f>IFERROR(T18/T16,"-")</f>
        <v>0.48593792172739542</v>
      </c>
    </row>
    <row r="19" spans="2:24" x14ac:dyDescent="0.25">
      <c r="B19" s="97" t="s">
        <v>142</v>
      </c>
      <c r="C19" s="52">
        <v>129309</v>
      </c>
      <c r="D19" s="52">
        <v>46041</v>
      </c>
      <c r="E19" s="52">
        <v>18402</v>
      </c>
      <c r="F19" s="52">
        <v>131469</v>
      </c>
      <c r="G19" s="52">
        <v>145448</v>
      </c>
      <c r="H19" s="52">
        <v>156885</v>
      </c>
      <c r="I19" s="98">
        <f t="shared" si="1"/>
        <v>7.863291348110657E-2</v>
      </c>
      <c r="J19" s="52">
        <f t="shared" si="2"/>
        <v>11437</v>
      </c>
      <c r="K19" s="98">
        <f t="shared" si="3"/>
        <v>0.21325661786882577</v>
      </c>
      <c r="L19" s="52">
        <f t="shared" si="4"/>
        <v>27576</v>
      </c>
      <c r="M19" s="98">
        <f t="shared" si="5"/>
        <v>3.8305574396830952E-2</v>
      </c>
      <c r="N19" s="98">
        <f>H19/H16</f>
        <v>0.1518177780229287</v>
      </c>
      <c r="O19" s="52">
        <v>12304</v>
      </c>
      <c r="P19" s="52">
        <v>2319</v>
      </c>
      <c r="Q19" s="52">
        <v>5743</v>
      </c>
      <c r="R19" s="52">
        <v>15332</v>
      </c>
      <c r="S19" s="52">
        <v>15793</v>
      </c>
      <c r="T19" s="52">
        <v>17638</v>
      </c>
      <c r="U19" s="98">
        <f t="shared" si="6"/>
        <v>0.116823909326917</v>
      </c>
      <c r="V19" s="52">
        <f t="shared" si="0"/>
        <v>1845</v>
      </c>
      <c r="W19" s="98">
        <f t="shared" si="7"/>
        <v>3.9215485666346098E-2</v>
      </c>
      <c r="X19" s="98">
        <f>IFERROR(T19/T16,"-")</f>
        <v>0.15868645973909132</v>
      </c>
    </row>
    <row r="20" spans="2:24" ht="16.5" thickBot="1" x14ac:dyDescent="0.3">
      <c r="B20" s="137" t="s">
        <v>63</v>
      </c>
      <c r="C20" s="138">
        <v>436171</v>
      </c>
      <c r="D20" s="138">
        <v>128188</v>
      </c>
      <c r="E20" s="138">
        <v>130800</v>
      </c>
      <c r="F20" s="138">
        <v>367054</v>
      </c>
      <c r="G20" s="138">
        <v>376530</v>
      </c>
      <c r="H20" s="138">
        <v>394071</v>
      </c>
      <c r="I20" s="139">
        <f t="shared" si="1"/>
        <v>4.6585929408015314E-2</v>
      </c>
      <c r="J20" s="138">
        <f t="shared" si="2"/>
        <v>17541</v>
      </c>
      <c r="K20" s="139">
        <f t="shared" si="3"/>
        <v>-9.6521777009475618E-2</v>
      </c>
      <c r="L20" s="138">
        <f t="shared" si="4"/>
        <v>-42100</v>
      </c>
      <c r="M20" s="139">
        <f t="shared" si="5"/>
        <v>9.6217713663725474E-2</v>
      </c>
      <c r="N20" s="139">
        <f>H20/H16</f>
        <v>0.38134291744445636</v>
      </c>
      <c r="O20" s="138">
        <v>42936</v>
      </c>
      <c r="P20" s="138">
        <v>9395</v>
      </c>
      <c r="Q20" s="138">
        <v>25068</v>
      </c>
      <c r="R20" s="138">
        <v>38894</v>
      </c>
      <c r="S20" s="138">
        <v>40104</v>
      </c>
      <c r="T20" s="138">
        <v>39500</v>
      </c>
      <c r="U20" s="139">
        <f t="shared" si="6"/>
        <v>-1.5060841811290637E-2</v>
      </c>
      <c r="V20" s="138">
        <f t="shared" si="0"/>
        <v>-604</v>
      </c>
      <c r="W20" s="139">
        <f t="shared" si="7"/>
        <v>9.9481287471097385E-2</v>
      </c>
      <c r="X20" s="139">
        <f>IFERROR(T20/T16,"-")</f>
        <v>0.35537561853351329</v>
      </c>
    </row>
    <row r="21" spans="2:24" ht="15.75" x14ac:dyDescent="0.25">
      <c r="B21" s="130" t="s">
        <v>46</v>
      </c>
      <c r="C21" s="131">
        <v>33380</v>
      </c>
      <c r="D21" s="131">
        <v>11345</v>
      </c>
      <c r="E21" s="131">
        <v>11501</v>
      </c>
      <c r="F21" s="131">
        <v>25651</v>
      </c>
      <c r="G21" s="131">
        <v>37060</v>
      </c>
      <c r="H21" s="131">
        <v>32035</v>
      </c>
      <c r="I21" s="132">
        <f t="shared" si="1"/>
        <v>-0.13559093362115493</v>
      </c>
      <c r="J21" s="131">
        <f t="shared" si="2"/>
        <v>-5025</v>
      </c>
      <c r="K21" s="132">
        <f t="shared" si="3"/>
        <v>-4.0293588975434447E-2</v>
      </c>
      <c r="L21" s="131">
        <f t="shared" si="4"/>
        <v>-1345</v>
      </c>
      <c r="M21" s="132">
        <f t="shared" si="5"/>
        <v>7.8217743939986584E-3</v>
      </c>
      <c r="N21" s="133">
        <f>H21/H21</f>
        <v>1</v>
      </c>
      <c r="O21" s="131">
        <v>3494</v>
      </c>
      <c r="P21" s="131">
        <v>220</v>
      </c>
      <c r="Q21" s="131">
        <v>2289</v>
      </c>
      <c r="R21" s="131">
        <v>3143</v>
      </c>
      <c r="S21" s="131">
        <v>3734</v>
      </c>
      <c r="T21" s="131">
        <v>3135</v>
      </c>
      <c r="U21" s="132">
        <f t="shared" si="6"/>
        <v>-0.16041778253883232</v>
      </c>
      <c r="V21" s="131">
        <f t="shared" si="0"/>
        <v>-599</v>
      </c>
      <c r="W21" s="132">
        <f t="shared" si="7"/>
        <v>8.039021096355712E-3</v>
      </c>
      <c r="X21" s="133">
        <f>IFERROR(T21/T21,"-")</f>
        <v>1</v>
      </c>
    </row>
    <row r="22" spans="2:24" ht="15.75" x14ac:dyDescent="0.25">
      <c r="B22" s="134" t="s">
        <v>60</v>
      </c>
      <c r="C22" s="135">
        <v>29035</v>
      </c>
      <c r="D22" s="135">
        <v>9467</v>
      </c>
      <c r="E22" s="135">
        <v>11501</v>
      </c>
      <c r="F22" s="135">
        <v>25651</v>
      </c>
      <c r="G22" s="135">
        <v>36596</v>
      </c>
      <c r="H22" s="135">
        <v>31559</v>
      </c>
      <c r="I22" s="136">
        <f t="shared" si="1"/>
        <v>-0.13763799322330306</v>
      </c>
      <c r="J22" s="135">
        <f t="shared" si="2"/>
        <v>-5037</v>
      </c>
      <c r="K22" s="136">
        <f t="shared" si="3"/>
        <v>8.6929567763044613E-2</v>
      </c>
      <c r="L22" s="135">
        <f t="shared" si="4"/>
        <v>2524</v>
      </c>
      <c r="M22" s="136">
        <f t="shared" si="5"/>
        <v>7.7055526174560221E-3</v>
      </c>
      <c r="N22" s="136">
        <f>H22/H21</f>
        <v>0.98514125175589196</v>
      </c>
      <c r="O22" s="135">
        <v>2946</v>
      </c>
      <c r="P22" s="135">
        <v>220</v>
      </c>
      <c r="Q22" s="135">
        <v>2289</v>
      </c>
      <c r="R22" s="135">
        <v>3143</v>
      </c>
      <c r="S22" s="135">
        <v>3673</v>
      </c>
      <c r="T22" s="135">
        <v>3065</v>
      </c>
      <c r="U22" s="136">
        <f t="shared" si="6"/>
        <v>-0.16553226245575825</v>
      </c>
      <c r="V22" s="135">
        <f t="shared" si="0"/>
        <v>-608</v>
      </c>
      <c r="W22" s="136">
        <f t="shared" si="7"/>
        <v>8.039021096355712E-3</v>
      </c>
      <c r="X22" s="136">
        <f>IFERROR(T22/T21,"-")</f>
        <v>0.97767145135566191</v>
      </c>
    </row>
    <row r="23" spans="2:24" x14ac:dyDescent="0.25">
      <c r="B23" s="97" t="s">
        <v>140</v>
      </c>
      <c r="C23" s="52">
        <v>0</v>
      </c>
      <c r="D23" s="52">
        <v>0</v>
      </c>
      <c r="E23" s="52">
        <v>0</v>
      </c>
      <c r="F23" s="52">
        <v>0</v>
      </c>
      <c r="G23" s="52">
        <v>0</v>
      </c>
      <c r="H23" s="52">
        <v>0</v>
      </c>
      <c r="I23" s="98" t="str">
        <f t="shared" si="1"/>
        <v>-</v>
      </c>
      <c r="J23" s="52">
        <f t="shared" si="2"/>
        <v>0</v>
      </c>
      <c r="K23" s="98" t="str">
        <f t="shared" si="3"/>
        <v>-</v>
      </c>
      <c r="L23" s="52">
        <f t="shared" si="4"/>
        <v>0</v>
      </c>
      <c r="M23" s="98">
        <f t="shared" si="5"/>
        <v>0</v>
      </c>
      <c r="N23" s="98">
        <f>H23/H21</f>
        <v>0</v>
      </c>
      <c r="O23" s="52">
        <v>0</v>
      </c>
      <c r="P23" s="52">
        <v>0</v>
      </c>
      <c r="Q23" s="52">
        <v>0</v>
      </c>
      <c r="R23" s="52">
        <v>0</v>
      </c>
      <c r="S23" s="52">
        <v>0</v>
      </c>
      <c r="T23" s="52">
        <v>0</v>
      </c>
      <c r="U23" s="98" t="str">
        <f t="shared" si="6"/>
        <v>-</v>
      </c>
      <c r="V23" s="52">
        <f t="shared" si="0"/>
        <v>0</v>
      </c>
      <c r="W23" s="98">
        <f t="shared" si="7"/>
        <v>0</v>
      </c>
      <c r="X23" s="98">
        <f>IFERROR(T23/T21,"-")</f>
        <v>0</v>
      </c>
    </row>
    <row r="24" spans="2:24" x14ac:dyDescent="0.25">
      <c r="B24" s="97" t="s">
        <v>142</v>
      </c>
      <c r="C24" s="52">
        <v>0</v>
      </c>
      <c r="D24" s="52">
        <v>1275</v>
      </c>
      <c r="E24" s="52">
        <v>3463</v>
      </c>
      <c r="F24" s="52">
        <v>0</v>
      </c>
      <c r="G24" s="52">
        <v>0</v>
      </c>
      <c r="H24" s="52">
        <v>0</v>
      </c>
      <c r="I24" s="98" t="str">
        <f t="shared" si="1"/>
        <v>-</v>
      </c>
      <c r="J24" s="52">
        <f t="shared" si="2"/>
        <v>0</v>
      </c>
      <c r="K24" s="98" t="str">
        <f t="shared" si="3"/>
        <v>-</v>
      </c>
      <c r="L24" s="52">
        <f t="shared" si="4"/>
        <v>0</v>
      </c>
      <c r="M24" s="98">
        <f t="shared" si="5"/>
        <v>0</v>
      </c>
      <c r="N24" s="98">
        <f>H24/H21</f>
        <v>0</v>
      </c>
      <c r="O24" s="52">
        <v>0</v>
      </c>
      <c r="P24" s="52">
        <v>220</v>
      </c>
      <c r="Q24" s="52">
        <v>0</v>
      </c>
      <c r="R24" s="52">
        <v>0</v>
      </c>
      <c r="S24" s="52">
        <v>0</v>
      </c>
      <c r="T24" s="52">
        <v>0</v>
      </c>
      <c r="U24" s="98" t="str">
        <f t="shared" si="6"/>
        <v>-</v>
      </c>
      <c r="V24" s="52">
        <f t="shared" si="0"/>
        <v>0</v>
      </c>
      <c r="W24" s="98">
        <f t="shared" si="7"/>
        <v>0</v>
      </c>
      <c r="X24" s="98">
        <f>IFERROR(T24/T21,"-")</f>
        <v>0</v>
      </c>
    </row>
    <row r="25" spans="2:24" ht="16.5" thickBot="1" x14ac:dyDescent="0.3">
      <c r="B25" s="137" t="s">
        <v>63</v>
      </c>
      <c r="C25" s="138">
        <v>4345</v>
      </c>
      <c r="D25" s="138">
        <v>1878</v>
      </c>
      <c r="E25" s="138">
        <v>0</v>
      </c>
      <c r="F25" s="138">
        <v>0</v>
      </c>
      <c r="G25" s="138">
        <v>0</v>
      </c>
      <c r="H25" s="138">
        <v>0</v>
      </c>
      <c r="I25" s="139" t="str">
        <f t="shared" si="1"/>
        <v>-</v>
      </c>
      <c r="J25" s="138">
        <f t="shared" si="2"/>
        <v>0</v>
      </c>
      <c r="K25" s="139">
        <f t="shared" si="3"/>
        <v>-1</v>
      </c>
      <c r="L25" s="138">
        <f t="shared" si="4"/>
        <v>-4345</v>
      </c>
      <c r="M25" s="139">
        <f t="shared" si="5"/>
        <v>0</v>
      </c>
      <c r="N25" s="139">
        <f>H25/H21</f>
        <v>0</v>
      </c>
      <c r="O25" s="138">
        <v>548</v>
      </c>
      <c r="P25" s="138">
        <v>0</v>
      </c>
      <c r="Q25" s="138">
        <v>0</v>
      </c>
      <c r="R25" s="138">
        <v>0</v>
      </c>
      <c r="S25" s="138">
        <v>0</v>
      </c>
      <c r="T25" s="138">
        <v>0</v>
      </c>
      <c r="U25" s="139" t="str">
        <f t="shared" si="6"/>
        <v>-</v>
      </c>
      <c r="V25" s="138">
        <f t="shared" si="0"/>
        <v>0</v>
      </c>
      <c r="W25" s="139">
        <f t="shared" si="7"/>
        <v>0</v>
      </c>
      <c r="X25" s="139">
        <f>IFERROR(T25/T21,"-")</f>
        <v>0</v>
      </c>
    </row>
    <row r="26" spans="2:24" ht="15.75" x14ac:dyDescent="0.25">
      <c r="B26" s="130" t="s">
        <v>47</v>
      </c>
      <c r="C26" s="131">
        <v>103641</v>
      </c>
      <c r="D26" s="131">
        <v>36944</v>
      </c>
      <c r="E26" s="131">
        <v>34184</v>
      </c>
      <c r="F26" s="131">
        <v>117560</v>
      </c>
      <c r="G26" s="131">
        <v>137595</v>
      </c>
      <c r="H26" s="131">
        <v>175857</v>
      </c>
      <c r="I26" s="132">
        <f t="shared" si="1"/>
        <v>0.27807696500599577</v>
      </c>
      <c r="J26" s="131">
        <f t="shared" si="2"/>
        <v>38262</v>
      </c>
      <c r="K26" s="132">
        <f t="shared" si="3"/>
        <v>0.69678988045271661</v>
      </c>
      <c r="L26" s="131">
        <f t="shared" si="4"/>
        <v>72216</v>
      </c>
      <c r="M26" s="132">
        <f t="shared" si="5"/>
        <v>4.2937842347601757E-2</v>
      </c>
      <c r="N26" s="133">
        <f>H26/H26</f>
        <v>1</v>
      </c>
      <c r="O26" s="131">
        <v>11945</v>
      </c>
      <c r="P26" s="131">
        <v>6236</v>
      </c>
      <c r="Q26" s="131">
        <v>8360</v>
      </c>
      <c r="R26" s="131">
        <v>10763</v>
      </c>
      <c r="S26" s="131">
        <v>16386</v>
      </c>
      <c r="T26" s="131">
        <v>17100</v>
      </c>
      <c r="U26" s="132">
        <f t="shared" si="6"/>
        <v>4.3573782497253744E-2</v>
      </c>
      <c r="V26" s="131">
        <f t="shared" si="0"/>
        <v>714</v>
      </c>
      <c r="W26" s="132">
        <f t="shared" si="7"/>
        <v>2.7529107241513372E-2</v>
      </c>
      <c r="X26" s="133">
        <f>IFERROR(T26/T26,"-")</f>
        <v>1</v>
      </c>
    </row>
    <row r="27" spans="2:24" ht="15.75" x14ac:dyDescent="0.25">
      <c r="B27" s="134" t="s">
        <v>60</v>
      </c>
      <c r="C27" s="135">
        <v>102355</v>
      </c>
      <c r="D27" s="135">
        <v>36134</v>
      </c>
      <c r="E27" s="135">
        <v>32734</v>
      </c>
      <c r="F27" s="135">
        <v>110290</v>
      </c>
      <c r="G27" s="135">
        <v>131067</v>
      </c>
      <c r="H27" s="135">
        <v>146251</v>
      </c>
      <c r="I27" s="136">
        <f t="shared" si="1"/>
        <v>0.11584914585669925</v>
      </c>
      <c r="J27" s="135">
        <f t="shared" si="2"/>
        <v>15184</v>
      </c>
      <c r="K27" s="136">
        <f t="shared" si="3"/>
        <v>0.42886033901616916</v>
      </c>
      <c r="L27" s="135">
        <f t="shared" si="4"/>
        <v>43896</v>
      </c>
      <c r="M27" s="136">
        <f t="shared" si="5"/>
        <v>3.5709140842725078E-2</v>
      </c>
      <c r="N27" s="136">
        <f>H27/H26</f>
        <v>0.83164730434387035</v>
      </c>
      <c r="O27" s="135">
        <v>11734</v>
      </c>
      <c r="P27" s="135">
        <v>6206</v>
      </c>
      <c r="Q27" s="135">
        <v>7499</v>
      </c>
      <c r="R27" s="135">
        <v>10282</v>
      </c>
      <c r="S27" s="135">
        <v>15797</v>
      </c>
      <c r="T27" s="135">
        <v>14091</v>
      </c>
      <c r="U27" s="136">
        <f t="shared" si="6"/>
        <v>-0.1079951889599291</v>
      </c>
      <c r="V27" s="135">
        <f t="shared" si="0"/>
        <v>-1706</v>
      </c>
      <c r="W27" s="136">
        <f t="shared" si="7"/>
        <v>2.6298827525526387E-2</v>
      </c>
      <c r="X27" s="136">
        <f>IFERROR(T27/T26,"-")</f>
        <v>0.82403508771929823</v>
      </c>
    </row>
    <row r="28" spans="2:24" x14ac:dyDescent="0.25">
      <c r="B28" s="97" t="s">
        <v>140</v>
      </c>
      <c r="C28" s="52">
        <v>92457</v>
      </c>
      <c r="D28" s="52">
        <v>27988</v>
      </c>
      <c r="E28" s="52">
        <v>32734</v>
      </c>
      <c r="F28" s="52">
        <v>0</v>
      </c>
      <c r="G28" s="52">
        <v>69914</v>
      </c>
      <c r="H28" s="52">
        <v>0</v>
      </c>
      <c r="I28" s="98">
        <f t="shared" si="1"/>
        <v>-1</v>
      </c>
      <c r="J28" s="52">
        <f t="shared" si="2"/>
        <v>-69914</v>
      </c>
      <c r="K28" s="98">
        <f t="shared" si="3"/>
        <v>-1</v>
      </c>
      <c r="L28" s="52">
        <f t="shared" si="4"/>
        <v>-92457</v>
      </c>
      <c r="M28" s="98">
        <f t="shared" si="5"/>
        <v>0</v>
      </c>
      <c r="N28" s="98">
        <f>H28/H26</f>
        <v>0</v>
      </c>
      <c r="O28" s="52">
        <v>10701</v>
      </c>
      <c r="P28" s="52">
        <v>0</v>
      </c>
      <c r="Q28" s="52">
        <v>7499</v>
      </c>
      <c r="R28" s="52">
        <v>0</v>
      </c>
      <c r="S28" s="52">
        <v>15797</v>
      </c>
      <c r="T28" s="52">
        <v>0</v>
      </c>
      <c r="U28" s="98">
        <f t="shared" si="6"/>
        <v>-1</v>
      </c>
      <c r="V28" s="52">
        <f t="shared" si="0"/>
        <v>-15797</v>
      </c>
      <c r="W28" s="98">
        <f t="shared" si="7"/>
        <v>0</v>
      </c>
      <c r="X28" s="98">
        <f>IFERROR(T28/T26,"-")</f>
        <v>0</v>
      </c>
    </row>
    <row r="29" spans="2:24" ht="15.75" thickBot="1" x14ac:dyDescent="0.3">
      <c r="B29" s="97" t="s">
        <v>142</v>
      </c>
      <c r="C29" s="52">
        <v>9898</v>
      </c>
      <c r="D29" s="52">
        <v>1940</v>
      </c>
      <c r="E29" s="52">
        <v>0</v>
      </c>
      <c r="F29" s="52">
        <v>0</v>
      </c>
      <c r="G29" s="52">
        <v>0</v>
      </c>
      <c r="H29" s="52">
        <v>0</v>
      </c>
      <c r="I29" s="98" t="str">
        <f t="shared" si="1"/>
        <v>-</v>
      </c>
      <c r="J29" s="52">
        <f t="shared" si="2"/>
        <v>0</v>
      </c>
      <c r="K29" s="98">
        <f t="shared" si="3"/>
        <v>-1</v>
      </c>
      <c r="L29" s="52">
        <f t="shared" si="4"/>
        <v>-9898</v>
      </c>
      <c r="M29" s="98">
        <f t="shared" si="5"/>
        <v>0</v>
      </c>
      <c r="N29" s="98">
        <f>H29/H26</f>
        <v>0</v>
      </c>
      <c r="O29" s="52">
        <v>1033</v>
      </c>
      <c r="P29" s="52">
        <v>0</v>
      </c>
      <c r="Q29" s="52">
        <v>0</v>
      </c>
      <c r="R29" s="52">
        <v>0</v>
      </c>
      <c r="S29" s="52">
        <v>0</v>
      </c>
      <c r="T29" s="52">
        <v>0</v>
      </c>
      <c r="U29" s="98" t="str">
        <f t="shared" si="6"/>
        <v>-</v>
      </c>
      <c r="V29" s="52">
        <f t="shared" si="0"/>
        <v>0</v>
      </c>
      <c r="W29" s="98">
        <f t="shared" si="7"/>
        <v>0</v>
      </c>
      <c r="X29" s="98">
        <f>IFERROR(T29/T26,"-")</f>
        <v>0</v>
      </c>
    </row>
    <row r="30" spans="2:24" ht="15.75" x14ac:dyDescent="0.25">
      <c r="B30" s="130" t="s">
        <v>48</v>
      </c>
      <c r="C30" s="131">
        <v>596001</v>
      </c>
      <c r="D30" s="131">
        <v>181508</v>
      </c>
      <c r="E30" s="131">
        <v>210211</v>
      </c>
      <c r="F30" s="131">
        <v>523202</v>
      </c>
      <c r="G30" s="131">
        <v>598329</v>
      </c>
      <c r="H30" s="131">
        <v>691297</v>
      </c>
      <c r="I30" s="132">
        <f t="shared" si="1"/>
        <v>0.15537939829090686</v>
      </c>
      <c r="J30" s="131">
        <f t="shared" si="2"/>
        <v>92968</v>
      </c>
      <c r="K30" s="132">
        <f t="shared" si="3"/>
        <v>0.15989234917391082</v>
      </c>
      <c r="L30" s="131">
        <f t="shared" si="4"/>
        <v>95296</v>
      </c>
      <c r="M30" s="132">
        <f t="shared" si="5"/>
        <v>0.16878942323234247</v>
      </c>
      <c r="N30" s="133">
        <f>H30/H30</f>
        <v>1</v>
      </c>
      <c r="O30" s="131">
        <v>69073</v>
      </c>
      <c r="P30" s="131">
        <v>17561</v>
      </c>
      <c r="Q30" s="131">
        <v>48518</v>
      </c>
      <c r="R30" s="131">
        <v>62173</v>
      </c>
      <c r="S30" s="131">
        <v>71851</v>
      </c>
      <c r="T30" s="131">
        <v>77584</v>
      </c>
      <c r="U30" s="132">
        <f t="shared" si="6"/>
        <v>7.9790121223086707E-2</v>
      </c>
      <c r="V30" s="131">
        <f t="shared" si="0"/>
        <v>5733</v>
      </c>
      <c r="W30" s="132">
        <f t="shared" si="7"/>
        <v>0.15902324486914529</v>
      </c>
      <c r="X30" s="133">
        <f>IFERROR(T30/T30,"-")</f>
        <v>1</v>
      </c>
    </row>
    <row r="31" spans="2:24" ht="15.75" x14ac:dyDescent="0.25">
      <c r="B31" s="134" t="s">
        <v>60</v>
      </c>
      <c r="C31" s="135">
        <v>473735</v>
      </c>
      <c r="D31" s="135">
        <v>147476</v>
      </c>
      <c r="E31" s="135">
        <v>167563</v>
      </c>
      <c r="F31" s="135">
        <v>423670</v>
      </c>
      <c r="G31" s="135">
        <v>487148</v>
      </c>
      <c r="H31" s="135">
        <v>557192</v>
      </c>
      <c r="I31" s="136">
        <f t="shared" si="1"/>
        <v>0.14378381929105744</v>
      </c>
      <c r="J31" s="135">
        <f t="shared" si="2"/>
        <v>70044</v>
      </c>
      <c r="K31" s="136">
        <f t="shared" si="3"/>
        <v>0.17616811086366857</v>
      </c>
      <c r="L31" s="135">
        <f t="shared" si="4"/>
        <v>83457</v>
      </c>
      <c r="M31" s="136">
        <f t="shared" si="5"/>
        <v>0.13604589099862341</v>
      </c>
      <c r="N31" s="136">
        <f>H31/H30</f>
        <v>0.80600957330930123</v>
      </c>
      <c r="O31" s="135">
        <v>56624</v>
      </c>
      <c r="P31" s="135">
        <v>13941</v>
      </c>
      <c r="Q31" s="135">
        <v>40728</v>
      </c>
      <c r="R31" s="135">
        <v>51986</v>
      </c>
      <c r="S31" s="135">
        <v>58014</v>
      </c>
      <c r="T31" s="135">
        <v>60705</v>
      </c>
      <c r="U31" s="136">
        <f t="shared" si="6"/>
        <v>4.6385355259075389E-2</v>
      </c>
      <c r="V31" s="135">
        <f t="shared" si="0"/>
        <v>2691</v>
      </c>
      <c r="W31" s="136">
        <f t="shared" si="7"/>
        <v>0.13296740398191156</v>
      </c>
      <c r="X31" s="136">
        <f>IFERROR(T31/T30,"-")</f>
        <v>0.78244225613528562</v>
      </c>
    </row>
    <row r="32" spans="2:24" x14ac:dyDescent="0.25">
      <c r="B32" s="97" t="s">
        <v>140</v>
      </c>
      <c r="C32" s="52">
        <v>374546</v>
      </c>
      <c r="D32" s="52">
        <v>120222</v>
      </c>
      <c r="E32" s="52">
        <v>124348</v>
      </c>
      <c r="F32" s="52">
        <v>348211</v>
      </c>
      <c r="G32" s="52">
        <v>409555</v>
      </c>
      <c r="H32" s="52">
        <v>470041</v>
      </c>
      <c r="I32" s="98">
        <f t="shared" si="1"/>
        <v>0.14768712382952232</v>
      </c>
      <c r="J32" s="52">
        <f t="shared" si="2"/>
        <v>60486</v>
      </c>
      <c r="K32" s="98">
        <f t="shared" si="3"/>
        <v>0.25496200733688257</v>
      </c>
      <c r="L32" s="52">
        <f t="shared" si="4"/>
        <v>95495</v>
      </c>
      <c r="M32" s="98">
        <f t="shared" si="5"/>
        <v>0.1147668068652887</v>
      </c>
      <c r="N32" s="98">
        <f>H32/H30</f>
        <v>0.67994074905576041</v>
      </c>
      <c r="O32" s="52">
        <v>44948</v>
      </c>
      <c r="P32" s="52">
        <v>11726</v>
      </c>
      <c r="Q32" s="52">
        <v>31875</v>
      </c>
      <c r="R32" s="52">
        <v>44396</v>
      </c>
      <c r="S32" s="52">
        <v>49248</v>
      </c>
      <c r="T32" s="52">
        <v>51449</v>
      </c>
      <c r="U32" s="98">
        <f t="shared" si="6"/>
        <v>4.469217024041594E-2</v>
      </c>
      <c r="V32" s="52">
        <f t="shared" si="0"/>
        <v>2201</v>
      </c>
      <c r="W32" s="98">
        <f t="shared" si="7"/>
        <v>0.11355405045937264</v>
      </c>
      <c r="X32" s="98">
        <f>IFERROR(T32/T30,"-")</f>
        <v>0.66313930707362345</v>
      </c>
    </row>
    <row r="33" spans="2:24" x14ac:dyDescent="0.25">
      <c r="B33" s="97" t="s">
        <v>142</v>
      </c>
      <c r="C33" s="52">
        <v>99189</v>
      </c>
      <c r="D33" s="52">
        <v>27254</v>
      </c>
      <c r="E33" s="52">
        <v>43215</v>
      </c>
      <c r="F33" s="52">
        <v>75459</v>
      </c>
      <c r="G33" s="52">
        <v>77593</v>
      </c>
      <c r="H33" s="52">
        <v>87151</v>
      </c>
      <c r="I33" s="98">
        <f t="shared" si="1"/>
        <v>0.1231812148003042</v>
      </c>
      <c r="J33" s="52">
        <f t="shared" si="2"/>
        <v>9558</v>
      </c>
      <c r="K33" s="98">
        <f t="shared" si="3"/>
        <v>-0.12136426418252022</v>
      </c>
      <c r="L33" s="52">
        <f t="shared" si="4"/>
        <v>-12038</v>
      </c>
      <c r="M33" s="98">
        <f t="shared" si="5"/>
        <v>2.1279084133334701E-2</v>
      </c>
      <c r="N33" s="98">
        <f>H33/H30</f>
        <v>0.1260688242535408</v>
      </c>
      <c r="O33" s="52">
        <v>11676</v>
      </c>
      <c r="P33" s="52">
        <v>2215</v>
      </c>
      <c r="Q33" s="52">
        <v>8853</v>
      </c>
      <c r="R33" s="52">
        <v>7590</v>
      </c>
      <c r="S33" s="52">
        <v>8766</v>
      </c>
      <c r="T33" s="52">
        <v>9256</v>
      </c>
      <c r="U33" s="98">
        <f t="shared" si="6"/>
        <v>5.5897786903946978E-2</v>
      </c>
      <c r="V33" s="52">
        <f t="shared" si="0"/>
        <v>490</v>
      </c>
      <c r="W33" s="98">
        <f t="shared" si="7"/>
        <v>1.941335352253893E-2</v>
      </c>
      <c r="X33" s="98">
        <f>IFERROR(T33/T30,"-")</f>
        <v>0.11930294906166219</v>
      </c>
    </row>
    <row r="34" spans="2:24" ht="16.5" thickBot="1" x14ac:dyDescent="0.3">
      <c r="B34" s="137" t="s">
        <v>63</v>
      </c>
      <c r="C34" s="138">
        <v>122266</v>
      </c>
      <c r="D34" s="138">
        <v>34032</v>
      </c>
      <c r="E34" s="138">
        <v>42648</v>
      </c>
      <c r="F34" s="138">
        <v>99532</v>
      </c>
      <c r="G34" s="138">
        <v>111181</v>
      </c>
      <c r="H34" s="138">
        <v>134105</v>
      </c>
      <c r="I34" s="139">
        <f t="shared" si="1"/>
        <v>0.20618630881175748</v>
      </c>
      <c r="J34" s="138">
        <f t="shared" si="2"/>
        <v>22924</v>
      </c>
      <c r="K34" s="139">
        <f t="shared" si="3"/>
        <v>9.6829862758248453E-2</v>
      </c>
      <c r="L34" s="138">
        <f t="shared" si="4"/>
        <v>11839</v>
      </c>
      <c r="M34" s="139">
        <f t="shared" si="5"/>
        <v>3.2743532233719064E-2</v>
      </c>
      <c r="N34" s="139">
        <f>H34/H30</f>
        <v>0.1939904266906988</v>
      </c>
      <c r="O34" s="138">
        <v>12449</v>
      </c>
      <c r="P34" s="138">
        <v>3620</v>
      </c>
      <c r="Q34" s="138">
        <v>7790</v>
      </c>
      <c r="R34" s="138">
        <v>10187</v>
      </c>
      <c r="S34" s="138">
        <v>13837</v>
      </c>
      <c r="T34" s="138">
        <v>16879</v>
      </c>
      <c r="U34" s="139">
        <f t="shared" si="6"/>
        <v>0.21984534219845342</v>
      </c>
      <c r="V34" s="138">
        <f t="shared" si="0"/>
        <v>3042</v>
      </c>
      <c r="W34" s="139">
        <f t="shared" si="7"/>
        <v>2.6055840887233738E-2</v>
      </c>
      <c r="X34" s="139">
        <f>IFERROR(T34/T30,"-")</f>
        <v>0.21755774386471438</v>
      </c>
    </row>
    <row r="35" spans="2:24" ht="15.75" x14ac:dyDescent="0.25">
      <c r="B35" s="130" t="s">
        <v>49</v>
      </c>
      <c r="C35" s="131">
        <v>39423</v>
      </c>
      <c r="D35" s="131">
        <v>17295</v>
      </c>
      <c r="E35" s="131">
        <v>21073</v>
      </c>
      <c r="F35" s="131">
        <v>37456</v>
      </c>
      <c r="G35" s="131">
        <v>44189</v>
      </c>
      <c r="H35" s="131">
        <v>41777</v>
      </c>
      <c r="I35" s="132">
        <f t="shared" si="1"/>
        <v>-5.4583719930299424E-2</v>
      </c>
      <c r="J35" s="131">
        <f t="shared" si="2"/>
        <v>-2412</v>
      </c>
      <c r="K35" s="132">
        <f t="shared" si="3"/>
        <v>5.9711336022119088E-2</v>
      </c>
      <c r="L35" s="131">
        <f t="shared" si="4"/>
        <v>2354</v>
      </c>
      <c r="M35" s="132">
        <f t="shared" si="5"/>
        <v>1.0200414198785141E-2</v>
      </c>
      <c r="N35" s="133">
        <f>H35/H35</f>
        <v>1</v>
      </c>
      <c r="O35" s="131">
        <v>3835</v>
      </c>
      <c r="P35" s="131">
        <v>1764</v>
      </c>
      <c r="Q35" s="131">
        <v>3914</v>
      </c>
      <c r="R35" s="131">
        <v>4578</v>
      </c>
      <c r="S35" s="131">
        <v>4521</v>
      </c>
      <c r="T35" s="131">
        <v>5087</v>
      </c>
      <c r="U35" s="132">
        <f t="shared" si="6"/>
        <v>0.12519354125193538</v>
      </c>
      <c r="V35" s="131">
        <f t="shared" si="0"/>
        <v>566</v>
      </c>
      <c r="W35" s="132">
        <f t="shared" si="7"/>
        <v>1.1709398211618342E-2</v>
      </c>
      <c r="X35" s="133">
        <f>IFERROR(T35/T35,"-")</f>
        <v>1</v>
      </c>
    </row>
    <row r="36" spans="2:24" ht="15.75" x14ac:dyDescent="0.25">
      <c r="B36" s="134" t="s">
        <v>60</v>
      </c>
      <c r="C36" s="135">
        <v>39423</v>
      </c>
      <c r="D36" s="135">
        <v>17295</v>
      </c>
      <c r="E36" s="135">
        <v>21073</v>
      </c>
      <c r="F36" s="135">
        <v>37456</v>
      </c>
      <c r="G36" s="135">
        <v>44189</v>
      </c>
      <c r="H36" s="135">
        <v>41777</v>
      </c>
      <c r="I36" s="136">
        <f t="shared" si="1"/>
        <v>-5.4583719930299424E-2</v>
      </c>
      <c r="J36" s="135">
        <f t="shared" si="2"/>
        <v>-2412</v>
      </c>
      <c r="K36" s="136">
        <f t="shared" si="3"/>
        <v>5.9711336022119088E-2</v>
      </c>
      <c r="L36" s="135">
        <f t="shared" si="4"/>
        <v>2354</v>
      </c>
      <c r="M36" s="136">
        <f t="shared" si="5"/>
        <v>1.0200414198785141E-2</v>
      </c>
      <c r="N36" s="136">
        <f>H36/H35</f>
        <v>1</v>
      </c>
      <c r="O36" s="135">
        <v>3835</v>
      </c>
      <c r="P36" s="135">
        <v>1764</v>
      </c>
      <c r="Q36" s="135">
        <v>3914</v>
      </c>
      <c r="R36" s="135">
        <v>4578</v>
      </c>
      <c r="S36" s="135">
        <v>4521</v>
      </c>
      <c r="T36" s="135">
        <v>5087</v>
      </c>
      <c r="U36" s="136">
        <f t="shared" si="6"/>
        <v>0.12519354125193538</v>
      </c>
      <c r="V36" s="135">
        <f t="shared" si="0"/>
        <v>566</v>
      </c>
      <c r="W36" s="136">
        <f t="shared" si="7"/>
        <v>1.1709398211618342E-2</v>
      </c>
      <c r="X36" s="136">
        <f>IFERROR(T36/T35,"-")</f>
        <v>1</v>
      </c>
    </row>
    <row r="37" spans="2:24" x14ac:dyDescent="0.25">
      <c r="B37" s="97" t="s">
        <v>140</v>
      </c>
      <c r="C37" s="52">
        <v>29935</v>
      </c>
      <c r="D37" s="52">
        <v>8693</v>
      </c>
      <c r="E37" s="52">
        <v>0</v>
      </c>
      <c r="F37" s="52">
        <v>22120</v>
      </c>
      <c r="G37" s="52">
        <v>30713</v>
      </c>
      <c r="H37" s="52">
        <v>36372</v>
      </c>
      <c r="I37" s="98">
        <f t="shared" si="1"/>
        <v>0.18425422459544816</v>
      </c>
      <c r="J37" s="52">
        <f t="shared" si="2"/>
        <v>5659</v>
      </c>
      <c r="K37" s="98">
        <f t="shared" si="3"/>
        <v>0.21503257056956748</v>
      </c>
      <c r="L37" s="52">
        <f t="shared" si="4"/>
        <v>6437</v>
      </c>
      <c r="M37" s="98">
        <f t="shared" si="5"/>
        <v>8.880711042875581E-3</v>
      </c>
      <c r="N37" s="98">
        <f>H37/H35</f>
        <v>0.870622591378031</v>
      </c>
      <c r="O37" s="52">
        <v>2711</v>
      </c>
      <c r="P37" s="52">
        <v>0</v>
      </c>
      <c r="Q37" s="52">
        <v>0</v>
      </c>
      <c r="R37" s="52">
        <v>4017</v>
      </c>
      <c r="S37" s="52">
        <v>4039</v>
      </c>
      <c r="T37" s="52">
        <v>4491</v>
      </c>
      <c r="U37" s="98">
        <f t="shared" si="6"/>
        <v>0.11190888833869761</v>
      </c>
      <c r="V37" s="52">
        <f t="shared" si="0"/>
        <v>452</v>
      </c>
      <c r="W37" s="98">
        <f t="shared" si="7"/>
        <v>1.0274498168648073E-2</v>
      </c>
      <c r="X37" s="98">
        <f>IFERROR(T37/T35,"-")</f>
        <v>0.88283860821702376</v>
      </c>
    </row>
    <row r="38" spans="2:24" ht="15.75" thickBot="1" x14ac:dyDescent="0.3">
      <c r="B38" s="97" t="s">
        <v>142</v>
      </c>
      <c r="C38" s="52">
        <v>9488</v>
      </c>
      <c r="D38" s="52">
        <v>4061</v>
      </c>
      <c r="E38" s="52">
        <v>0</v>
      </c>
      <c r="F38" s="52">
        <v>2892</v>
      </c>
      <c r="G38" s="52">
        <v>4491</v>
      </c>
      <c r="H38" s="52">
        <v>5405</v>
      </c>
      <c r="I38" s="98">
        <f t="shared" si="1"/>
        <v>0.20351814740592289</v>
      </c>
      <c r="J38" s="52">
        <f t="shared" si="2"/>
        <v>914</v>
      </c>
      <c r="K38" s="98">
        <f t="shared" si="3"/>
        <v>-0.43033305227655982</v>
      </c>
      <c r="L38" s="52">
        <f t="shared" si="4"/>
        <v>-4083</v>
      </c>
      <c r="M38" s="98">
        <f t="shared" si="5"/>
        <v>1.31970315590956E-3</v>
      </c>
      <c r="N38" s="98">
        <f>H38/H35</f>
        <v>0.12937740862196903</v>
      </c>
      <c r="O38" s="52">
        <v>1124</v>
      </c>
      <c r="P38" s="52">
        <v>0</v>
      </c>
      <c r="Q38" s="52">
        <v>0</v>
      </c>
      <c r="R38" s="52">
        <v>561</v>
      </c>
      <c r="S38" s="52">
        <v>482</v>
      </c>
      <c r="T38" s="52">
        <v>596</v>
      </c>
      <c r="U38" s="98">
        <f t="shared" si="6"/>
        <v>0.23651452282157681</v>
      </c>
      <c r="V38" s="52">
        <f t="shared" si="0"/>
        <v>114</v>
      </c>
      <c r="W38" s="98">
        <f t="shared" si="7"/>
        <v>1.4349000429702686E-3</v>
      </c>
      <c r="X38" s="98">
        <f>IFERROR(T38/T35,"-")</f>
        <v>0.11716139178297622</v>
      </c>
    </row>
    <row r="39" spans="2:24" ht="15.75" x14ac:dyDescent="0.25">
      <c r="B39" s="130" t="s">
        <v>50</v>
      </c>
      <c r="C39" s="131">
        <v>107268</v>
      </c>
      <c r="D39" s="131">
        <v>59721</v>
      </c>
      <c r="E39" s="131">
        <v>69853</v>
      </c>
      <c r="F39" s="131">
        <v>146094</v>
      </c>
      <c r="G39" s="131">
        <v>187734</v>
      </c>
      <c r="H39" s="131">
        <v>181355</v>
      </c>
      <c r="I39" s="132">
        <f t="shared" si="1"/>
        <v>-3.3978927631649003E-2</v>
      </c>
      <c r="J39" s="131">
        <f t="shared" si="2"/>
        <v>-6379</v>
      </c>
      <c r="K39" s="132">
        <f t="shared" si="3"/>
        <v>0.69067196181526636</v>
      </c>
      <c r="L39" s="131">
        <f t="shared" si="4"/>
        <v>74087</v>
      </c>
      <c r="M39" s="132">
        <f t="shared" si="5"/>
        <v>4.4280252699348426E-2</v>
      </c>
      <c r="N39" s="133">
        <f>H39/H39</f>
        <v>1</v>
      </c>
      <c r="O39" s="131">
        <v>11463</v>
      </c>
      <c r="P39" s="131">
        <v>11710</v>
      </c>
      <c r="Q39" s="131">
        <v>13048</v>
      </c>
      <c r="R39" s="131">
        <v>17425</v>
      </c>
      <c r="S39" s="131">
        <v>18863</v>
      </c>
      <c r="T39" s="131">
        <v>20469</v>
      </c>
      <c r="U39" s="132">
        <f t="shared" si="6"/>
        <v>8.5140221597836963E-2</v>
      </c>
      <c r="V39" s="131">
        <f t="shared" si="0"/>
        <v>1606</v>
      </c>
      <c r="W39" s="132">
        <f t="shared" si="7"/>
        <v>4.4568864971046222E-2</v>
      </c>
      <c r="X39" s="133">
        <f>IFERROR(T39/T39,"-")</f>
        <v>1</v>
      </c>
    </row>
    <row r="40" spans="2:24" ht="15.75" x14ac:dyDescent="0.25">
      <c r="B40" s="134" t="s">
        <v>60</v>
      </c>
      <c r="C40" s="135">
        <v>63582</v>
      </c>
      <c r="D40" s="135">
        <v>45963</v>
      </c>
      <c r="E40" s="135">
        <v>62554</v>
      </c>
      <c r="F40" s="135">
        <v>124607</v>
      </c>
      <c r="G40" s="135">
        <v>163429</v>
      </c>
      <c r="H40" s="135">
        <v>157299</v>
      </c>
      <c r="I40" s="136">
        <f t="shared" si="1"/>
        <v>-3.7508642896915467E-2</v>
      </c>
      <c r="J40" s="135">
        <f t="shared" si="2"/>
        <v>-6130</v>
      </c>
      <c r="K40" s="136">
        <f t="shared" si="3"/>
        <v>1.4739548928942154</v>
      </c>
      <c r="L40" s="135">
        <f t="shared" si="4"/>
        <v>93717</v>
      </c>
      <c r="M40" s="136">
        <f t="shared" si="5"/>
        <v>3.8406658042815518E-2</v>
      </c>
      <c r="N40" s="136">
        <f>H40/H39</f>
        <v>0.86735408453034102</v>
      </c>
      <c r="O40" s="135">
        <v>6149</v>
      </c>
      <c r="P40" s="135">
        <v>11710</v>
      </c>
      <c r="Q40" s="135">
        <v>11302</v>
      </c>
      <c r="R40" s="135">
        <v>14794</v>
      </c>
      <c r="S40" s="135">
        <v>16071</v>
      </c>
      <c r="T40" s="135">
        <v>17837</v>
      </c>
      <c r="U40" s="136">
        <f t="shared" si="6"/>
        <v>0.10988737477443844</v>
      </c>
      <c r="V40" s="135">
        <f t="shared" si="0"/>
        <v>1766</v>
      </c>
      <c r="W40" s="136">
        <f t="shared" si="7"/>
        <v>3.7839413967383523E-2</v>
      </c>
      <c r="X40" s="136">
        <f>IFERROR(T40/T39,"-")</f>
        <v>0.87141531095803415</v>
      </c>
    </row>
    <row r="41" spans="2:24" x14ac:dyDescent="0.25">
      <c r="B41" s="97" t="s">
        <v>140</v>
      </c>
      <c r="C41" s="52">
        <v>63582</v>
      </c>
      <c r="D41" s="52">
        <v>22627</v>
      </c>
      <c r="E41" s="52">
        <v>0</v>
      </c>
      <c r="F41" s="52">
        <v>0</v>
      </c>
      <c r="G41" s="52">
        <v>0</v>
      </c>
      <c r="H41" s="52">
        <v>0</v>
      </c>
      <c r="I41" s="98" t="str">
        <f t="shared" si="1"/>
        <v>-</v>
      </c>
      <c r="J41" s="52">
        <f t="shared" si="2"/>
        <v>0</v>
      </c>
      <c r="K41" s="98">
        <f t="shared" si="3"/>
        <v>-1</v>
      </c>
      <c r="L41" s="52">
        <f t="shared" si="4"/>
        <v>-63582</v>
      </c>
      <c r="M41" s="98">
        <f t="shared" si="5"/>
        <v>0</v>
      </c>
      <c r="N41" s="98">
        <f>H41/H39</f>
        <v>0</v>
      </c>
      <c r="O41" s="52">
        <v>6149</v>
      </c>
      <c r="P41" s="52">
        <v>0</v>
      </c>
      <c r="Q41" s="52">
        <v>0</v>
      </c>
      <c r="R41" s="52">
        <v>0</v>
      </c>
      <c r="S41" s="52">
        <v>0</v>
      </c>
      <c r="T41" s="52">
        <v>0</v>
      </c>
      <c r="U41" s="98" t="str">
        <f t="shared" si="6"/>
        <v>-</v>
      </c>
      <c r="V41" s="52">
        <f t="shared" si="0"/>
        <v>0</v>
      </c>
      <c r="W41" s="98">
        <f t="shared" si="7"/>
        <v>0</v>
      </c>
      <c r="X41" s="98">
        <f>IFERROR(T41/T39,"-")</f>
        <v>0</v>
      </c>
    </row>
    <row r="42" spans="2:24" x14ac:dyDescent="0.25">
      <c r="B42" s="97" t="s">
        <v>142</v>
      </c>
      <c r="C42" s="52">
        <v>0</v>
      </c>
      <c r="D42" s="52">
        <v>0</v>
      </c>
      <c r="E42" s="52">
        <v>0</v>
      </c>
      <c r="F42" s="52">
        <v>0</v>
      </c>
      <c r="G42" s="52">
        <v>0</v>
      </c>
      <c r="H42" s="52">
        <v>0</v>
      </c>
      <c r="I42" s="98" t="str">
        <f t="shared" si="1"/>
        <v>-</v>
      </c>
      <c r="J42" s="52">
        <f t="shared" si="2"/>
        <v>0</v>
      </c>
      <c r="K42" s="98" t="str">
        <f t="shared" si="3"/>
        <v>-</v>
      </c>
      <c r="L42" s="52">
        <f t="shared" si="4"/>
        <v>0</v>
      </c>
      <c r="M42" s="98">
        <f t="shared" si="5"/>
        <v>0</v>
      </c>
      <c r="N42" s="98">
        <f>H42/H39</f>
        <v>0</v>
      </c>
      <c r="O42" s="52">
        <v>0</v>
      </c>
      <c r="P42" s="52">
        <v>0</v>
      </c>
      <c r="Q42" s="52">
        <v>0</v>
      </c>
      <c r="R42" s="52">
        <v>0</v>
      </c>
      <c r="S42" s="52">
        <v>0</v>
      </c>
      <c r="T42" s="52">
        <v>0</v>
      </c>
      <c r="U42" s="98" t="str">
        <f t="shared" si="6"/>
        <v>-</v>
      </c>
      <c r="V42" s="52">
        <f t="shared" si="0"/>
        <v>0</v>
      </c>
      <c r="W42" s="98">
        <f t="shared" si="7"/>
        <v>0</v>
      </c>
      <c r="X42" s="98">
        <f>IFERROR(T42/T39,"-")</f>
        <v>0</v>
      </c>
    </row>
    <row r="43" spans="2:24" ht="16.5" thickBot="1" x14ac:dyDescent="0.3">
      <c r="B43" s="137" t="s">
        <v>63</v>
      </c>
      <c r="C43" s="138">
        <v>43686</v>
      </c>
      <c r="D43" s="138">
        <v>13758</v>
      </c>
      <c r="E43" s="138">
        <v>5374</v>
      </c>
      <c r="F43" s="138">
        <v>21487</v>
      </c>
      <c r="G43" s="138">
        <v>24305</v>
      </c>
      <c r="H43" s="138">
        <v>24056</v>
      </c>
      <c r="I43" s="139">
        <f t="shared" si="1"/>
        <v>-1.0244805595556516E-2</v>
      </c>
      <c r="J43" s="138">
        <f t="shared" si="2"/>
        <v>-249</v>
      </c>
      <c r="K43" s="139">
        <f t="shared" si="3"/>
        <v>-0.44934303895984984</v>
      </c>
      <c r="L43" s="138">
        <f t="shared" si="4"/>
        <v>-19630</v>
      </c>
      <c r="M43" s="139">
        <f t="shared" si="5"/>
        <v>5.873594656532909E-3</v>
      </c>
      <c r="N43" s="139">
        <f>H43/H39</f>
        <v>0.13264591546965895</v>
      </c>
      <c r="O43" s="138">
        <v>5314</v>
      </c>
      <c r="P43" s="138">
        <v>0</v>
      </c>
      <c r="Q43" s="138">
        <v>1746</v>
      </c>
      <c r="R43" s="138">
        <v>2631</v>
      </c>
      <c r="S43" s="138">
        <v>2792</v>
      </c>
      <c r="T43" s="138">
        <v>2632</v>
      </c>
      <c r="U43" s="139">
        <f t="shared" si="6"/>
        <v>-5.7306590257879653E-2</v>
      </c>
      <c r="V43" s="138">
        <f t="shared" si="0"/>
        <v>-160</v>
      </c>
      <c r="W43" s="139">
        <f t="shared" si="7"/>
        <v>6.7294510036627038E-3</v>
      </c>
      <c r="X43" s="139">
        <f>IFERROR(T43/T39,"-")</f>
        <v>0.1285846890419659</v>
      </c>
    </row>
    <row r="44" spans="2:24" ht="15.75" x14ac:dyDescent="0.25">
      <c r="B44" s="130" t="s">
        <v>51</v>
      </c>
      <c r="C44" s="131">
        <v>159130</v>
      </c>
      <c r="D44" s="131">
        <v>67052</v>
      </c>
      <c r="E44" s="131">
        <v>103599</v>
      </c>
      <c r="F44" s="131">
        <v>157983</v>
      </c>
      <c r="G44" s="131">
        <v>174312</v>
      </c>
      <c r="H44" s="131">
        <v>181820</v>
      </c>
      <c r="I44" s="132">
        <f t="shared" si="1"/>
        <v>4.307219239065585E-2</v>
      </c>
      <c r="J44" s="131">
        <f t="shared" si="2"/>
        <v>7508</v>
      </c>
      <c r="K44" s="132">
        <f t="shared" si="3"/>
        <v>0.14258782127820013</v>
      </c>
      <c r="L44" s="131">
        <f t="shared" si="4"/>
        <v>22690</v>
      </c>
      <c r="M44" s="132">
        <f t="shared" si="5"/>
        <v>4.4393788678533982E-2</v>
      </c>
      <c r="N44" s="133">
        <f>H44/H44</f>
        <v>1</v>
      </c>
      <c r="O44" s="131">
        <v>15992</v>
      </c>
      <c r="P44" s="131">
        <v>7423</v>
      </c>
      <c r="Q44" s="131">
        <v>16473</v>
      </c>
      <c r="R44" s="131">
        <v>19959</v>
      </c>
      <c r="S44" s="131">
        <v>15933</v>
      </c>
      <c r="T44" s="131">
        <v>19577</v>
      </c>
      <c r="U44" s="132">
        <f t="shared" si="6"/>
        <v>0.22870771355049269</v>
      </c>
      <c r="V44" s="131">
        <f t="shared" si="0"/>
        <v>3644</v>
      </c>
      <c r="W44" s="132">
        <f t="shared" si="7"/>
        <v>5.1050213828241695E-2</v>
      </c>
      <c r="X44" s="133">
        <f>IFERROR(T44/T44,"-")</f>
        <v>1</v>
      </c>
    </row>
    <row r="45" spans="2:24" ht="15.75" x14ac:dyDescent="0.25">
      <c r="B45" s="134" t="s">
        <v>60</v>
      </c>
      <c r="C45" s="135">
        <v>159130</v>
      </c>
      <c r="D45" s="135">
        <v>67052</v>
      </c>
      <c r="E45" s="135">
        <v>103599</v>
      </c>
      <c r="F45" s="135">
        <v>157983</v>
      </c>
      <c r="G45" s="135">
        <v>174312</v>
      </c>
      <c r="H45" s="135">
        <v>181820</v>
      </c>
      <c r="I45" s="136">
        <f t="shared" si="1"/>
        <v>4.307219239065585E-2</v>
      </c>
      <c r="J45" s="135">
        <f t="shared" si="2"/>
        <v>7508</v>
      </c>
      <c r="K45" s="136">
        <f t="shared" si="3"/>
        <v>0.14258782127820013</v>
      </c>
      <c r="L45" s="135">
        <f t="shared" si="4"/>
        <v>22690</v>
      </c>
      <c r="M45" s="136">
        <f t="shared" si="5"/>
        <v>4.4393788678533982E-2</v>
      </c>
      <c r="N45" s="136">
        <f>H45/H44</f>
        <v>1</v>
      </c>
      <c r="O45" s="135">
        <v>15992</v>
      </c>
      <c r="P45" s="135">
        <v>7423</v>
      </c>
      <c r="Q45" s="135">
        <v>16473</v>
      </c>
      <c r="R45" s="135">
        <v>19959</v>
      </c>
      <c r="S45" s="135">
        <v>15933</v>
      </c>
      <c r="T45" s="135">
        <v>19577</v>
      </c>
      <c r="U45" s="136">
        <f t="shared" si="6"/>
        <v>0.22870771355049269</v>
      </c>
      <c r="V45" s="135">
        <f t="shared" si="0"/>
        <v>3644</v>
      </c>
      <c r="W45" s="136">
        <f t="shared" si="7"/>
        <v>5.1050213828241695E-2</v>
      </c>
      <c r="X45" s="136">
        <f>IFERROR(T45/T44,"-")</f>
        <v>1</v>
      </c>
    </row>
    <row r="46" spans="2:24" x14ac:dyDescent="0.25">
      <c r="B46" s="97" t="s">
        <v>140</v>
      </c>
      <c r="C46" s="52">
        <v>80548</v>
      </c>
      <c r="D46" s="52">
        <v>33760</v>
      </c>
      <c r="E46" s="52">
        <v>64687</v>
      </c>
      <c r="F46" s="52">
        <v>95049</v>
      </c>
      <c r="G46" s="52">
        <v>104520</v>
      </c>
      <c r="H46" s="52">
        <v>106809</v>
      </c>
      <c r="I46" s="98">
        <f t="shared" si="1"/>
        <v>2.1900114810562643E-2</v>
      </c>
      <c r="J46" s="52">
        <f t="shared" si="2"/>
        <v>2289</v>
      </c>
      <c r="K46" s="98">
        <f t="shared" si="3"/>
        <v>0.32602919998013613</v>
      </c>
      <c r="L46" s="52">
        <f t="shared" si="4"/>
        <v>26261</v>
      </c>
      <c r="M46" s="98">
        <f t="shared" si="5"/>
        <v>2.607884817382871E-2</v>
      </c>
      <c r="N46" s="98">
        <f>H46/H44</f>
        <v>0.58744362556374441</v>
      </c>
      <c r="O46" s="52">
        <v>7748</v>
      </c>
      <c r="P46" s="52">
        <v>3927</v>
      </c>
      <c r="Q46" s="52">
        <v>10524</v>
      </c>
      <c r="R46" s="52">
        <v>11314</v>
      </c>
      <c r="S46" s="52">
        <v>9475</v>
      </c>
      <c r="T46" s="52">
        <v>12468</v>
      </c>
      <c r="U46" s="98">
        <f t="shared" si="6"/>
        <v>0.31588390501319252</v>
      </c>
      <c r="V46" s="52">
        <f t="shared" si="0"/>
        <v>2993</v>
      </c>
      <c r="W46" s="98">
        <f t="shared" si="7"/>
        <v>2.893842974361073E-2</v>
      </c>
      <c r="X46" s="98">
        <f>IFERROR(T46/T44,"-")</f>
        <v>0.63686979618940598</v>
      </c>
    </row>
    <row r="47" spans="2:24" ht="15.75" thickBot="1" x14ac:dyDescent="0.3">
      <c r="B47" s="97" t="s">
        <v>142</v>
      </c>
      <c r="C47" s="52">
        <v>78582</v>
      </c>
      <c r="D47" s="52">
        <v>33292</v>
      </c>
      <c r="E47" s="52">
        <v>38912</v>
      </c>
      <c r="F47" s="52">
        <v>62934</v>
      </c>
      <c r="G47" s="52">
        <v>69792</v>
      </c>
      <c r="H47" s="52">
        <v>75011</v>
      </c>
      <c r="I47" s="98">
        <f t="shared" si="1"/>
        <v>7.4779344337459808E-2</v>
      </c>
      <c r="J47" s="52">
        <f t="shared" si="2"/>
        <v>5219</v>
      </c>
      <c r="K47" s="98">
        <f t="shared" si="3"/>
        <v>-4.5442976763126364E-2</v>
      </c>
      <c r="L47" s="52">
        <f t="shared" si="4"/>
        <v>-3571</v>
      </c>
      <c r="M47" s="98">
        <f t="shared" si="5"/>
        <v>1.8314940504705272E-2</v>
      </c>
      <c r="N47" s="98">
        <f>H47/H44</f>
        <v>0.41255637443625565</v>
      </c>
      <c r="O47" s="52">
        <v>8244</v>
      </c>
      <c r="P47" s="52">
        <v>3496</v>
      </c>
      <c r="Q47" s="52">
        <v>5949</v>
      </c>
      <c r="R47" s="52">
        <v>8645</v>
      </c>
      <c r="S47" s="52">
        <v>6458</v>
      </c>
      <c r="T47" s="52">
        <v>7109</v>
      </c>
      <c r="U47" s="98">
        <f t="shared" si="6"/>
        <v>0.10080520284917927</v>
      </c>
      <c r="V47" s="52">
        <f t="shared" si="0"/>
        <v>651</v>
      </c>
      <c r="W47" s="98">
        <f t="shared" si="7"/>
        <v>2.2111784084630968E-2</v>
      </c>
      <c r="X47" s="98">
        <f>IFERROR(T47/T44,"-")</f>
        <v>0.36313020381059408</v>
      </c>
    </row>
    <row r="48" spans="2:24" ht="15.75" x14ac:dyDescent="0.25">
      <c r="B48" s="130" t="s">
        <v>52</v>
      </c>
      <c r="C48" s="131">
        <v>186886</v>
      </c>
      <c r="D48" s="131">
        <v>71319</v>
      </c>
      <c r="E48" s="131">
        <v>77584</v>
      </c>
      <c r="F48" s="131">
        <v>190426</v>
      </c>
      <c r="G48" s="131">
        <v>205238</v>
      </c>
      <c r="H48" s="131">
        <v>213816</v>
      </c>
      <c r="I48" s="132">
        <f t="shared" si="1"/>
        <v>4.1795379023377821E-2</v>
      </c>
      <c r="J48" s="131">
        <f t="shared" si="2"/>
        <v>8578</v>
      </c>
      <c r="K48" s="132">
        <f t="shared" si="3"/>
        <v>0.14409854135676303</v>
      </c>
      <c r="L48" s="131">
        <f t="shared" si="4"/>
        <v>26930</v>
      </c>
      <c r="M48" s="132">
        <f t="shared" si="5"/>
        <v>5.2206040700084826E-2</v>
      </c>
      <c r="N48" s="133">
        <f>H48/H48</f>
        <v>1</v>
      </c>
      <c r="O48" s="131">
        <v>22149</v>
      </c>
      <c r="P48" s="131">
        <v>5725</v>
      </c>
      <c r="Q48" s="131">
        <v>15267</v>
      </c>
      <c r="R48" s="131">
        <v>20130</v>
      </c>
      <c r="S48" s="131">
        <v>22106</v>
      </c>
      <c r="T48" s="131">
        <v>21182</v>
      </c>
      <c r="U48" s="132">
        <f t="shared" si="6"/>
        <v>-4.1798606713109532E-2</v>
      </c>
      <c r="V48" s="131">
        <f t="shared" si="0"/>
        <v>-924</v>
      </c>
      <c r="W48" s="132">
        <f t="shared" si="7"/>
        <v>5.1487589777168462E-2</v>
      </c>
      <c r="X48" s="133">
        <f>IFERROR(T48/T48,"-")</f>
        <v>1</v>
      </c>
    </row>
    <row r="49" spans="2:24" ht="15.75" x14ac:dyDescent="0.25">
      <c r="B49" s="134" t="s">
        <v>60</v>
      </c>
      <c r="C49" s="135">
        <v>133515</v>
      </c>
      <c r="D49" s="135">
        <v>55367</v>
      </c>
      <c r="E49" s="135">
        <v>64813</v>
      </c>
      <c r="F49" s="135">
        <v>157275</v>
      </c>
      <c r="G49" s="135">
        <v>168976</v>
      </c>
      <c r="H49" s="135">
        <v>176312</v>
      </c>
      <c r="I49" s="136">
        <f t="shared" si="1"/>
        <v>4.3414449389262311E-2</v>
      </c>
      <c r="J49" s="135">
        <f t="shared" si="2"/>
        <v>7336</v>
      </c>
      <c r="K49" s="136">
        <f t="shared" si="3"/>
        <v>0.32054076321012626</v>
      </c>
      <c r="L49" s="135">
        <f t="shared" si="4"/>
        <v>42797</v>
      </c>
      <c r="M49" s="136">
        <f t="shared" si="5"/>
        <v>4.3048936692826334E-2</v>
      </c>
      <c r="N49" s="136">
        <f>H49/H48</f>
        <v>0.82459684962771729</v>
      </c>
      <c r="O49" s="135">
        <v>16985</v>
      </c>
      <c r="P49" s="135">
        <v>4549</v>
      </c>
      <c r="Q49" s="135">
        <v>13091</v>
      </c>
      <c r="R49" s="135">
        <v>16918</v>
      </c>
      <c r="S49" s="135">
        <v>18135</v>
      </c>
      <c r="T49" s="135">
        <v>17254</v>
      </c>
      <c r="U49" s="136">
        <f t="shared" si="6"/>
        <v>-4.8580093741384056E-2</v>
      </c>
      <c r="V49" s="135">
        <f t="shared" si="0"/>
        <v>-881</v>
      </c>
      <c r="W49" s="136">
        <f t="shared" si="7"/>
        <v>4.3272083648789671E-2</v>
      </c>
      <c r="X49" s="136">
        <f>IFERROR(T49/T48,"-")</f>
        <v>0.81455953167783968</v>
      </c>
    </row>
    <row r="50" spans="2:24" x14ac:dyDescent="0.25">
      <c r="B50" s="97" t="s">
        <v>140</v>
      </c>
      <c r="C50" s="52">
        <v>111607</v>
      </c>
      <c r="D50" s="52">
        <v>40956</v>
      </c>
      <c r="E50" s="52">
        <v>25030</v>
      </c>
      <c r="F50" s="52">
        <v>120299</v>
      </c>
      <c r="G50" s="52">
        <v>132879</v>
      </c>
      <c r="H50" s="52">
        <v>136256</v>
      </c>
      <c r="I50" s="98">
        <f t="shared" si="1"/>
        <v>2.5414098540777808E-2</v>
      </c>
      <c r="J50" s="52">
        <f t="shared" si="2"/>
        <v>3377</v>
      </c>
      <c r="K50" s="98">
        <f t="shared" si="3"/>
        <v>0.22085532269481312</v>
      </c>
      <c r="L50" s="52">
        <f t="shared" si="4"/>
        <v>24649</v>
      </c>
      <c r="M50" s="98">
        <f t="shared" si="5"/>
        <v>3.3268727698725811E-2</v>
      </c>
      <c r="N50" s="98">
        <f>H50/H48</f>
        <v>0.63725820331499983</v>
      </c>
      <c r="O50" s="52">
        <v>14643</v>
      </c>
      <c r="P50" s="52">
        <v>0</v>
      </c>
      <c r="Q50" s="52">
        <v>9556</v>
      </c>
      <c r="R50" s="52">
        <v>12977</v>
      </c>
      <c r="S50" s="52">
        <v>14015</v>
      </c>
      <c r="T50" s="52">
        <v>12989</v>
      </c>
      <c r="U50" s="98">
        <f t="shared" si="6"/>
        <v>-7.3207277916518043E-2</v>
      </c>
      <c r="V50" s="52">
        <f t="shared" si="0"/>
        <v>-1026</v>
      </c>
      <c r="W50" s="98">
        <f t="shared" si="7"/>
        <v>3.3191974790775715E-2</v>
      </c>
      <c r="X50" s="98">
        <f>IFERROR(T50/T48,"-")</f>
        <v>0.61320932867529032</v>
      </c>
    </row>
    <row r="51" spans="2:24" x14ac:dyDescent="0.25">
      <c r="B51" s="97" t="s">
        <v>142</v>
      </c>
      <c r="C51" s="52">
        <v>21908</v>
      </c>
      <c r="D51" s="52">
        <v>9862</v>
      </c>
      <c r="E51" s="52">
        <v>12187</v>
      </c>
      <c r="F51" s="52">
        <v>36976</v>
      </c>
      <c r="G51" s="52">
        <v>36097</v>
      </c>
      <c r="H51" s="52">
        <v>40056</v>
      </c>
      <c r="I51" s="98">
        <f t="shared" si="1"/>
        <v>0.10967670443527155</v>
      </c>
      <c r="J51" s="52">
        <f t="shared" si="2"/>
        <v>3959</v>
      </c>
      <c r="K51" s="98">
        <f t="shared" si="3"/>
        <v>0.82837319700566003</v>
      </c>
      <c r="L51" s="52">
        <f t="shared" si="4"/>
        <v>18148</v>
      </c>
      <c r="M51" s="98">
        <f t="shared" si="5"/>
        <v>9.7802089941005244E-3</v>
      </c>
      <c r="N51" s="98">
        <f>H51/H48</f>
        <v>0.18733864631271749</v>
      </c>
      <c r="O51" s="52">
        <v>2342</v>
      </c>
      <c r="P51" s="52">
        <v>0</v>
      </c>
      <c r="Q51" s="52">
        <v>3535</v>
      </c>
      <c r="R51" s="52">
        <v>3941</v>
      </c>
      <c r="S51" s="52">
        <v>4120</v>
      </c>
      <c r="T51" s="52">
        <v>4265</v>
      </c>
      <c r="U51" s="98">
        <f t="shared" si="6"/>
        <v>3.5194174757281482E-2</v>
      </c>
      <c r="V51" s="52">
        <f t="shared" si="0"/>
        <v>145</v>
      </c>
      <c r="W51" s="98">
        <f t="shared" si="7"/>
        <v>1.0080108858013956E-2</v>
      </c>
      <c r="X51" s="98">
        <f>IFERROR(T51/T48,"-")</f>
        <v>0.20135020300254933</v>
      </c>
    </row>
    <row r="52" spans="2:24" ht="16.5" thickBot="1" x14ac:dyDescent="0.3">
      <c r="B52" s="137" t="s">
        <v>63</v>
      </c>
      <c r="C52" s="138">
        <v>53371</v>
      </c>
      <c r="D52" s="138">
        <v>15952</v>
      </c>
      <c r="E52" s="138">
        <v>12771</v>
      </c>
      <c r="F52" s="138">
        <v>33151</v>
      </c>
      <c r="G52" s="138">
        <v>36262</v>
      </c>
      <c r="H52" s="138">
        <v>37504</v>
      </c>
      <c r="I52" s="139">
        <f t="shared" si="1"/>
        <v>3.4250730792565243E-2</v>
      </c>
      <c r="J52" s="138">
        <f t="shared" si="2"/>
        <v>1242</v>
      </c>
      <c r="K52" s="139">
        <f t="shared" si="3"/>
        <v>-0.29729628449907253</v>
      </c>
      <c r="L52" s="138">
        <f t="shared" si="4"/>
        <v>-15867</v>
      </c>
      <c r="M52" s="139">
        <f t="shared" si="5"/>
        <v>9.1571040072584899E-3</v>
      </c>
      <c r="N52" s="139">
        <f>H52/H48</f>
        <v>0.17540315037228271</v>
      </c>
      <c r="O52" s="138">
        <v>5164</v>
      </c>
      <c r="P52" s="138">
        <v>1176</v>
      </c>
      <c r="Q52" s="138">
        <v>2176</v>
      </c>
      <c r="R52" s="138">
        <v>3212</v>
      </c>
      <c r="S52" s="138">
        <v>3971</v>
      </c>
      <c r="T52" s="138">
        <v>3928</v>
      </c>
      <c r="U52" s="139">
        <f t="shared" si="6"/>
        <v>-1.0828506673381977E-2</v>
      </c>
      <c r="V52" s="138">
        <f t="shared" si="0"/>
        <v>-43</v>
      </c>
      <c r="W52" s="139">
        <f t="shared" si="7"/>
        <v>8.2155061283787929E-3</v>
      </c>
      <c r="X52" s="139">
        <f>IFERROR(T52/T48,"-")</f>
        <v>0.18544046832216032</v>
      </c>
    </row>
    <row r="53" spans="2:24" ht="15.75" x14ac:dyDescent="0.25">
      <c r="B53" s="130" t="s">
        <v>53</v>
      </c>
      <c r="C53" s="131">
        <f t="shared" ref="C53:H56" si="8">C6-C11-C16-C21-C26-C30-C35-C39-C44-C48</f>
        <v>95406</v>
      </c>
      <c r="D53" s="131">
        <f t="shared" si="8"/>
        <v>133502</v>
      </c>
      <c r="E53" s="131">
        <f t="shared" si="8"/>
        <v>42879</v>
      </c>
      <c r="F53" s="131">
        <f t="shared" si="8"/>
        <v>81548</v>
      </c>
      <c r="G53" s="131">
        <f t="shared" si="8"/>
        <v>89780</v>
      </c>
      <c r="H53" s="131">
        <f t="shared" si="8"/>
        <v>94601</v>
      </c>
      <c r="I53" s="132">
        <f t="shared" si="1"/>
        <v>5.3697928269102357E-2</v>
      </c>
      <c r="J53" s="131">
        <f t="shared" si="2"/>
        <v>4821</v>
      </c>
      <c r="K53" s="132">
        <f t="shared" si="3"/>
        <v>-8.4376244680628432E-3</v>
      </c>
      <c r="L53" s="131">
        <f t="shared" si="4"/>
        <v>-805</v>
      </c>
      <c r="M53" s="132">
        <f t="shared" si="5"/>
        <v>2.309810143426462E-2</v>
      </c>
      <c r="N53" s="133">
        <f>H53/H53</f>
        <v>1</v>
      </c>
      <c r="O53" s="131">
        <v>8015</v>
      </c>
      <c r="P53" s="131">
        <v>3786</v>
      </c>
      <c r="Q53" s="131">
        <v>7762</v>
      </c>
      <c r="R53" s="131">
        <v>9104</v>
      </c>
      <c r="S53" s="131">
        <v>10225</v>
      </c>
      <c r="T53" s="131">
        <v>11098</v>
      </c>
      <c r="U53" s="132">
        <f t="shared" si="6"/>
        <v>8.5378973105134426E-2</v>
      </c>
      <c r="V53" s="131">
        <f t="shared" si="0"/>
        <v>873</v>
      </c>
      <c r="W53" s="132">
        <f t="shared" si="7"/>
        <v>2.3285793210697552E-2</v>
      </c>
      <c r="X53" s="133">
        <f>IFERROR(T53/T53,"-")</f>
        <v>1</v>
      </c>
    </row>
    <row r="54" spans="2:24" ht="15.75" x14ac:dyDescent="0.25">
      <c r="B54" s="134" t="s">
        <v>60</v>
      </c>
      <c r="C54" s="135">
        <f t="shared" si="8"/>
        <v>92030</v>
      </c>
      <c r="D54" s="135">
        <f t="shared" si="8"/>
        <v>100711</v>
      </c>
      <c r="E54" s="135">
        <f t="shared" si="8"/>
        <v>44448</v>
      </c>
      <c r="F54" s="135">
        <f t="shared" si="8"/>
        <v>78991</v>
      </c>
      <c r="G54" s="135">
        <f t="shared" si="8"/>
        <v>82998</v>
      </c>
      <c r="H54" s="135">
        <f t="shared" si="8"/>
        <v>86316</v>
      </c>
      <c r="I54" s="136">
        <f t="shared" si="1"/>
        <v>3.9976866912455611E-2</v>
      </c>
      <c r="J54" s="135">
        <f t="shared" si="2"/>
        <v>3318</v>
      </c>
      <c r="K54" s="136">
        <f t="shared" si="3"/>
        <v>-6.2088449418667868E-2</v>
      </c>
      <c r="L54" s="135">
        <f t="shared" si="4"/>
        <v>-5714</v>
      </c>
      <c r="M54" s="136">
        <f t="shared" si="5"/>
        <v>2.1075207697592892E-2</v>
      </c>
      <c r="N54" s="136">
        <f>H54/H53</f>
        <v>0.91242164459149477</v>
      </c>
      <c r="O54" s="135">
        <v>7620</v>
      </c>
      <c r="P54" s="135">
        <v>3765</v>
      </c>
      <c r="Q54" s="135">
        <v>7704</v>
      </c>
      <c r="R54" s="135">
        <v>8796</v>
      </c>
      <c r="S54" s="135">
        <v>9444</v>
      </c>
      <c r="T54" s="135">
        <v>10242</v>
      </c>
      <c r="U54" s="136">
        <f t="shared" si="6"/>
        <v>8.4498094027954274E-2</v>
      </c>
      <c r="V54" s="135">
        <f t="shared" si="0"/>
        <v>798</v>
      </c>
      <c r="W54" s="136">
        <f t="shared" si="7"/>
        <v>2.2498004951811913E-2</v>
      </c>
      <c r="X54" s="136">
        <f>IFERROR(T54/T53,"-")</f>
        <v>0.92286898540277529</v>
      </c>
    </row>
    <row r="55" spans="2:24" x14ac:dyDescent="0.25">
      <c r="B55" s="97" t="s">
        <v>140</v>
      </c>
      <c r="C55" s="52">
        <f t="shared" si="8"/>
        <v>81445</v>
      </c>
      <c r="D55" s="52">
        <f t="shared" si="8"/>
        <v>104208</v>
      </c>
      <c r="E55" s="52">
        <f t="shared" si="8"/>
        <v>124872</v>
      </c>
      <c r="F55" s="52">
        <f t="shared" si="8"/>
        <v>291205</v>
      </c>
      <c r="G55" s="52">
        <f t="shared" si="8"/>
        <v>266200</v>
      </c>
      <c r="H55" s="52">
        <f t="shared" si="8"/>
        <v>337797</v>
      </c>
      <c r="I55" s="98">
        <f t="shared" si="1"/>
        <v>0.26895942900075132</v>
      </c>
      <c r="J55" s="52">
        <f t="shared" si="2"/>
        <v>71597</v>
      </c>
      <c r="K55" s="98">
        <f t="shared" si="3"/>
        <v>3.1475474246423971</v>
      </c>
      <c r="L55" s="52">
        <f t="shared" si="4"/>
        <v>256352</v>
      </c>
      <c r="M55" s="98">
        <f t="shared" si="5"/>
        <v>8.2477662711707977E-2</v>
      </c>
      <c r="N55" s="98">
        <f>H55/H53</f>
        <v>3.5707550660141014</v>
      </c>
      <c r="O55" s="52">
        <v>5660</v>
      </c>
      <c r="P55" s="52">
        <v>2145</v>
      </c>
      <c r="Q55" s="52">
        <v>5920</v>
      </c>
      <c r="R55" s="52">
        <v>6631</v>
      </c>
      <c r="S55" s="52">
        <v>6908</v>
      </c>
      <c r="T55" s="52">
        <v>7159</v>
      </c>
      <c r="U55" s="98">
        <f t="shared" si="6"/>
        <v>3.6334684423856345E-2</v>
      </c>
      <c r="V55" s="52">
        <f t="shared" si="0"/>
        <v>251</v>
      </c>
      <c r="W55" s="98">
        <f t="shared" si="7"/>
        <v>1.696046735282683E-2</v>
      </c>
      <c r="X55" s="98">
        <f>IFERROR(T55/T53,"-")</f>
        <v>0.6450711839971166</v>
      </c>
    </row>
    <row r="56" spans="2:24" x14ac:dyDescent="0.25">
      <c r="B56" s="97" t="s">
        <v>142</v>
      </c>
      <c r="C56" s="52">
        <f t="shared" si="8"/>
        <v>39620</v>
      </c>
      <c r="D56" s="52">
        <f t="shared" si="8"/>
        <v>43327</v>
      </c>
      <c r="E56" s="52">
        <f t="shared" si="8"/>
        <v>38837</v>
      </c>
      <c r="F56" s="52">
        <f t="shared" si="8"/>
        <v>60778</v>
      </c>
      <c r="G56" s="52">
        <f t="shared" si="8"/>
        <v>86961</v>
      </c>
      <c r="H56" s="52">
        <f t="shared" si="8"/>
        <v>83628</v>
      </c>
      <c r="I56" s="98">
        <f t="shared" si="1"/>
        <v>-3.8327526132404199E-2</v>
      </c>
      <c r="J56" s="52">
        <f t="shared" si="2"/>
        <v>-3333</v>
      </c>
      <c r="K56" s="98">
        <f t="shared" si="3"/>
        <v>1.1107521453811207</v>
      </c>
      <c r="L56" s="52">
        <f t="shared" si="4"/>
        <v>44008</v>
      </c>
      <c r="M56" s="98">
        <f t="shared" si="5"/>
        <v>2.0418896488881531E-2</v>
      </c>
      <c r="N56" s="98">
        <f>H56/H53</f>
        <v>0.88400756863035279</v>
      </c>
      <c r="O56" s="52">
        <v>1960</v>
      </c>
      <c r="P56" s="52">
        <v>1620</v>
      </c>
      <c r="Q56" s="52">
        <v>1784</v>
      </c>
      <c r="R56" s="52">
        <v>2165</v>
      </c>
      <c r="S56" s="52">
        <v>2536</v>
      </c>
      <c r="T56" s="52">
        <v>3083</v>
      </c>
      <c r="U56" s="98">
        <f t="shared" si="6"/>
        <v>0.21569400630914837</v>
      </c>
      <c r="V56" s="52">
        <f t="shared" si="0"/>
        <v>547</v>
      </c>
      <c r="W56" s="98">
        <f t="shared" si="7"/>
        <v>5.5375375989850832E-3</v>
      </c>
      <c r="X56" s="98">
        <f>IFERROR(T56/T53,"-")</f>
        <v>0.27779780140565868</v>
      </c>
    </row>
    <row r="57" spans="2:24" ht="15.75" x14ac:dyDescent="0.25">
      <c r="B57" s="137" t="s">
        <v>63</v>
      </c>
      <c r="C57" s="138">
        <f>C53-C54</f>
        <v>3376</v>
      </c>
      <c r="D57" s="138">
        <f t="shared" ref="D57:H57" si="9">D53-D54</f>
        <v>32791</v>
      </c>
      <c r="E57" s="138">
        <f t="shared" si="9"/>
        <v>-1569</v>
      </c>
      <c r="F57" s="138">
        <f t="shared" si="9"/>
        <v>2557</v>
      </c>
      <c r="G57" s="138">
        <f t="shared" si="9"/>
        <v>6782</v>
      </c>
      <c r="H57" s="138">
        <f t="shared" si="9"/>
        <v>8285</v>
      </c>
      <c r="I57" s="139">
        <f t="shared" si="1"/>
        <v>0.22161604246534949</v>
      </c>
      <c r="J57" s="138">
        <f t="shared" si="2"/>
        <v>1503</v>
      </c>
      <c r="K57" s="139">
        <f t="shared" si="3"/>
        <v>1.4540876777251186</v>
      </c>
      <c r="L57" s="138">
        <f t="shared" si="4"/>
        <v>4909</v>
      </c>
      <c r="M57" s="139">
        <f t="shared" si="5"/>
        <v>2.0228937366717306E-3</v>
      </c>
      <c r="N57" s="139">
        <f>H57/H53</f>
        <v>8.7578355408505199E-2</v>
      </c>
      <c r="O57" s="138">
        <v>606</v>
      </c>
      <c r="P57" s="138">
        <v>51</v>
      </c>
      <c r="Q57" s="138">
        <v>919</v>
      </c>
      <c r="R57" s="138">
        <v>789</v>
      </c>
      <c r="S57" s="138">
        <v>1370</v>
      </c>
      <c r="T57" s="138">
        <v>3865</v>
      </c>
      <c r="U57" s="139">
        <f t="shared" si="6"/>
        <v>1.8211678832116789</v>
      </c>
      <c r="V57" s="138">
        <f t="shared" si="0"/>
        <v>2495</v>
      </c>
      <c r="W57" s="139">
        <f t="shared" si="7"/>
        <v>2.0180679748726237E-3</v>
      </c>
      <c r="X57" s="139">
        <f>IFERROR(T57/T53,"-")</f>
        <v>0.34826094791854389</v>
      </c>
    </row>
    <row r="58" spans="2:24" x14ac:dyDescent="0.25">
      <c r="B58" s="101"/>
      <c r="C58" s="102"/>
      <c r="D58" s="102"/>
      <c r="E58" s="102"/>
      <c r="F58" s="102"/>
      <c r="G58" s="102"/>
      <c r="H58" s="103"/>
      <c r="I58" s="102"/>
      <c r="J58" s="104"/>
      <c r="K58" s="102"/>
      <c r="L58" s="104"/>
      <c r="M58" s="104"/>
      <c r="N58" s="104"/>
    </row>
    <row r="59" spans="2:24" x14ac:dyDescent="0.25">
      <c r="B59" s="105" t="s">
        <v>55</v>
      </c>
      <c r="C59" s="105"/>
      <c r="D59" s="105"/>
      <c r="E59" s="105"/>
      <c r="F59" s="105"/>
      <c r="G59" s="105"/>
      <c r="H59" s="105"/>
      <c r="I59" s="105"/>
      <c r="J59" s="105"/>
      <c r="K59" s="105"/>
      <c r="L59" s="105"/>
      <c r="M59" s="105"/>
      <c r="N59" s="105"/>
    </row>
  </sheetData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D61772-249F-4A0F-96E2-2F6B4EF79D45}">
  <sheetPr>
    <tabColor theme="7" tint="0.79998168889431442"/>
    <pageSetUpPr fitToPage="1"/>
  </sheetPr>
  <dimension ref="A1:AA162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  <col min="16" max="27" width="0" hidden="1" customWidth="1"/>
  </cols>
  <sheetData>
    <row r="1" spans="1:27" ht="42.75" customHeight="1" x14ac:dyDescent="0.25"/>
    <row r="3" spans="1:27" ht="42" customHeight="1" thickBot="1" x14ac:dyDescent="0.3">
      <c r="B3" s="141" t="str">
        <f>CONCATENATE("Viajeros entrados en los establecimientos alojativos de Tenerife según lugar de residencia y municipio de alojamiento (hotel + apartamento)")</f>
        <v>Viajeros entrados en los establecimientos alojativos de Tenerife según lugar de residencia y municipio de alojamiento (hotel + apartamento)</v>
      </c>
      <c r="C3" s="142"/>
      <c r="D3" s="142"/>
      <c r="E3" s="142"/>
      <c r="F3" s="142"/>
      <c r="G3" s="142"/>
      <c r="H3" s="142"/>
      <c r="I3" s="142"/>
      <c r="J3" s="142"/>
      <c r="K3" s="142"/>
      <c r="L3" s="142"/>
      <c r="M3" s="142"/>
      <c r="P3" s="141" t="s">
        <v>260</v>
      </c>
      <c r="Q3" s="142"/>
      <c r="R3" s="142"/>
      <c r="S3" s="142"/>
      <c r="T3" s="142"/>
      <c r="U3" s="142"/>
      <c r="V3" s="142"/>
      <c r="W3" s="142"/>
      <c r="X3" s="142"/>
      <c r="Y3" s="142"/>
      <c r="Z3" s="142"/>
      <c r="AA3" s="142"/>
    </row>
    <row r="4" spans="1:27" ht="6" customHeight="1" x14ac:dyDescent="0.25"/>
    <row r="5" spans="1:27" ht="15.75" x14ac:dyDescent="0.25">
      <c r="B5" s="143"/>
      <c r="C5" s="300" t="s">
        <v>43</v>
      </c>
      <c r="D5" s="301"/>
      <c r="E5" s="301"/>
      <c r="F5" s="301"/>
      <c r="G5" s="301"/>
      <c r="H5" s="301"/>
      <c r="I5" s="301"/>
      <c r="J5" s="301"/>
      <c r="K5" s="301"/>
      <c r="L5" s="301"/>
      <c r="M5" s="301"/>
      <c r="P5" s="143"/>
      <c r="Q5" s="300" t="s">
        <v>43</v>
      </c>
      <c r="R5" s="301"/>
      <c r="S5" s="301"/>
      <c r="T5" s="301"/>
      <c r="U5" s="301"/>
      <c r="V5" s="301"/>
      <c r="W5" s="301"/>
      <c r="X5" s="301"/>
      <c r="Y5" s="301"/>
      <c r="Z5" s="301"/>
      <c r="AA5" s="301"/>
    </row>
    <row r="6" spans="1:27" s="144" customFormat="1" ht="72" customHeight="1" x14ac:dyDescent="0.25">
      <c r="B6" s="145"/>
      <c r="C6" s="146">
        <v>2018</v>
      </c>
      <c r="D6" s="147">
        <v>2019</v>
      </c>
      <c r="E6" s="147">
        <v>2020</v>
      </c>
      <c r="F6" s="147">
        <v>2021</v>
      </c>
      <c r="G6" s="147">
        <v>2022</v>
      </c>
      <c r="H6" s="147">
        <v>2023</v>
      </c>
      <c r="I6" s="148" t="str">
        <f>CONCATENATE("var. ",RIGHT(H6,2),"/",RIGHT(G6,2))</f>
        <v>var. 23/22</v>
      </c>
      <c r="J6" s="148" t="str">
        <f>CONCATENATE("var. ",RIGHT(H6,2),"/",RIGHT(E6,2))</f>
        <v>var. 23/20</v>
      </c>
      <c r="K6" s="149" t="str">
        <f>CONCATENATE("dif. ",RIGHT(H6,2),"/",RIGHT(G6,2))</f>
        <v>dif. 23/22</v>
      </c>
      <c r="L6" s="149" t="str">
        <f>CONCATENATE("dif. ",RIGHT(H6,2),"/",RIGHT(E6,2))</f>
        <v>dif. 23/20</v>
      </c>
      <c r="M6" s="148" t="str">
        <f>CONCATENATE("Cuota s/ total lugares de residencia ",RIGHT(H6,4))</f>
        <v>Cuota s/ total lugares de residencia 2023</v>
      </c>
      <c r="P6" s="145"/>
      <c r="Q6" s="146">
        <v>2018</v>
      </c>
      <c r="R6" s="147">
        <v>2019</v>
      </c>
      <c r="S6" s="147">
        <v>2020</v>
      </c>
      <c r="T6" s="147">
        <v>2021</v>
      </c>
      <c r="U6" s="147">
        <v>2022</v>
      </c>
      <c r="V6" s="147">
        <v>2023</v>
      </c>
      <c r="W6" s="148" t="str">
        <f>CONCATENATE("var. ",RIGHT(V6,2),"/",RIGHT(U6,2))</f>
        <v>var. 23/22</v>
      </c>
      <c r="X6" s="148" t="str">
        <f>CONCATENATE("var. ",RIGHT(V6,2),"/",RIGHT(S6,2))</f>
        <v>var. 23/20</v>
      </c>
      <c r="Y6" s="149" t="str">
        <f>CONCATENATE("dif. ",RIGHT(V6,2),"/",RIGHT(U6,2))</f>
        <v>dif. 23/22</v>
      </c>
      <c r="Z6" s="149" t="str">
        <f>CONCATENATE("dif. ",RIGHT(V6,2),"/",RIGHT(S6,2))</f>
        <v>dif. 23/20</v>
      </c>
      <c r="AA6" s="148" t="str">
        <f>CONCATENATE("Cuota s/ total lugares de residencia ",RIGHT(V6,4))</f>
        <v>Cuota s/ total lugares de residencia 2023</v>
      </c>
    </row>
    <row r="7" spans="1:27" x14ac:dyDescent="0.25">
      <c r="A7" s="1"/>
      <c r="B7" s="150" t="s">
        <v>43</v>
      </c>
      <c r="C7" s="151"/>
      <c r="D7" s="151"/>
      <c r="E7" s="151"/>
      <c r="F7" s="151"/>
      <c r="G7" s="151"/>
      <c r="H7" s="152"/>
      <c r="I7" s="152"/>
      <c r="J7" s="152"/>
      <c r="K7" s="152"/>
      <c r="L7" s="151"/>
      <c r="M7" s="151"/>
      <c r="N7" s="79"/>
      <c r="P7" s="153" t="s">
        <v>49</v>
      </c>
      <c r="Q7" s="151"/>
      <c r="R7" s="151"/>
      <c r="S7" s="151"/>
      <c r="T7" s="151"/>
      <c r="U7" s="151"/>
      <c r="V7" s="152"/>
      <c r="W7" s="152"/>
      <c r="X7" s="152"/>
      <c r="Y7" s="152"/>
      <c r="Z7" s="151"/>
      <c r="AA7" s="151"/>
    </row>
    <row r="8" spans="1:27" x14ac:dyDescent="0.25">
      <c r="A8" s="1"/>
      <c r="B8" s="154" t="s">
        <v>68</v>
      </c>
      <c r="C8" s="155">
        <v>4872456</v>
      </c>
      <c r="D8" s="155">
        <v>4831573</v>
      </c>
      <c r="E8" s="155">
        <v>1565303</v>
      </c>
      <c r="F8" s="155">
        <v>2335438</v>
      </c>
      <c r="G8" s="155">
        <v>4757683</v>
      </c>
      <c r="H8" s="155">
        <v>5188807</v>
      </c>
      <c r="I8" s="156">
        <f>IFERROR(H8/G8-1,"-")</f>
        <v>9.0616377762032574E-2</v>
      </c>
      <c r="J8" s="156">
        <f>IFERROR(H8/E8-1,"-")</f>
        <v>2.3148898328310876</v>
      </c>
      <c r="K8" s="155">
        <f>H8-G8</f>
        <v>431124</v>
      </c>
      <c r="L8" s="155">
        <f>H8-E8</f>
        <v>3623504</v>
      </c>
      <c r="M8" s="156">
        <f>H8/H$8</f>
        <v>1</v>
      </c>
      <c r="N8" s="79"/>
      <c r="P8" s="154" t="s">
        <v>68</v>
      </c>
      <c r="Q8" s="155">
        <v>53986</v>
      </c>
      <c r="R8" s="155">
        <v>55887</v>
      </c>
      <c r="S8" s="155">
        <v>24221</v>
      </c>
      <c r="T8" s="155">
        <v>33444</v>
      </c>
      <c r="U8" s="155">
        <v>51485</v>
      </c>
      <c r="V8" s="155">
        <v>58157</v>
      </c>
      <c r="W8" s="156">
        <f>IFERROR(V8/U8-1,"-")</f>
        <v>0.12959114305137409</v>
      </c>
      <c r="X8" s="156">
        <f>IFERROR(V8/S8-1,"-")</f>
        <v>1.4010982205524134</v>
      </c>
      <c r="Y8" s="155">
        <f>V8-U8</f>
        <v>6672</v>
      </c>
      <c r="Z8" s="155">
        <f>V8-S8</f>
        <v>33936</v>
      </c>
      <c r="AA8" s="156">
        <f>V8/V$8</f>
        <v>1</v>
      </c>
    </row>
    <row r="9" spans="1:27" x14ac:dyDescent="0.25">
      <c r="A9" s="1" t="s">
        <v>96</v>
      </c>
      <c r="B9" s="157" t="s">
        <v>97</v>
      </c>
      <c r="C9" s="158">
        <v>1028693</v>
      </c>
      <c r="D9" s="158">
        <v>1047557</v>
      </c>
      <c r="E9" s="158">
        <v>456683</v>
      </c>
      <c r="F9" s="158">
        <v>800301</v>
      </c>
      <c r="G9" s="158">
        <v>1016781</v>
      </c>
      <c r="H9" s="158">
        <v>1041269</v>
      </c>
      <c r="I9" s="159">
        <f>IFERROR(H9/G9-1,"-")</f>
        <v>2.4083848931087504E-2</v>
      </c>
      <c r="J9" s="160">
        <f t="shared" ref="J9:J20" si="0">IFERROR(H9/E9-1,"-")</f>
        <v>1.2800695449578812</v>
      </c>
      <c r="K9" s="158">
        <f t="shared" ref="K9:K19" si="1">H9-G9</f>
        <v>24488</v>
      </c>
      <c r="L9" s="158">
        <f t="shared" ref="L9:L20" si="2">H9-E9</f>
        <v>584586</v>
      </c>
      <c r="M9" s="159">
        <f>H9/H$8</f>
        <v>0.20067599353762822</v>
      </c>
      <c r="N9" s="79"/>
      <c r="P9" s="157" t="s">
        <v>97</v>
      </c>
      <c r="Q9" s="158">
        <v>34282</v>
      </c>
      <c r="R9" s="158">
        <v>37119</v>
      </c>
      <c r="S9" s="158">
        <v>16023</v>
      </c>
      <c r="T9" s="158">
        <v>21732</v>
      </c>
      <c r="U9" s="158">
        <v>33809</v>
      </c>
      <c r="V9" s="158">
        <v>37722</v>
      </c>
      <c r="W9" s="159">
        <f>IFERROR(V9/U9-1,"-")</f>
        <v>0.11573841284864983</v>
      </c>
      <c r="X9" s="160">
        <f t="shared" ref="X9:X20" si="3">IFERROR(V9/S9-1,"-")</f>
        <v>1.3542407788803597</v>
      </c>
      <c r="Y9" s="158">
        <f t="shared" ref="Y9:Y19" si="4">V9-U9</f>
        <v>3913</v>
      </c>
      <c r="Z9" s="158">
        <f t="shared" ref="Z9:Z20" si="5">V9-S9</f>
        <v>21699</v>
      </c>
      <c r="AA9" s="159">
        <f>V9/V$8</f>
        <v>0.64862355348453327</v>
      </c>
    </row>
    <row r="10" spans="1:27" x14ac:dyDescent="0.25">
      <c r="A10" s="161" t="s">
        <v>103</v>
      </c>
      <c r="B10" s="162" t="s">
        <v>103</v>
      </c>
      <c r="C10" s="163">
        <v>422456</v>
      </c>
      <c r="D10" s="163">
        <v>415150</v>
      </c>
      <c r="E10" s="163">
        <v>208389</v>
      </c>
      <c r="F10" s="163">
        <v>416048</v>
      </c>
      <c r="G10" s="163">
        <v>423208</v>
      </c>
      <c r="H10" s="163">
        <v>428791</v>
      </c>
      <c r="I10" s="164">
        <f>IFERROR(H10/G10-1,"-")</f>
        <v>1.3192094667397569E-2</v>
      </c>
      <c r="J10" s="165">
        <f t="shared" si="0"/>
        <v>1.0576469967224758</v>
      </c>
      <c r="K10" s="163">
        <f t="shared" si="1"/>
        <v>5583</v>
      </c>
      <c r="L10" s="163">
        <f t="shared" si="2"/>
        <v>220402</v>
      </c>
      <c r="M10" s="164">
        <f>H10/H$8</f>
        <v>8.2637685309937328E-2</v>
      </c>
      <c r="N10" s="79"/>
      <c r="P10" s="162" t="s">
        <v>103</v>
      </c>
      <c r="Q10" s="163">
        <v>16764</v>
      </c>
      <c r="R10" s="163">
        <v>19153</v>
      </c>
      <c r="S10" s="163">
        <v>8684</v>
      </c>
      <c r="T10" s="163">
        <v>11001</v>
      </c>
      <c r="U10" s="163">
        <v>16289</v>
      </c>
      <c r="V10" s="163">
        <v>12024</v>
      </c>
      <c r="W10" s="164">
        <f>IFERROR(V10/U10-1,"-")</f>
        <v>-0.261833138928111</v>
      </c>
      <c r="X10" s="165">
        <f t="shared" si="3"/>
        <v>0.38461538461538458</v>
      </c>
      <c r="Y10" s="163">
        <f t="shared" si="4"/>
        <v>-4265</v>
      </c>
      <c r="Z10" s="163">
        <f t="shared" si="5"/>
        <v>3340</v>
      </c>
      <c r="AA10" s="164">
        <f>V10/V$8</f>
        <v>0.20675069209209554</v>
      </c>
    </row>
    <row r="11" spans="1:27" x14ac:dyDescent="0.25">
      <c r="A11" s="161" t="s">
        <v>100</v>
      </c>
      <c r="B11" s="162" t="s">
        <v>100</v>
      </c>
      <c r="C11" s="163">
        <v>606237</v>
      </c>
      <c r="D11" s="163">
        <v>632407</v>
      </c>
      <c r="E11" s="163">
        <v>248294</v>
      </c>
      <c r="F11" s="163">
        <v>384253</v>
      </c>
      <c r="G11" s="163">
        <v>593573</v>
      </c>
      <c r="H11" s="163">
        <v>612478</v>
      </c>
      <c r="I11" s="164">
        <f>IFERROR(H11/G11-1,"-")</f>
        <v>3.1849494501939857E-2</v>
      </c>
      <c r="J11" s="165">
        <f t="shared" si="0"/>
        <v>1.4667450683463956</v>
      </c>
      <c r="K11" s="163">
        <f t="shared" si="1"/>
        <v>18905</v>
      </c>
      <c r="L11" s="163">
        <f t="shared" si="2"/>
        <v>364184</v>
      </c>
      <c r="M11" s="164">
        <f>H11/H$8</f>
        <v>0.11803830822769087</v>
      </c>
      <c r="N11" s="79"/>
      <c r="P11" s="162" t="s">
        <v>100</v>
      </c>
      <c r="Q11" s="163">
        <v>17518</v>
      </c>
      <c r="R11" s="163">
        <v>17966</v>
      </c>
      <c r="S11" s="163">
        <v>7339</v>
      </c>
      <c r="T11" s="163">
        <v>10731</v>
      </c>
      <c r="U11" s="163">
        <v>17520</v>
      </c>
      <c r="V11" s="163">
        <v>25698</v>
      </c>
      <c r="W11" s="164">
        <f>IFERROR(V11/U11-1,"-")</f>
        <v>0.46678082191780823</v>
      </c>
      <c r="X11" s="165">
        <f t="shared" si="3"/>
        <v>2.5015669709769726</v>
      </c>
      <c r="Y11" s="163">
        <f t="shared" si="4"/>
        <v>8178</v>
      </c>
      <c r="Z11" s="163">
        <f t="shared" si="5"/>
        <v>18359</v>
      </c>
      <c r="AA11" s="164">
        <f>V11/V$8</f>
        <v>0.4418728613924377</v>
      </c>
    </row>
    <row r="12" spans="1:27" x14ac:dyDescent="0.25">
      <c r="A12" s="1"/>
      <c r="B12" s="157" t="s">
        <v>107</v>
      </c>
      <c r="C12" s="158">
        <v>3843763</v>
      </c>
      <c r="D12" s="158">
        <v>3784016</v>
      </c>
      <c r="E12" s="158">
        <v>1108620</v>
      </c>
      <c r="F12" s="158">
        <v>1535137</v>
      </c>
      <c r="G12" s="158">
        <v>3740902</v>
      </c>
      <c r="H12" s="158">
        <v>4147538</v>
      </c>
      <c r="I12" s="159">
        <f>IFERROR(H12/G12-1,"-")</f>
        <v>0.10869998732925912</v>
      </c>
      <c r="J12" s="160">
        <f t="shared" si="0"/>
        <v>2.7411719074164278</v>
      </c>
      <c r="K12" s="158">
        <f t="shared" si="1"/>
        <v>406636</v>
      </c>
      <c r="L12" s="158">
        <f t="shared" si="2"/>
        <v>3038918</v>
      </c>
      <c r="M12" s="159">
        <f>H12/H$8</f>
        <v>0.79932400646237178</v>
      </c>
      <c r="N12" s="79"/>
      <c r="P12" s="157" t="s">
        <v>107</v>
      </c>
      <c r="Q12" s="158">
        <v>19704</v>
      </c>
      <c r="R12" s="158">
        <v>18768</v>
      </c>
      <c r="S12" s="158">
        <v>8198</v>
      </c>
      <c r="T12" s="158">
        <v>11712</v>
      </c>
      <c r="U12" s="158">
        <v>17676</v>
      </c>
      <c r="V12" s="158">
        <v>20435</v>
      </c>
      <c r="W12" s="159">
        <f>IFERROR(V12/U12-1,"-")</f>
        <v>0.15608735007920349</v>
      </c>
      <c r="X12" s="160">
        <f t="shared" si="3"/>
        <v>1.4926811417418882</v>
      </c>
      <c r="Y12" s="158">
        <f t="shared" si="4"/>
        <v>2759</v>
      </c>
      <c r="Z12" s="158">
        <f t="shared" si="5"/>
        <v>12237</v>
      </c>
      <c r="AA12" s="159">
        <f>V12/V$8</f>
        <v>0.35137644651546673</v>
      </c>
    </row>
    <row r="13" spans="1:27" s="56" customFormat="1" x14ac:dyDescent="0.25">
      <c r="B13" s="162" t="s">
        <v>110</v>
      </c>
      <c r="C13" s="163">
        <v>1692213</v>
      </c>
      <c r="D13" s="163">
        <v>1721079</v>
      </c>
      <c r="E13" s="163">
        <v>436137</v>
      </c>
      <c r="F13" s="163">
        <v>446045</v>
      </c>
      <c r="G13" s="163">
        <v>1722453</v>
      </c>
      <c r="H13" s="163">
        <v>1939344</v>
      </c>
      <c r="I13" s="164">
        <f t="shared" ref="I13:I20" si="6">IFERROR(H13/G13-1,"-")</f>
        <v>0.12591983641933924</v>
      </c>
      <c r="J13" s="165">
        <f t="shared" si="0"/>
        <v>3.4466394733764849</v>
      </c>
      <c r="K13" s="163">
        <f t="shared" si="1"/>
        <v>216891</v>
      </c>
      <c r="L13" s="163">
        <f t="shared" si="2"/>
        <v>1503207</v>
      </c>
      <c r="M13" s="164">
        <f t="shared" ref="M13:M20" si="7">H13/H$8</f>
        <v>0.37375527746551374</v>
      </c>
      <c r="N13" s="166"/>
      <c r="P13" s="162" t="s">
        <v>110</v>
      </c>
      <c r="Q13" s="163">
        <v>2265</v>
      </c>
      <c r="R13" s="163">
        <v>2421</v>
      </c>
      <c r="S13" s="163">
        <v>1288</v>
      </c>
      <c r="T13" s="163">
        <v>921</v>
      </c>
      <c r="U13" s="163">
        <v>2403</v>
      </c>
      <c r="V13" s="163">
        <v>2795</v>
      </c>
      <c r="W13" s="164">
        <f t="shared" ref="W13:W20" si="8">IFERROR(V13/U13-1,"-")</f>
        <v>0.16312942155638788</v>
      </c>
      <c r="X13" s="165">
        <f t="shared" si="3"/>
        <v>1.1700310559006213</v>
      </c>
      <c r="Y13" s="163">
        <f t="shared" si="4"/>
        <v>392</v>
      </c>
      <c r="Z13" s="163">
        <f t="shared" si="5"/>
        <v>1507</v>
      </c>
      <c r="AA13" s="164">
        <f t="shared" ref="AA13:AA20" si="9">V13/V$8</f>
        <v>4.8059562907302643E-2</v>
      </c>
    </row>
    <row r="14" spans="1:27" s="56" customFormat="1" x14ac:dyDescent="0.25">
      <c r="B14" s="162" t="s">
        <v>113</v>
      </c>
      <c r="C14" s="163">
        <v>580856</v>
      </c>
      <c r="D14" s="163">
        <v>491040</v>
      </c>
      <c r="E14" s="163">
        <v>138922</v>
      </c>
      <c r="F14" s="163">
        <v>222501</v>
      </c>
      <c r="G14" s="163">
        <v>385709</v>
      </c>
      <c r="H14" s="163">
        <v>431586</v>
      </c>
      <c r="I14" s="164">
        <f t="shared" si="6"/>
        <v>0.11894200031630064</v>
      </c>
      <c r="J14" s="165">
        <f t="shared" si="0"/>
        <v>2.1066785678294293</v>
      </c>
      <c r="K14" s="163">
        <f t="shared" si="1"/>
        <v>45877</v>
      </c>
      <c r="L14" s="163">
        <f t="shared" si="2"/>
        <v>292664</v>
      </c>
      <c r="M14" s="164">
        <f t="shared" si="7"/>
        <v>8.3176344774434668E-2</v>
      </c>
      <c r="N14" s="166"/>
      <c r="P14" s="162" t="s">
        <v>113</v>
      </c>
      <c r="Q14" s="163">
        <v>4527</v>
      </c>
      <c r="R14" s="163">
        <v>3905</v>
      </c>
      <c r="S14" s="163">
        <v>1481</v>
      </c>
      <c r="T14" s="163">
        <v>2395</v>
      </c>
      <c r="U14" s="163">
        <v>3482</v>
      </c>
      <c r="V14" s="163">
        <v>3814</v>
      </c>
      <c r="W14" s="164">
        <f t="shared" si="8"/>
        <v>9.5347501435956383E-2</v>
      </c>
      <c r="X14" s="165">
        <f t="shared" si="3"/>
        <v>1.5752869682646859</v>
      </c>
      <c r="Y14" s="163">
        <f t="shared" si="4"/>
        <v>332</v>
      </c>
      <c r="Z14" s="163">
        <f t="shared" si="5"/>
        <v>2333</v>
      </c>
      <c r="AA14" s="164">
        <f t="shared" si="9"/>
        <v>6.5581099437728912E-2</v>
      </c>
    </row>
    <row r="15" spans="1:27" x14ac:dyDescent="0.25">
      <c r="A15" s="1"/>
      <c r="B15" s="162" t="s">
        <v>116</v>
      </c>
      <c r="C15" s="163">
        <v>162041</v>
      </c>
      <c r="D15" s="163">
        <v>166950</v>
      </c>
      <c r="E15" s="163">
        <v>58766</v>
      </c>
      <c r="F15" s="163">
        <v>128102</v>
      </c>
      <c r="G15" s="163">
        <v>197280</v>
      </c>
      <c r="H15" s="163">
        <v>216824</v>
      </c>
      <c r="I15" s="164">
        <f t="shared" si="6"/>
        <v>9.9067315490673158E-2</v>
      </c>
      <c r="J15" s="165">
        <f t="shared" si="0"/>
        <v>2.6896164448830957</v>
      </c>
      <c r="K15" s="163">
        <f t="shared" si="1"/>
        <v>19544</v>
      </c>
      <c r="L15" s="163">
        <f t="shared" si="2"/>
        <v>158058</v>
      </c>
      <c r="M15" s="164">
        <f t="shared" si="7"/>
        <v>4.1786869313119569E-2</v>
      </c>
      <c r="N15" s="79"/>
      <c r="P15" s="162" t="s">
        <v>116</v>
      </c>
      <c r="Q15" s="163">
        <v>4157</v>
      </c>
      <c r="R15" s="163">
        <v>3854</v>
      </c>
      <c r="S15" s="163">
        <v>1974</v>
      </c>
      <c r="T15" s="163">
        <v>3541</v>
      </c>
      <c r="U15" s="163">
        <v>3412</v>
      </c>
      <c r="V15" s="163">
        <v>3885</v>
      </c>
      <c r="W15" s="164">
        <f t="shared" si="8"/>
        <v>0.13862837045720977</v>
      </c>
      <c r="X15" s="165">
        <f t="shared" si="3"/>
        <v>0.96808510638297873</v>
      </c>
      <c r="Y15" s="163">
        <f t="shared" si="4"/>
        <v>473</v>
      </c>
      <c r="Z15" s="163">
        <f t="shared" si="5"/>
        <v>1911</v>
      </c>
      <c r="AA15" s="164">
        <f t="shared" si="9"/>
        <v>6.6801932699417102E-2</v>
      </c>
    </row>
    <row r="16" spans="1:27" x14ac:dyDescent="0.25">
      <c r="A16" s="1"/>
      <c r="B16" s="162" t="s">
        <v>123</v>
      </c>
      <c r="C16" s="163">
        <v>146606</v>
      </c>
      <c r="D16" s="163">
        <v>137818</v>
      </c>
      <c r="E16" s="163">
        <v>39662</v>
      </c>
      <c r="F16" s="163">
        <v>93209</v>
      </c>
      <c r="G16" s="163">
        <v>169583</v>
      </c>
      <c r="H16" s="163">
        <v>165044</v>
      </c>
      <c r="I16" s="164">
        <f t="shared" si="6"/>
        <v>-2.6765654576225262E-2</v>
      </c>
      <c r="J16" s="165">
        <f t="shared" si="0"/>
        <v>3.1612626695577628</v>
      </c>
      <c r="K16" s="163">
        <f t="shared" si="1"/>
        <v>-4539</v>
      </c>
      <c r="L16" s="163">
        <f t="shared" si="2"/>
        <v>125382</v>
      </c>
      <c r="M16" s="164">
        <f t="shared" si="7"/>
        <v>3.1807696836671707E-2</v>
      </c>
      <c r="N16" s="79"/>
      <c r="P16" s="162" t="s">
        <v>123</v>
      </c>
      <c r="Q16" s="163">
        <v>535</v>
      </c>
      <c r="R16" s="163">
        <v>699</v>
      </c>
      <c r="S16" s="163">
        <v>323</v>
      </c>
      <c r="T16" s="163">
        <v>432</v>
      </c>
      <c r="U16" s="163">
        <v>1172</v>
      </c>
      <c r="V16" s="163">
        <v>938</v>
      </c>
      <c r="W16" s="164">
        <f t="shared" si="8"/>
        <v>-0.19965870307167233</v>
      </c>
      <c r="X16" s="165">
        <f t="shared" si="3"/>
        <v>1.9040247678018574</v>
      </c>
      <c r="Y16" s="163">
        <f t="shared" si="4"/>
        <v>-234</v>
      </c>
      <c r="Z16" s="163">
        <f t="shared" si="5"/>
        <v>615</v>
      </c>
      <c r="AA16" s="164">
        <f t="shared" si="9"/>
        <v>1.6128754922021423E-2</v>
      </c>
    </row>
    <row r="17" spans="1:27" x14ac:dyDescent="0.25">
      <c r="A17" s="1"/>
      <c r="B17" s="162" t="s">
        <v>119</v>
      </c>
      <c r="C17" s="163">
        <v>136223</v>
      </c>
      <c r="D17" s="163">
        <v>133862</v>
      </c>
      <c r="E17" s="163">
        <v>55544</v>
      </c>
      <c r="F17" s="163">
        <v>93337</v>
      </c>
      <c r="G17" s="163">
        <v>146133</v>
      </c>
      <c r="H17" s="163">
        <v>151265</v>
      </c>
      <c r="I17" s="164">
        <f t="shared" si="6"/>
        <v>3.5118693245194343E-2</v>
      </c>
      <c r="J17" s="165">
        <f t="shared" si="0"/>
        <v>1.7233364539824283</v>
      </c>
      <c r="K17" s="163">
        <f t="shared" si="1"/>
        <v>5132</v>
      </c>
      <c r="L17" s="163">
        <f t="shared" si="2"/>
        <v>95721</v>
      </c>
      <c r="M17" s="164">
        <f t="shared" si="7"/>
        <v>2.9152173129584506E-2</v>
      </c>
      <c r="N17" s="79"/>
      <c r="P17" s="162" t="s">
        <v>119</v>
      </c>
      <c r="Q17" s="163">
        <v>534</v>
      </c>
      <c r="R17" s="163">
        <v>519</v>
      </c>
      <c r="S17" s="163">
        <v>351</v>
      </c>
      <c r="T17" s="163">
        <v>507</v>
      </c>
      <c r="U17" s="163">
        <v>682</v>
      </c>
      <c r="V17" s="163">
        <v>650</v>
      </c>
      <c r="W17" s="164">
        <f t="shared" si="8"/>
        <v>-4.692082111436946E-2</v>
      </c>
      <c r="X17" s="165">
        <f t="shared" si="3"/>
        <v>0.85185185185185186</v>
      </c>
      <c r="Y17" s="163">
        <f t="shared" si="4"/>
        <v>-32</v>
      </c>
      <c r="Z17" s="163">
        <f t="shared" si="5"/>
        <v>299</v>
      </c>
      <c r="AA17" s="164">
        <f t="shared" si="9"/>
        <v>1.117664253658201E-2</v>
      </c>
    </row>
    <row r="18" spans="1:27" x14ac:dyDescent="0.25">
      <c r="A18" s="1"/>
      <c r="B18" s="162" t="s">
        <v>128</v>
      </c>
      <c r="C18" s="163">
        <v>68669</v>
      </c>
      <c r="D18" s="163">
        <v>74390</v>
      </c>
      <c r="E18" s="163">
        <v>28784</v>
      </c>
      <c r="F18" s="163">
        <v>25400</v>
      </c>
      <c r="G18" s="163">
        <v>62340</v>
      </c>
      <c r="H18" s="163">
        <v>67966</v>
      </c>
      <c r="I18" s="164">
        <f t="shared" si="6"/>
        <v>9.0247032402951621E-2</v>
      </c>
      <c r="J18" s="165">
        <f t="shared" si="0"/>
        <v>1.361242356864925</v>
      </c>
      <c r="K18" s="163">
        <f t="shared" si="1"/>
        <v>5626</v>
      </c>
      <c r="L18" s="163">
        <f t="shared" si="2"/>
        <v>39182</v>
      </c>
      <c r="M18" s="164">
        <f t="shared" si="7"/>
        <v>1.3098579307343672E-2</v>
      </c>
      <c r="N18" s="79"/>
      <c r="P18" s="162" t="s">
        <v>128</v>
      </c>
      <c r="Q18" s="163">
        <v>176</v>
      </c>
      <c r="R18" s="163">
        <v>155</v>
      </c>
      <c r="S18" s="163">
        <v>124</v>
      </c>
      <c r="T18" s="163">
        <v>105</v>
      </c>
      <c r="U18" s="163">
        <v>270</v>
      </c>
      <c r="V18" s="163">
        <v>153</v>
      </c>
      <c r="W18" s="164">
        <f t="shared" si="8"/>
        <v>-0.43333333333333335</v>
      </c>
      <c r="X18" s="165">
        <f t="shared" si="3"/>
        <v>0.2338709677419355</v>
      </c>
      <c r="Y18" s="163">
        <f t="shared" si="4"/>
        <v>-117</v>
      </c>
      <c r="Z18" s="163">
        <f t="shared" si="5"/>
        <v>29</v>
      </c>
      <c r="AA18" s="164">
        <f t="shared" si="9"/>
        <v>2.6308097047646889E-3</v>
      </c>
    </row>
    <row r="19" spans="1:27" x14ac:dyDescent="0.25">
      <c r="A19" s="161" t="s">
        <v>144</v>
      </c>
      <c r="B19" s="162" t="s">
        <v>131</v>
      </c>
      <c r="C19" s="163">
        <v>119807</v>
      </c>
      <c r="D19" s="163">
        <v>106028</v>
      </c>
      <c r="E19" s="163">
        <v>42711</v>
      </c>
      <c r="F19" s="163">
        <v>22147</v>
      </c>
      <c r="G19" s="163">
        <v>56752</v>
      </c>
      <c r="H19" s="163">
        <v>70972</v>
      </c>
      <c r="I19" s="164">
        <f t="shared" si="6"/>
        <v>0.25056385678037785</v>
      </c>
      <c r="J19" s="165">
        <f t="shared" si="0"/>
        <v>0.66167966097726572</v>
      </c>
      <c r="K19" s="163">
        <f t="shared" si="1"/>
        <v>14220</v>
      </c>
      <c r="L19" s="163">
        <f t="shared" si="2"/>
        <v>28261</v>
      </c>
      <c r="M19" s="164">
        <f t="shared" si="7"/>
        <v>1.3677903225153682E-2</v>
      </c>
      <c r="N19" s="79"/>
      <c r="P19" s="162" t="s">
        <v>131</v>
      </c>
      <c r="Q19" s="163">
        <v>383</v>
      </c>
      <c r="R19" s="163">
        <v>271</v>
      </c>
      <c r="S19" s="163">
        <v>89</v>
      </c>
      <c r="T19" s="163">
        <v>96</v>
      </c>
      <c r="U19" s="163">
        <v>168</v>
      </c>
      <c r="V19" s="163">
        <v>270</v>
      </c>
      <c r="W19" s="164">
        <f t="shared" si="8"/>
        <v>0.60714285714285721</v>
      </c>
      <c r="X19" s="165">
        <f t="shared" si="3"/>
        <v>2.0337078651685392</v>
      </c>
      <c r="Y19" s="163">
        <f t="shared" si="4"/>
        <v>102</v>
      </c>
      <c r="Z19" s="163">
        <f t="shared" si="5"/>
        <v>181</v>
      </c>
      <c r="AA19" s="164">
        <f t="shared" si="9"/>
        <v>4.6426053613494505E-3</v>
      </c>
    </row>
    <row r="20" spans="1:27" x14ac:dyDescent="0.25">
      <c r="A20" s="167" t="s">
        <v>145</v>
      </c>
      <c r="B20" s="168" t="s">
        <v>145</v>
      </c>
      <c r="C20" s="169">
        <f t="shared" ref="C20:H20" si="10">C12-SUM(C13:C19)</f>
        <v>937348</v>
      </c>
      <c r="D20" s="169">
        <f t="shared" si="10"/>
        <v>952849</v>
      </c>
      <c r="E20" s="169">
        <f t="shared" si="10"/>
        <v>308094</v>
      </c>
      <c r="F20" s="169">
        <f t="shared" si="10"/>
        <v>504396</v>
      </c>
      <c r="G20" s="169">
        <f t="shared" si="10"/>
        <v>1000652</v>
      </c>
      <c r="H20" s="169">
        <f t="shared" si="10"/>
        <v>1104537</v>
      </c>
      <c r="I20" s="170">
        <f t="shared" si="6"/>
        <v>0.10381731111315418</v>
      </c>
      <c r="J20" s="171">
        <f t="shared" si="0"/>
        <v>2.5850649477107637</v>
      </c>
      <c r="K20" s="169">
        <f>H20-G20</f>
        <v>103885</v>
      </c>
      <c r="L20" s="169">
        <f t="shared" si="2"/>
        <v>796443</v>
      </c>
      <c r="M20" s="170">
        <f t="shared" si="7"/>
        <v>0.21286916241055026</v>
      </c>
      <c r="N20" s="79"/>
      <c r="P20" s="168" t="s">
        <v>145</v>
      </c>
      <c r="Q20" s="169">
        <f t="shared" ref="Q20:V20" si="11">Q12-SUM(Q13:Q19)</f>
        <v>7127</v>
      </c>
      <c r="R20" s="169">
        <f t="shared" si="11"/>
        <v>6944</v>
      </c>
      <c r="S20" s="169">
        <f t="shared" si="11"/>
        <v>2568</v>
      </c>
      <c r="T20" s="169">
        <f t="shared" si="11"/>
        <v>3715</v>
      </c>
      <c r="U20" s="169">
        <f t="shared" si="11"/>
        <v>6087</v>
      </c>
      <c r="V20" s="169">
        <f t="shared" si="11"/>
        <v>7930</v>
      </c>
      <c r="W20" s="170">
        <f t="shared" si="8"/>
        <v>0.30277640873993761</v>
      </c>
      <c r="X20" s="171">
        <f t="shared" si="3"/>
        <v>2.088006230529595</v>
      </c>
      <c r="Y20" s="169">
        <f>V20-U20</f>
        <v>1843</v>
      </c>
      <c r="Z20" s="169">
        <f t="shared" si="5"/>
        <v>5362</v>
      </c>
      <c r="AA20" s="170">
        <f t="shared" si="9"/>
        <v>0.13635503894630052</v>
      </c>
    </row>
    <row r="21" spans="1:27" x14ac:dyDescent="0.25">
      <c r="B21" s="153" t="s">
        <v>44</v>
      </c>
      <c r="C21" s="151"/>
      <c r="D21" s="151"/>
      <c r="E21" s="151"/>
      <c r="F21" s="151"/>
      <c r="G21" s="151"/>
      <c r="H21" s="152"/>
      <c r="I21" s="152"/>
      <c r="J21" s="152"/>
      <c r="K21" s="152"/>
      <c r="L21" s="151"/>
      <c r="M21" s="151"/>
      <c r="N21" s="125"/>
      <c r="O21" s="125"/>
      <c r="P21" s="125"/>
    </row>
    <row r="22" spans="1:27" x14ac:dyDescent="0.25">
      <c r="B22" s="154" t="s">
        <v>68</v>
      </c>
      <c r="C22" s="155">
        <v>1715135</v>
      </c>
      <c r="D22" s="155">
        <v>1762715</v>
      </c>
      <c r="E22" s="155">
        <v>550867</v>
      </c>
      <c r="F22" s="155">
        <v>881045</v>
      </c>
      <c r="G22" s="155">
        <v>1757049</v>
      </c>
      <c r="H22" s="155">
        <v>1888332</v>
      </c>
      <c r="I22" s="156">
        <f>IFERROR(H22/G22-1,"-")</f>
        <v>7.4717893467968199E-2</v>
      </c>
      <c r="J22" s="156">
        <f>IFERROR(H22/E22-1,"-")</f>
        <v>2.4279272492271273</v>
      </c>
      <c r="K22" s="155">
        <f>H22-G22</f>
        <v>131283</v>
      </c>
      <c r="L22" s="155">
        <f>H22-E22</f>
        <v>1337465</v>
      </c>
      <c r="M22" s="156">
        <f>H22/H$8</f>
        <v>0.36392411589022294</v>
      </c>
      <c r="N22" s="105"/>
      <c r="O22" s="105"/>
      <c r="P22" s="105"/>
    </row>
    <row r="23" spans="1:27" x14ac:dyDescent="0.25">
      <c r="B23" s="157" t="s">
        <v>97</v>
      </c>
      <c r="C23" s="158">
        <v>189817</v>
      </c>
      <c r="D23" s="158">
        <v>222987</v>
      </c>
      <c r="E23" s="158">
        <v>117997</v>
      </c>
      <c r="F23" s="158">
        <v>247584</v>
      </c>
      <c r="G23" s="158">
        <v>207208</v>
      </c>
      <c r="H23" s="158">
        <v>181512</v>
      </c>
      <c r="I23" s="159">
        <f>IFERROR(H23/G23-1,"-")</f>
        <v>-0.12401065595922933</v>
      </c>
      <c r="J23" s="160">
        <f t="shared" ref="J23:J34" si="12">IFERROR(H23/E23-1,"-")</f>
        <v>0.53827639685754725</v>
      </c>
      <c r="K23" s="158">
        <f t="shared" ref="K23:K33" si="13">H23-G23</f>
        <v>-25696</v>
      </c>
      <c r="L23" s="158">
        <f t="shared" ref="L23:L34" si="14">H23-E23</f>
        <v>63515</v>
      </c>
      <c r="M23" s="159">
        <f>H23/H$8</f>
        <v>3.4981451420336117E-2</v>
      </c>
    </row>
    <row r="24" spans="1:27" x14ac:dyDescent="0.25">
      <c r="B24" s="162" t="s">
        <v>103</v>
      </c>
      <c r="C24" s="163">
        <v>89686</v>
      </c>
      <c r="D24" s="163">
        <v>113067</v>
      </c>
      <c r="E24" s="163">
        <v>68476</v>
      </c>
      <c r="F24" s="163">
        <v>126666</v>
      </c>
      <c r="G24" s="163">
        <v>86811</v>
      </c>
      <c r="H24" s="163">
        <v>75374</v>
      </c>
      <c r="I24" s="164">
        <f>IFERROR(H24/G24-1,"-")</f>
        <v>-0.13174597689232936</v>
      </c>
      <c r="J24" s="165">
        <f t="shared" si="12"/>
        <v>0.10073602430048489</v>
      </c>
      <c r="K24" s="163">
        <f t="shared" si="13"/>
        <v>-11437</v>
      </c>
      <c r="L24" s="163">
        <f t="shared" si="14"/>
        <v>6898</v>
      </c>
      <c r="M24" s="164">
        <f>H24/H$8</f>
        <v>1.4526267791421034E-2</v>
      </c>
    </row>
    <row r="25" spans="1:27" x14ac:dyDescent="0.25">
      <c r="B25" s="162" t="s">
        <v>100</v>
      </c>
      <c r="C25" s="163">
        <v>100131</v>
      </c>
      <c r="D25" s="163">
        <v>109920</v>
      </c>
      <c r="E25" s="163">
        <v>49521</v>
      </c>
      <c r="F25" s="163">
        <v>120918</v>
      </c>
      <c r="G25" s="163">
        <v>120397</v>
      </c>
      <c r="H25" s="163">
        <v>106138</v>
      </c>
      <c r="I25" s="164">
        <f>IFERROR(H25/G25-1,"-")</f>
        <v>-0.11843318355108512</v>
      </c>
      <c r="J25" s="165">
        <f t="shared" si="12"/>
        <v>1.1432927444922356</v>
      </c>
      <c r="K25" s="163">
        <f t="shared" si="13"/>
        <v>-14259</v>
      </c>
      <c r="L25" s="163">
        <f t="shared" si="14"/>
        <v>56617</v>
      </c>
      <c r="M25" s="164">
        <f>H25/H$8</f>
        <v>2.0455183628915085E-2</v>
      </c>
    </row>
    <row r="26" spans="1:27" x14ac:dyDescent="0.25">
      <c r="B26" s="157" t="s">
        <v>107</v>
      </c>
      <c r="C26" s="158">
        <v>1525318</v>
      </c>
      <c r="D26" s="158">
        <v>1539728</v>
      </c>
      <c r="E26" s="158">
        <v>432870</v>
      </c>
      <c r="F26" s="158">
        <v>633461</v>
      </c>
      <c r="G26" s="158">
        <v>1549841</v>
      </c>
      <c r="H26" s="158">
        <v>1706820</v>
      </c>
      <c r="I26" s="159">
        <f>IFERROR(H26/G26-1,"-")</f>
        <v>0.10128716429620854</v>
      </c>
      <c r="J26" s="160">
        <f t="shared" si="12"/>
        <v>2.9430313951070759</v>
      </c>
      <c r="K26" s="158">
        <f t="shared" si="13"/>
        <v>156979</v>
      </c>
      <c r="L26" s="158">
        <f t="shared" si="14"/>
        <v>1273950</v>
      </c>
      <c r="M26" s="159">
        <f>H26/H$8</f>
        <v>0.32894266446988679</v>
      </c>
    </row>
    <row r="27" spans="1:27" x14ac:dyDescent="0.25">
      <c r="B27" s="162" t="s">
        <v>110</v>
      </c>
      <c r="C27" s="163">
        <v>740817</v>
      </c>
      <c r="D27" s="163">
        <v>757594</v>
      </c>
      <c r="E27" s="163">
        <v>187852</v>
      </c>
      <c r="F27" s="163">
        <v>208305</v>
      </c>
      <c r="G27" s="163">
        <v>783677</v>
      </c>
      <c r="H27" s="163">
        <v>883653</v>
      </c>
      <c r="I27" s="164">
        <f t="shared" ref="I27:I34" si="15">IFERROR(H27/G27-1,"-")</f>
        <v>0.12757296692387299</v>
      </c>
      <c r="J27" s="165">
        <f t="shared" si="12"/>
        <v>3.7039850520622615</v>
      </c>
      <c r="K27" s="163">
        <f t="shared" si="13"/>
        <v>99976</v>
      </c>
      <c r="L27" s="163">
        <f t="shared" si="14"/>
        <v>695801</v>
      </c>
      <c r="M27" s="164">
        <f t="shared" ref="M27:M34" si="16">H27/H$8</f>
        <v>0.17029983963558482</v>
      </c>
    </row>
    <row r="28" spans="1:27" x14ac:dyDescent="0.25">
      <c r="B28" s="162" t="s">
        <v>113</v>
      </c>
      <c r="C28" s="163">
        <v>222082</v>
      </c>
      <c r="D28" s="163">
        <v>201016</v>
      </c>
      <c r="E28" s="163">
        <v>57141</v>
      </c>
      <c r="F28" s="163">
        <v>103865</v>
      </c>
      <c r="G28" s="163">
        <v>169299</v>
      </c>
      <c r="H28" s="163">
        <v>182538</v>
      </c>
      <c r="I28" s="164">
        <f t="shared" si="15"/>
        <v>7.819892616022539E-2</v>
      </c>
      <c r="J28" s="165">
        <f t="shared" si="12"/>
        <v>2.1945188218617107</v>
      </c>
      <c r="K28" s="163">
        <f t="shared" si="13"/>
        <v>13239</v>
      </c>
      <c r="L28" s="163">
        <f t="shared" si="14"/>
        <v>125397</v>
      </c>
      <c r="M28" s="164">
        <f t="shared" si="16"/>
        <v>3.5179184733600613E-2</v>
      </c>
    </row>
    <row r="29" spans="1:27" x14ac:dyDescent="0.25">
      <c r="B29" s="162" t="s">
        <v>116</v>
      </c>
      <c r="C29" s="163">
        <v>47145</v>
      </c>
      <c r="D29" s="163">
        <v>52571</v>
      </c>
      <c r="E29" s="163">
        <v>20504</v>
      </c>
      <c r="F29" s="163">
        <v>42447</v>
      </c>
      <c r="G29" s="163">
        <v>63176</v>
      </c>
      <c r="H29" s="163">
        <v>65334</v>
      </c>
      <c r="I29" s="164">
        <f t="shared" si="15"/>
        <v>3.415854121818418E-2</v>
      </c>
      <c r="J29" s="165">
        <f t="shared" si="12"/>
        <v>2.1864026531408505</v>
      </c>
      <c r="K29" s="163">
        <f t="shared" si="13"/>
        <v>2158</v>
      </c>
      <c r="L29" s="163">
        <f t="shared" si="14"/>
        <v>44830</v>
      </c>
      <c r="M29" s="164">
        <f t="shared" si="16"/>
        <v>1.2591333614836706E-2</v>
      </c>
    </row>
    <row r="30" spans="1:27" x14ac:dyDescent="0.25">
      <c r="B30" s="162" t="s">
        <v>123</v>
      </c>
      <c r="C30" s="163">
        <v>65413</v>
      </c>
      <c r="D30" s="163">
        <v>61428</v>
      </c>
      <c r="E30" s="163">
        <v>17078</v>
      </c>
      <c r="F30" s="163">
        <v>41550</v>
      </c>
      <c r="G30" s="163">
        <v>75901</v>
      </c>
      <c r="H30" s="163">
        <v>70878</v>
      </c>
      <c r="I30" s="164">
        <f t="shared" si="15"/>
        <v>-6.6178311221195996E-2</v>
      </c>
      <c r="J30" s="165">
        <f t="shared" si="12"/>
        <v>3.1502517859234098</v>
      </c>
      <c r="K30" s="163">
        <f t="shared" si="13"/>
        <v>-5023</v>
      </c>
      <c r="L30" s="163">
        <f t="shared" si="14"/>
        <v>53800</v>
      </c>
      <c r="M30" s="164">
        <f t="shared" si="16"/>
        <v>1.3659787307564147E-2</v>
      </c>
    </row>
    <row r="31" spans="1:27" x14ac:dyDescent="0.25">
      <c r="B31" s="162" t="s">
        <v>119</v>
      </c>
      <c r="C31" s="163">
        <v>71278</v>
      </c>
      <c r="D31" s="163">
        <v>70272</v>
      </c>
      <c r="E31" s="163">
        <v>28980</v>
      </c>
      <c r="F31" s="163">
        <v>51893</v>
      </c>
      <c r="G31" s="163">
        <v>82793</v>
      </c>
      <c r="H31" s="163">
        <v>80226</v>
      </c>
      <c r="I31" s="164">
        <f t="shared" si="15"/>
        <v>-3.1005036657688501E-2</v>
      </c>
      <c r="J31" s="165">
        <f t="shared" si="12"/>
        <v>1.7683229813664596</v>
      </c>
      <c r="K31" s="163">
        <f t="shared" si="13"/>
        <v>-2567</v>
      </c>
      <c r="L31" s="163">
        <f t="shared" si="14"/>
        <v>51246</v>
      </c>
      <c r="M31" s="164">
        <f t="shared" si="16"/>
        <v>1.5461357495085093E-2</v>
      </c>
    </row>
    <row r="32" spans="1:27" x14ac:dyDescent="0.25">
      <c r="B32" s="162" t="s">
        <v>128</v>
      </c>
      <c r="C32" s="163">
        <v>26168</v>
      </c>
      <c r="D32" s="163">
        <v>30964</v>
      </c>
      <c r="E32" s="163">
        <v>11625</v>
      </c>
      <c r="F32" s="163">
        <v>7603</v>
      </c>
      <c r="G32" s="163">
        <v>22864</v>
      </c>
      <c r="H32" s="163">
        <v>24590</v>
      </c>
      <c r="I32" s="164">
        <f t="shared" si="15"/>
        <v>7.5489853044086841E-2</v>
      </c>
      <c r="J32" s="165">
        <f t="shared" si="12"/>
        <v>1.115268817204301</v>
      </c>
      <c r="K32" s="163">
        <f t="shared" si="13"/>
        <v>1726</v>
      </c>
      <c r="L32" s="163">
        <f t="shared" si="14"/>
        <v>12965</v>
      </c>
      <c r="M32" s="164">
        <f t="shared" si="16"/>
        <v>4.7390469524112187E-3</v>
      </c>
    </row>
    <row r="33" spans="2:16" x14ac:dyDescent="0.25">
      <c r="B33" s="162" t="s">
        <v>131</v>
      </c>
      <c r="C33" s="163">
        <v>36149</v>
      </c>
      <c r="D33" s="163">
        <v>35546</v>
      </c>
      <c r="E33" s="163">
        <v>13377</v>
      </c>
      <c r="F33" s="163">
        <v>5465</v>
      </c>
      <c r="G33" s="163">
        <v>19705</v>
      </c>
      <c r="H33" s="163">
        <v>25667</v>
      </c>
      <c r="I33" s="164">
        <f t="shared" si="15"/>
        <v>0.30256280131946212</v>
      </c>
      <c r="J33" s="165">
        <f t="shared" si="12"/>
        <v>0.91874112282275555</v>
      </c>
      <c r="K33" s="163">
        <f t="shared" si="13"/>
        <v>5962</v>
      </c>
      <c r="L33" s="163">
        <f t="shared" si="14"/>
        <v>12290</v>
      </c>
      <c r="M33" s="164">
        <f t="shared" si="16"/>
        <v>4.9466091145806733E-3</v>
      </c>
    </row>
    <row r="34" spans="2:16" x14ac:dyDescent="0.25">
      <c r="B34" s="168" t="s">
        <v>145</v>
      </c>
      <c r="C34" s="169">
        <f t="shared" ref="C34:H34" si="17">C26-SUM(C27:C33)</f>
        <v>316266</v>
      </c>
      <c r="D34" s="169">
        <f t="shared" si="17"/>
        <v>330337</v>
      </c>
      <c r="E34" s="169">
        <f t="shared" si="17"/>
        <v>96313</v>
      </c>
      <c r="F34" s="169">
        <f t="shared" si="17"/>
        <v>172333</v>
      </c>
      <c r="G34" s="169">
        <f t="shared" si="17"/>
        <v>332426</v>
      </c>
      <c r="H34" s="169">
        <f t="shared" si="17"/>
        <v>373934</v>
      </c>
      <c r="I34" s="170">
        <f t="shared" si="15"/>
        <v>0.12486387947994437</v>
      </c>
      <c r="J34" s="171">
        <f t="shared" si="12"/>
        <v>2.8824873070094381</v>
      </c>
      <c r="K34" s="169">
        <f>H34-G34</f>
        <v>41508</v>
      </c>
      <c r="L34" s="169">
        <f t="shared" si="14"/>
        <v>277621</v>
      </c>
      <c r="M34" s="170">
        <f t="shared" si="16"/>
        <v>7.2065505616223532E-2</v>
      </c>
    </row>
    <row r="35" spans="2:16" x14ac:dyDescent="0.25">
      <c r="B35" s="153" t="s">
        <v>45</v>
      </c>
      <c r="C35" s="151"/>
      <c r="D35" s="151"/>
      <c r="E35" s="151"/>
      <c r="F35" s="151"/>
      <c r="G35" s="151"/>
      <c r="H35" s="152"/>
      <c r="I35" s="152"/>
      <c r="J35" s="152"/>
      <c r="K35" s="152"/>
      <c r="L35" s="151"/>
      <c r="M35" s="151"/>
      <c r="N35" s="125"/>
      <c r="O35" s="125"/>
      <c r="P35" s="125"/>
    </row>
    <row r="36" spans="2:16" x14ac:dyDescent="0.25">
      <c r="B36" s="154" t="s">
        <v>68</v>
      </c>
      <c r="C36" s="155">
        <v>1322486</v>
      </c>
      <c r="D36" s="155">
        <v>1299411</v>
      </c>
      <c r="E36" s="155">
        <v>375345</v>
      </c>
      <c r="F36" s="155">
        <v>492258</v>
      </c>
      <c r="G36" s="155">
        <v>1243535</v>
      </c>
      <c r="H36" s="155">
        <v>1319978</v>
      </c>
      <c r="I36" s="156">
        <f>IFERROR(H36/G36-1,"-")</f>
        <v>6.1472334916186533E-2</v>
      </c>
      <c r="J36" s="156">
        <f>IFERROR(H36/E36-1,"-")</f>
        <v>2.5167059638465945</v>
      </c>
      <c r="K36" s="155">
        <f>H36-G36</f>
        <v>76443</v>
      </c>
      <c r="L36" s="155">
        <f>H36-E36</f>
        <v>944633</v>
      </c>
      <c r="M36" s="156">
        <f>H36/H$8</f>
        <v>0.25438949646807058</v>
      </c>
      <c r="N36" s="105"/>
      <c r="O36" s="105"/>
      <c r="P36" s="105"/>
    </row>
    <row r="37" spans="2:16" x14ac:dyDescent="0.25">
      <c r="B37" s="157" t="s">
        <v>97</v>
      </c>
      <c r="C37" s="158">
        <v>132322</v>
      </c>
      <c r="D37" s="158">
        <v>127819</v>
      </c>
      <c r="E37" s="158">
        <v>51760</v>
      </c>
      <c r="F37" s="158">
        <v>83468</v>
      </c>
      <c r="G37" s="158">
        <v>123951</v>
      </c>
      <c r="H37" s="158">
        <v>118966</v>
      </c>
      <c r="I37" s="159">
        <f>IFERROR(H37/G37-1,"-")</f>
        <v>-4.0217505304515511E-2</v>
      </c>
      <c r="J37" s="160">
        <f t="shared" ref="J37:J48" si="18">IFERROR(H37/E37-1,"-")</f>
        <v>1.2984157650695516</v>
      </c>
      <c r="K37" s="158">
        <f t="shared" ref="K37:K47" si="19">H37-G37</f>
        <v>-4985</v>
      </c>
      <c r="L37" s="158">
        <f t="shared" ref="L37:L48" si="20">H37-E37</f>
        <v>67206</v>
      </c>
      <c r="M37" s="159">
        <f>H37/H$8</f>
        <v>2.2927428212303907E-2</v>
      </c>
    </row>
    <row r="38" spans="2:16" x14ac:dyDescent="0.25">
      <c r="B38" s="162" t="s">
        <v>103</v>
      </c>
      <c r="C38" s="163">
        <v>42034</v>
      </c>
      <c r="D38" s="163">
        <v>51328</v>
      </c>
      <c r="E38" s="163">
        <v>24912</v>
      </c>
      <c r="F38" s="163">
        <v>43482</v>
      </c>
      <c r="G38" s="163">
        <v>48094</v>
      </c>
      <c r="H38" s="163">
        <v>51902</v>
      </c>
      <c r="I38" s="164">
        <f>IFERROR(H38/G38-1,"-")</f>
        <v>7.9178275876408799E-2</v>
      </c>
      <c r="J38" s="165">
        <f t="shared" si="18"/>
        <v>1.083413615928067</v>
      </c>
      <c r="K38" s="163">
        <f t="shared" si="19"/>
        <v>3808</v>
      </c>
      <c r="L38" s="163">
        <f t="shared" si="20"/>
        <v>26990</v>
      </c>
      <c r="M38" s="164">
        <f>H38/H$8</f>
        <v>1.0002684624808748E-2</v>
      </c>
    </row>
    <row r="39" spans="2:16" x14ac:dyDescent="0.25">
      <c r="B39" s="162" t="s">
        <v>100</v>
      </c>
      <c r="C39" s="163">
        <v>90288</v>
      </c>
      <c r="D39" s="163">
        <v>76491</v>
      </c>
      <c r="E39" s="163">
        <v>26848</v>
      </c>
      <c r="F39" s="163">
        <v>39986</v>
      </c>
      <c r="G39" s="163">
        <v>75857</v>
      </c>
      <c r="H39" s="163">
        <v>67064</v>
      </c>
      <c r="I39" s="164">
        <f>IFERROR(H39/G39-1,"-")</f>
        <v>-0.1159154725338466</v>
      </c>
      <c r="J39" s="165">
        <f t="shared" si="18"/>
        <v>1.4979141835518472</v>
      </c>
      <c r="K39" s="163">
        <f t="shared" si="19"/>
        <v>-8793</v>
      </c>
      <c r="L39" s="163">
        <f t="shared" si="20"/>
        <v>40216</v>
      </c>
      <c r="M39" s="164">
        <f>H39/H$8</f>
        <v>1.2924743587495161E-2</v>
      </c>
    </row>
    <row r="40" spans="2:16" x14ac:dyDescent="0.25">
      <c r="B40" s="157" t="s">
        <v>107</v>
      </c>
      <c r="C40" s="158">
        <v>1190164</v>
      </c>
      <c r="D40" s="158">
        <v>1171592</v>
      </c>
      <c r="E40" s="158">
        <v>323585</v>
      </c>
      <c r="F40" s="158">
        <v>408790</v>
      </c>
      <c r="G40" s="158">
        <v>1119584</v>
      </c>
      <c r="H40" s="158">
        <v>1201012</v>
      </c>
      <c r="I40" s="159">
        <f>IFERROR(H40/G40-1,"-")</f>
        <v>7.2730585646097135E-2</v>
      </c>
      <c r="J40" s="160">
        <f t="shared" si="18"/>
        <v>2.7115811919588362</v>
      </c>
      <c r="K40" s="158">
        <f t="shared" si="19"/>
        <v>81428</v>
      </c>
      <c r="L40" s="158">
        <f t="shared" si="20"/>
        <v>877427</v>
      </c>
      <c r="M40" s="159">
        <f>H40/H$8</f>
        <v>0.23146206825576668</v>
      </c>
    </row>
    <row r="41" spans="2:16" x14ac:dyDescent="0.25">
      <c r="B41" s="162" t="s">
        <v>110</v>
      </c>
      <c r="C41" s="163">
        <v>614177</v>
      </c>
      <c r="D41" s="163">
        <v>640459</v>
      </c>
      <c r="E41" s="163">
        <v>146501</v>
      </c>
      <c r="F41" s="163">
        <v>142606</v>
      </c>
      <c r="G41" s="163">
        <v>581865</v>
      </c>
      <c r="H41" s="163">
        <v>634691</v>
      </c>
      <c r="I41" s="164">
        <f t="shared" ref="I41:I48" si="21">IFERROR(H41/G41-1,"-")</f>
        <v>9.0787381952858404E-2</v>
      </c>
      <c r="J41" s="165">
        <f t="shared" si="18"/>
        <v>3.3323322025105631</v>
      </c>
      <c r="K41" s="163">
        <f t="shared" si="19"/>
        <v>52826</v>
      </c>
      <c r="L41" s="163">
        <f t="shared" si="20"/>
        <v>488190</v>
      </c>
      <c r="M41" s="164">
        <f t="shared" ref="M41:M48" si="22">H41/H$8</f>
        <v>0.12231925373211992</v>
      </c>
    </row>
    <row r="42" spans="2:16" x14ac:dyDescent="0.25">
      <c r="B42" s="162" t="s">
        <v>113</v>
      </c>
      <c r="C42" s="163">
        <v>72717</v>
      </c>
      <c r="D42" s="163">
        <v>52401</v>
      </c>
      <c r="E42" s="163">
        <v>16159</v>
      </c>
      <c r="F42" s="163">
        <v>21846</v>
      </c>
      <c r="G42" s="163">
        <v>39072</v>
      </c>
      <c r="H42" s="163">
        <v>45133</v>
      </c>
      <c r="I42" s="164">
        <f t="shared" si="21"/>
        <v>0.15512387387387383</v>
      </c>
      <c r="J42" s="165">
        <f t="shared" si="18"/>
        <v>1.7930565010211028</v>
      </c>
      <c r="K42" s="163">
        <f t="shared" si="19"/>
        <v>6061</v>
      </c>
      <c r="L42" s="163">
        <f t="shared" si="20"/>
        <v>28974</v>
      </c>
      <c r="M42" s="164">
        <f t="shared" si="22"/>
        <v>8.6981458358347113E-3</v>
      </c>
    </row>
    <row r="43" spans="2:16" x14ac:dyDescent="0.25">
      <c r="B43" s="162" t="s">
        <v>116</v>
      </c>
      <c r="C43" s="163">
        <v>23684</v>
      </c>
      <c r="D43" s="163">
        <v>24405</v>
      </c>
      <c r="E43" s="163">
        <v>9702</v>
      </c>
      <c r="F43" s="163">
        <v>19919</v>
      </c>
      <c r="G43" s="163">
        <v>27268</v>
      </c>
      <c r="H43" s="163">
        <v>28898</v>
      </c>
      <c r="I43" s="164">
        <f t="shared" si="21"/>
        <v>5.9777028018189737E-2</v>
      </c>
      <c r="J43" s="165">
        <f t="shared" si="18"/>
        <v>1.9785611214182643</v>
      </c>
      <c r="K43" s="163">
        <f t="shared" si="19"/>
        <v>1630</v>
      </c>
      <c r="L43" s="163">
        <f t="shared" si="20"/>
        <v>19196</v>
      </c>
      <c r="M43" s="164">
        <f t="shared" si="22"/>
        <v>5.5692956010890363E-3</v>
      </c>
    </row>
    <row r="44" spans="2:16" x14ac:dyDescent="0.25">
      <c r="B44" s="162" t="s">
        <v>123</v>
      </c>
      <c r="C44" s="163">
        <v>55932</v>
      </c>
      <c r="D44" s="163">
        <v>53890</v>
      </c>
      <c r="E44" s="163">
        <v>15410</v>
      </c>
      <c r="F44" s="163">
        <v>30677</v>
      </c>
      <c r="G44" s="163">
        <v>57015</v>
      </c>
      <c r="H44" s="163">
        <v>55478</v>
      </c>
      <c r="I44" s="164">
        <f t="shared" si="21"/>
        <v>-2.6957818118039101E-2</v>
      </c>
      <c r="J44" s="165">
        <f t="shared" si="18"/>
        <v>2.6001297858533419</v>
      </c>
      <c r="K44" s="163">
        <f t="shared" si="19"/>
        <v>-1537</v>
      </c>
      <c r="L44" s="163">
        <f t="shared" si="20"/>
        <v>40068</v>
      </c>
      <c r="M44" s="164">
        <f t="shared" si="22"/>
        <v>1.0691860383321252E-2</v>
      </c>
    </row>
    <row r="45" spans="2:16" x14ac:dyDescent="0.25">
      <c r="B45" s="162" t="s">
        <v>119</v>
      </c>
      <c r="C45" s="163">
        <v>41910</v>
      </c>
      <c r="D45" s="163">
        <v>41202</v>
      </c>
      <c r="E45" s="163">
        <v>15534</v>
      </c>
      <c r="F45" s="163">
        <v>22807</v>
      </c>
      <c r="G45" s="163">
        <v>38767</v>
      </c>
      <c r="H45" s="163">
        <v>44187</v>
      </c>
      <c r="I45" s="164">
        <f t="shared" si="21"/>
        <v>0.13980963190342299</v>
      </c>
      <c r="J45" s="165">
        <f t="shared" si="18"/>
        <v>1.8445345693317883</v>
      </c>
      <c r="K45" s="163">
        <f t="shared" si="19"/>
        <v>5420</v>
      </c>
      <c r="L45" s="163">
        <f t="shared" si="20"/>
        <v>28653</v>
      </c>
      <c r="M45" s="164">
        <f t="shared" si="22"/>
        <v>8.515830324774076E-3</v>
      </c>
    </row>
    <row r="46" spans="2:16" x14ac:dyDescent="0.25">
      <c r="B46" s="162" t="s">
        <v>128</v>
      </c>
      <c r="C46" s="163">
        <v>28055</v>
      </c>
      <c r="D46" s="163">
        <v>26919</v>
      </c>
      <c r="E46" s="163">
        <v>9750</v>
      </c>
      <c r="F46" s="163">
        <v>10533</v>
      </c>
      <c r="G46" s="163">
        <v>22457</v>
      </c>
      <c r="H46" s="163">
        <v>23505</v>
      </c>
      <c r="I46" s="164">
        <f t="shared" si="21"/>
        <v>4.6666963530302308E-2</v>
      </c>
      <c r="J46" s="165">
        <f t="shared" si="18"/>
        <v>1.4107692307692306</v>
      </c>
      <c r="K46" s="163">
        <f t="shared" si="19"/>
        <v>1048</v>
      </c>
      <c r="L46" s="163">
        <f t="shared" si="20"/>
        <v>13755</v>
      </c>
      <c r="M46" s="164">
        <f t="shared" si="22"/>
        <v>4.5299430100213785E-3</v>
      </c>
    </row>
    <row r="47" spans="2:16" x14ac:dyDescent="0.25">
      <c r="B47" s="162" t="s">
        <v>131</v>
      </c>
      <c r="C47" s="163">
        <v>50198</v>
      </c>
      <c r="D47" s="163">
        <v>42509</v>
      </c>
      <c r="E47" s="163">
        <v>16737</v>
      </c>
      <c r="F47" s="163">
        <v>10472</v>
      </c>
      <c r="G47" s="163">
        <v>22560</v>
      </c>
      <c r="H47" s="163">
        <v>26526</v>
      </c>
      <c r="I47" s="164">
        <f t="shared" si="21"/>
        <v>0.17579787234042543</v>
      </c>
      <c r="J47" s="165">
        <f t="shared" si="18"/>
        <v>0.58487184083169019</v>
      </c>
      <c r="K47" s="163">
        <f t="shared" si="19"/>
        <v>3966</v>
      </c>
      <c r="L47" s="163">
        <f t="shared" si="20"/>
        <v>9789</v>
      </c>
      <c r="M47" s="164">
        <f t="shared" si="22"/>
        <v>5.1121577657446118E-3</v>
      </c>
    </row>
    <row r="48" spans="2:16" x14ac:dyDescent="0.25">
      <c r="B48" s="168" t="s">
        <v>145</v>
      </c>
      <c r="C48" s="169">
        <f t="shared" ref="C48:H48" si="23">C40-SUM(C41:C47)</f>
        <v>303491</v>
      </c>
      <c r="D48" s="169">
        <f t="shared" si="23"/>
        <v>289807</v>
      </c>
      <c r="E48" s="169">
        <f t="shared" si="23"/>
        <v>93792</v>
      </c>
      <c r="F48" s="169">
        <f t="shared" si="23"/>
        <v>149930</v>
      </c>
      <c r="G48" s="169">
        <f t="shared" si="23"/>
        <v>330580</v>
      </c>
      <c r="H48" s="169">
        <f t="shared" si="23"/>
        <v>342594</v>
      </c>
      <c r="I48" s="170">
        <f t="shared" si="21"/>
        <v>3.6342186460160963E-2</v>
      </c>
      <c r="J48" s="171">
        <f t="shared" si="18"/>
        <v>2.6526995905834188</v>
      </c>
      <c r="K48" s="169">
        <f>H48-G48</f>
        <v>12014</v>
      </c>
      <c r="L48" s="169">
        <f t="shared" si="20"/>
        <v>248802</v>
      </c>
      <c r="M48" s="170">
        <f t="shared" si="22"/>
        <v>6.6025581602861705E-2</v>
      </c>
    </row>
    <row r="49" spans="2:16" x14ac:dyDescent="0.25">
      <c r="B49" s="153" t="s">
        <v>46</v>
      </c>
      <c r="C49" s="151"/>
      <c r="D49" s="151"/>
      <c r="E49" s="151"/>
      <c r="F49" s="151"/>
      <c r="G49" s="151"/>
      <c r="H49" s="152"/>
      <c r="I49" s="152"/>
      <c r="J49" s="152"/>
      <c r="K49" s="152"/>
      <c r="L49" s="151"/>
      <c r="M49" s="151"/>
      <c r="N49" s="125"/>
      <c r="O49" s="125"/>
      <c r="P49" s="125"/>
    </row>
    <row r="50" spans="2:16" x14ac:dyDescent="0.25">
      <c r="B50" s="154" t="s">
        <v>68</v>
      </c>
      <c r="C50" s="155">
        <v>47034</v>
      </c>
      <c r="D50" s="155">
        <v>45076</v>
      </c>
      <c r="E50" s="155">
        <v>12633</v>
      </c>
      <c r="F50" s="155">
        <v>20161</v>
      </c>
      <c r="G50" s="155">
        <v>37751</v>
      </c>
      <c r="H50" s="155">
        <v>51166</v>
      </c>
      <c r="I50" s="156">
        <f>IFERROR(H50/G50-1,"-")</f>
        <v>0.3553548250377474</v>
      </c>
      <c r="J50" s="156">
        <f>IFERROR(H50/E50-1,"-")</f>
        <v>3.0501860207393339</v>
      </c>
      <c r="K50" s="155">
        <f>H50-G50</f>
        <v>13415</v>
      </c>
      <c r="L50" s="155">
        <f>H50-E50</f>
        <v>38533</v>
      </c>
      <c r="M50" s="156">
        <f>H50/H$8</f>
        <v>9.8608408445332429E-3</v>
      </c>
      <c r="N50" s="105"/>
      <c r="O50" s="105"/>
      <c r="P50" s="105"/>
    </row>
    <row r="51" spans="2:16" x14ac:dyDescent="0.25">
      <c r="B51" s="157" t="s">
        <v>97</v>
      </c>
      <c r="C51" s="158">
        <v>11661</v>
      </c>
      <c r="D51" s="158">
        <v>10509</v>
      </c>
      <c r="E51" s="158">
        <v>2339</v>
      </c>
      <c r="F51" s="158">
        <v>4950</v>
      </c>
      <c r="G51" s="158">
        <v>6762</v>
      </c>
      <c r="H51" s="158">
        <v>20250</v>
      </c>
      <c r="I51" s="159">
        <f>IFERROR(H51/G51-1,"-")</f>
        <v>1.9946761313220942</v>
      </c>
      <c r="J51" s="160">
        <f t="shared" ref="J51:J62" si="24">IFERROR(H51/E51-1,"-")</f>
        <v>7.6575459598118858</v>
      </c>
      <c r="K51" s="158">
        <f t="shared" ref="K51:K61" si="25">H51-G51</f>
        <v>13488</v>
      </c>
      <c r="L51" s="158">
        <f t="shared" ref="L51:L62" si="26">H51-E51</f>
        <v>17911</v>
      </c>
      <c r="M51" s="159">
        <f>H51/H$8</f>
        <v>3.9026311828518579E-3</v>
      </c>
    </row>
    <row r="52" spans="2:16" x14ac:dyDescent="0.25">
      <c r="B52" s="162" t="s">
        <v>103</v>
      </c>
      <c r="C52" s="163">
        <v>7273</v>
      </c>
      <c r="D52" s="163">
        <v>5944</v>
      </c>
      <c r="E52" s="163">
        <v>1658</v>
      </c>
      <c r="F52" s="163">
        <v>2415</v>
      </c>
      <c r="G52" s="163">
        <v>3515</v>
      </c>
      <c r="H52" s="163">
        <v>14811</v>
      </c>
      <c r="I52" s="164">
        <f>IFERROR(H52/G52-1,"-")</f>
        <v>3.2136557610241825</v>
      </c>
      <c r="J52" s="165">
        <f t="shared" si="24"/>
        <v>7.9330518697225578</v>
      </c>
      <c r="K52" s="163">
        <f t="shared" si="25"/>
        <v>11296</v>
      </c>
      <c r="L52" s="163">
        <f t="shared" si="26"/>
        <v>13153</v>
      </c>
      <c r="M52" s="164">
        <f>H52/H$8</f>
        <v>2.854413355516981E-3</v>
      </c>
    </row>
    <row r="53" spans="2:16" x14ac:dyDescent="0.25">
      <c r="B53" s="162" t="s">
        <v>100</v>
      </c>
      <c r="C53" s="163">
        <v>4388</v>
      </c>
      <c r="D53" s="163">
        <v>4565</v>
      </c>
      <c r="E53" s="163">
        <v>681</v>
      </c>
      <c r="F53" s="163">
        <v>2535</v>
      </c>
      <c r="G53" s="163">
        <v>3247</v>
      </c>
      <c r="H53" s="163">
        <v>5439</v>
      </c>
      <c r="I53" s="164">
        <f>IFERROR(H53/G53-1,"-")</f>
        <v>0.67508469356328926</v>
      </c>
      <c r="J53" s="165">
        <f t="shared" si="24"/>
        <v>6.9867841409691627</v>
      </c>
      <c r="K53" s="163">
        <f t="shared" si="25"/>
        <v>2192</v>
      </c>
      <c r="L53" s="163">
        <f t="shared" si="26"/>
        <v>4758</v>
      </c>
      <c r="M53" s="164">
        <f>H53/H$8</f>
        <v>1.0482178273348768E-3</v>
      </c>
    </row>
    <row r="54" spans="2:16" x14ac:dyDescent="0.25">
      <c r="B54" s="157" t="s">
        <v>107</v>
      </c>
      <c r="C54" s="158">
        <v>35373</v>
      </c>
      <c r="D54" s="158">
        <v>34567</v>
      </c>
      <c r="E54" s="158">
        <v>10294</v>
      </c>
      <c r="F54" s="158">
        <v>15211</v>
      </c>
      <c r="G54" s="158">
        <v>30989</v>
      </c>
      <c r="H54" s="158">
        <v>30916</v>
      </c>
      <c r="I54" s="159">
        <f>IFERROR(H54/G54-1,"-")</f>
        <v>-2.3556745942108215E-3</v>
      </c>
      <c r="J54" s="160">
        <f t="shared" si="24"/>
        <v>2.0033028948902274</v>
      </c>
      <c r="K54" s="158">
        <f t="shared" si="25"/>
        <v>-73</v>
      </c>
      <c r="L54" s="158">
        <f t="shared" si="26"/>
        <v>20622</v>
      </c>
      <c r="M54" s="159">
        <f>H54/H$8</f>
        <v>5.9582096616813849E-3</v>
      </c>
    </row>
    <row r="55" spans="2:16" x14ac:dyDescent="0.25">
      <c r="B55" s="162" t="s">
        <v>110</v>
      </c>
      <c r="C55" s="163">
        <v>10066</v>
      </c>
      <c r="D55" s="163">
        <v>10275</v>
      </c>
      <c r="E55" s="163">
        <v>3060</v>
      </c>
      <c r="F55" s="163">
        <v>3030</v>
      </c>
      <c r="G55" s="163">
        <v>10352</v>
      </c>
      <c r="H55" s="163">
        <v>9308</v>
      </c>
      <c r="I55" s="164">
        <f t="shared" ref="I55:I62" si="27">IFERROR(H55/G55-1,"-")</f>
        <v>-0.1008500772797527</v>
      </c>
      <c r="J55" s="165">
        <f t="shared" si="24"/>
        <v>2.041830065359477</v>
      </c>
      <c r="K55" s="163">
        <f t="shared" si="25"/>
        <v>-1044</v>
      </c>
      <c r="L55" s="163">
        <f t="shared" si="26"/>
        <v>6248</v>
      </c>
      <c r="M55" s="164">
        <f t="shared" ref="M55:M62" si="28">H55/H$8</f>
        <v>1.7938612864190169E-3</v>
      </c>
    </row>
    <row r="56" spans="2:16" x14ac:dyDescent="0.25">
      <c r="B56" s="162" t="s">
        <v>113</v>
      </c>
      <c r="C56" s="163">
        <v>10860</v>
      </c>
      <c r="D56" s="163">
        <v>9881</v>
      </c>
      <c r="E56" s="163">
        <v>2874</v>
      </c>
      <c r="F56" s="163">
        <v>5150</v>
      </c>
      <c r="G56" s="163">
        <v>6811</v>
      </c>
      <c r="H56" s="163">
        <v>6211</v>
      </c>
      <c r="I56" s="164">
        <f t="shared" si="27"/>
        <v>-8.8092791073263843E-2</v>
      </c>
      <c r="J56" s="165">
        <f t="shared" si="24"/>
        <v>1.1610995128740433</v>
      </c>
      <c r="K56" s="163">
        <f t="shared" si="25"/>
        <v>-600</v>
      </c>
      <c r="L56" s="163">
        <f t="shared" si="26"/>
        <v>3337</v>
      </c>
      <c r="M56" s="164">
        <f t="shared" si="28"/>
        <v>1.1969996186021179E-3</v>
      </c>
    </row>
    <row r="57" spans="2:16" x14ac:dyDescent="0.25">
      <c r="B57" s="162" t="s">
        <v>116</v>
      </c>
      <c r="C57" s="163">
        <v>2116</v>
      </c>
      <c r="D57" s="163">
        <v>2186</v>
      </c>
      <c r="E57" s="163">
        <v>544</v>
      </c>
      <c r="F57" s="163">
        <v>1642</v>
      </c>
      <c r="G57" s="163">
        <v>2746</v>
      </c>
      <c r="H57" s="163">
        <v>2942</v>
      </c>
      <c r="I57" s="164">
        <f t="shared" si="27"/>
        <v>7.1376547705753746E-2</v>
      </c>
      <c r="J57" s="165">
        <f t="shared" si="24"/>
        <v>4.4080882352941178</v>
      </c>
      <c r="K57" s="163">
        <f t="shared" si="25"/>
        <v>196</v>
      </c>
      <c r="L57" s="163">
        <f t="shared" si="26"/>
        <v>2398</v>
      </c>
      <c r="M57" s="164">
        <f t="shared" si="28"/>
        <v>5.6698967604692173E-4</v>
      </c>
    </row>
    <row r="58" spans="2:16" x14ac:dyDescent="0.25">
      <c r="B58" s="162" t="s">
        <v>123</v>
      </c>
      <c r="C58" s="163">
        <v>663</v>
      </c>
      <c r="D58" s="163">
        <v>731</v>
      </c>
      <c r="E58" s="163">
        <v>284</v>
      </c>
      <c r="F58" s="163">
        <v>377</v>
      </c>
      <c r="G58" s="163">
        <v>868</v>
      </c>
      <c r="H58" s="163">
        <v>832</v>
      </c>
      <c r="I58" s="164">
        <f t="shared" si="27"/>
        <v>-4.1474654377880227E-2</v>
      </c>
      <c r="J58" s="165">
        <f t="shared" si="24"/>
        <v>1.9295774647887325</v>
      </c>
      <c r="K58" s="163">
        <f t="shared" si="25"/>
        <v>-36</v>
      </c>
      <c r="L58" s="163">
        <f t="shared" si="26"/>
        <v>548</v>
      </c>
      <c r="M58" s="164">
        <f t="shared" si="28"/>
        <v>1.603451429201356E-4</v>
      </c>
    </row>
    <row r="59" spans="2:16" x14ac:dyDescent="0.25">
      <c r="B59" s="162" t="s">
        <v>119</v>
      </c>
      <c r="C59" s="163">
        <v>617</v>
      </c>
      <c r="D59" s="163">
        <v>686</v>
      </c>
      <c r="E59" s="163">
        <v>229</v>
      </c>
      <c r="F59" s="163">
        <v>476</v>
      </c>
      <c r="G59" s="163">
        <v>657</v>
      </c>
      <c r="H59" s="163">
        <v>709</v>
      </c>
      <c r="I59" s="164">
        <f t="shared" si="27"/>
        <v>7.9147640791476404E-2</v>
      </c>
      <c r="J59" s="165">
        <f t="shared" si="24"/>
        <v>2.0960698689956332</v>
      </c>
      <c r="K59" s="163">
        <f t="shared" si="25"/>
        <v>52</v>
      </c>
      <c r="L59" s="163">
        <f t="shared" si="26"/>
        <v>480</v>
      </c>
      <c r="M59" s="164">
        <f t="shared" si="28"/>
        <v>1.3664027203170209E-4</v>
      </c>
    </row>
    <row r="60" spans="2:16" x14ac:dyDescent="0.25">
      <c r="B60" s="162" t="s">
        <v>128</v>
      </c>
      <c r="C60" s="163">
        <v>436</v>
      </c>
      <c r="D60" s="163">
        <v>281</v>
      </c>
      <c r="E60" s="163">
        <v>136</v>
      </c>
      <c r="F60" s="163">
        <v>98</v>
      </c>
      <c r="G60" s="163">
        <v>136</v>
      </c>
      <c r="H60" s="163">
        <v>243</v>
      </c>
      <c r="I60" s="164">
        <f t="shared" si="27"/>
        <v>0.78676470588235303</v>
      </c>
      <c r="J60" s="165">
        <f t="shared" si="24"/>
        <v>0.78676470588235303</v>
      </c>
      <c r="K60" s="163">
        <f t="shared" si="25"/>
        <v>107</v>
      </c>
      <c r="L60" s="163">
        <f t="shared" si="26"/>
        <v>107</v>
      </c>
      <c r="M60" s="164">
        <f t="shared" si="28"/>
        <v>4.6831574194222293E-5</v>
      </c>
    </row>
    <row r="61" spans="2:16" x14ac:dyDescent="0.25">
      <c r="B61" s="162" t="s">
        <v>131</v>
      </c>
      <c r="C61" s="163">
        <v>568</v>
      </c>
      <c r="D61" s="163">
        <v>591</v>
      </c>
      <c r="E61" s="163">
        <v>217</v>
      </c>
      <c r="F61" s="163">
        <v>91</v>
      </c>
      <c r="G61" s="163">
        <v>153</v>
      </c>
      <c r="H61" s="163">
        <v>195</v>
      </c>
      <c r="I61" s="164">
        <f t="shared" si="27"/>
        <v>0.27450980392156854</v>
      </c>
      <c r="J61" s="165">
        <f t="shared" si="24"/>
        <v>-0.10138248847926268</v>
      </c>
      <c r="K61" s="163">
        <f t="shared" si="25"/>
        <v>42</v>
      </c>
      <c r="L61" s="163">
        <f t="shared" si="26"/>
        <v>-22</v>
      </c>
      <c r="M61" s="164">
        <f t="shared" si="28"/>
        <v>3.7580892871906777E-5</v>
      </c>
    </row>
    <row r="62" spans="2:16" x14ac:dyDescent="0.25">
      <c r="B62" s="168" t="s">
        <v>145</v>
      </c>
      <c r="C62" s="169">
        <f t="shared" ref="C62:H62" si="29">C54-SUM(C55:C61)</f>
        <v>10047</v>
      </c>
      <c r="D62" s="169">
        <f t="shared" si="29"/>
        <v>9936</v>
      </c>
      <c r="E62" s="169">
        <f t="shared" si="29"/>
        <v>2950</v>
      </c>
      <c r="F62" s="169">
        <f t="shared" si="29"/>
        <v>4347</v>
      </c>
      <c r="G62" s="169">
        <f t="shared" si="29"/>
        <v>9266</v>
      </c>
      <c r="H62" s="169">
        <f t="shared" si="29"/>
        <v>10476</v>
      </c>
      <c r="I62" s="170">
        <f t="shared" si="27"/>
        <v>0.13058493416792571</v>
      </c>
      <c r="J62" s="171">
        <f t="shared" si="24"/>
        <v>2.5511864406779661</v>
      </c>
      <c r="K62" s="169">
        <f>H62-G62</f>
        <v>1210</v>
      </c>
      <c r="L62" s="169">
        <f t="shared" si="26"/>
        <v>7526</v>
      </c>
      <c r="M62" s="170">
        <f t="shared" si="28"/>
        <v>2.0189611985953612E-3</v>
      </c>
    </row>
    <row r="63" spans="2:16" x14ac:dyDescent="0.25">
      <c r="B63" s="153" t="s">
        <v>47</v>
      </c>
      <c r="C63" s="151"/>
      <c r="D63" s="151"/>
      <c r="E63" s="151"/>
      <c r="F63" s="151"/>
      <c r="G63" s="151"/>
      <c r="H63" s="152"/>
      <c r="I63" s="152"/>
      <c r="J63" s="152"/>
      <c r="K63" s="152"/>
      <c r="L63" s="151"/>
      <c r="M63" s="151"/>
      <c r="N63" s="125"/>
      <c r="O63" s="125"/>
      <c r="P63" s="125"/>
    </row>
    <row r="64" spans="2:16" x14ac:dyDescent="0.25">
      <c r="B64" s="154" t="s">
        <v>68</v>
      </c>
      <c r="C64" s="155">
        <v>136881</v>
      </c>
      <c r="D64" s="155">
        <v>137126</v>
      </c>
      <c r="E64" s="155">
        <v>55313</v>
      </c>
      <c r="F64" s="155">
        <v>70304</v>
      </c>
      <c r="G64" s="155">
        <v>161080</v>
      </c>
      <c r="H64" s="155">
        <v>179837</v>
      </c>
      <c r="I64" s="156">
        <f>IFERROR(H64/G64-1,"-")</f>
        <v>0.116445244598957</v>
      </c>
      <c r="J64" s="156">
        <f>IFERROR(H64/E64-1,"-")</f>
        <v>2.2512610055502322</v>
      </c>
      <c r="K64" s="155">
        <f>H64-G64</f>
        <v>18757</v>
      </c>
      <c r="L64" s="155">
        <f>H64-E64</f>
        <v>124524</v>
      </c>
      <c r="M64" s="156">
        <f>H64/H$8</f>
        <v>3.4658641186692818E-2</v>
      </c>
      <c r="N64" s="105"/>
      <c r="O64" s="105"/>
      <c r="P64" s="105"/>
    </row>
    <row r="65" spans="2:16" x14ac:dyDescent="0.25">
      <c r="B65" s="157" t="s">
        <v>97</v>
      </c>
      <c r="C65" s="158">
        <v>35089</v>
      </c>
      <c r="D65" s="158">
        <v>41904</v>
      </c>
      <c r="E65" s="158">
        <v>24273</v>
      </c>
      <c r="F65" s="158">
        <v>26311</v>
      </c>
      <c r="G65" s="158">
        <v>32375</v>
      </c>
      <c r="H65" s="158">
        <v>47068</v>
      </c>
      <c r="I65" s="159">
        <f>IFERROR(H65/G65-1,"-")</f>
        <v>0.45383783783783782</v>
      </c>
      <c r="J65" s="160">
        <f t="shared" ref="J65:J76" si="30">IFERROR(H65/E65-1,"-")</f>
        <v>0.93910929839739632</v>
      </c>
      <c r="K65" s="158">
        <f t="shared" ref="K65:K75" si="31">H65-G65</f>
        <v>14693</v>
      </c>
      <c r="L65" s="158">
        <f t="shared" ref="L65:L76" si="32">H65-E65</f>
        <v>22795</v>
      </c>
      <c r="M65" s="159">
        <f>H65/H$8</f>
        <v>9.071063926640555E-3</v>
      </c>
    </row>
    <row r="66" spans="2:16" x14ac:dyDescent="0.25">
      <c r="B66" s="162" t="s">
        <v>103</v>
      </c>
      <c r="C66" s="163">
        <v>19683</v>
      </c>
      <c r="D66" s="163">
        <v>22752</v>
      </c>
      <c r="E66" s="163">
        <v>8930</v>
      </c>
      <c r="F66" s="163">
        <v>21567</v>
      </c>
      <c r="G66" s="163">
        <v>23338</v>
      </c>
      <c r="H66" s="163">
        <v>31999</v>
      </c>
      <c r="I66" s="164">
        <f>IFERROR(H66/G66-1,"-")</f>
        <v>0.37111149198731685</v>
      </c>
      <c r="J66" s="165">
        <f t="shared" si="30"/>
        <v>2.5833146696528555</v>
      </c>
      <c r="K66" s="163">
        <f t="shared" si="31"/>
        <v>8661</v>
      </c>
      <c r="L66" s="163">
        <f t="shared" si="32"/>
        <v>23069</v>
      </c>
      <c r="M66" s="164">
        <f>H66/H$8</f>
        <v>6.1669281590161287E-3</v>
      </c>
    </row>
    <row r="67" spans="2:16" x14ac:dyDescent="0.25">
      <c r="B67" s="162" t="s">
        <v>100</v>
      </c>
      <c r="C67" s="163">
        <v>15406</v>
      </c>
      <c r="D67" s="163">
        <v>19152</v>
      </c>
      <c r="E67" s="163">
        <v>15343</v>
      </c>
      <c r="F67" s="163">
        <v>4744</v>
      </c>
      <c r="G67" s="163">
        <v>9037</v>
      </c>
      <c r="H67" s="163">
        <v>15069</v>
      </c>
      <c r="I67" s="164">
        <f>IFERROR(H67/G67-1,"-")</f>
        <v>0.66747814540223516</v>
      </c>
      <c r="J67" s="165">
        <f t="shared" si="30"/>
        <v>-1.7858306719676698E-2</v>
      </c>
      <c r="K67" s="163">
        <f t="shared" si="31"/>
        <v>6032</v>
      </c>
      <c r="L67" s="163">
        <f t="shared" si="32"/>
        <v>-274</v>
      </c>
      <c r="M67" s="164">
        <f>H67/H$8</f>
        <v>2.9041357676244271E-3</v>
      </c>
    </row>
    <row r="68" spans="2:16" x14ac:dyDescent="0.25">
      <c r="B68" s="157" t="s">
        <v>107</v>
      </c>
      <c r="C68" s="158">
        <v>101792</v>
      </c>
      <c r="D68" s="158">
        <v>95222</v>
      </c>
      <c r="E68" s="158">
        <v>31040</v>
      </c>
      <c r="F68" s="158">
        <v>43993</v>
      </c>
      <c r="G68" s="158">
        <v>128705</v>
      </c>
      <c r="H68" s="158">
        <v>132769</v>
      </c>
      <c r="I68" s="159">
        <f>IFERROR(H68/G68-1,"-")</f>
        <v>3.1576084845188701E-2</v>
      </c>
      <c r="J68" s="160">
        <f t="shared" si="30"/>
        <v>3.2773518041237111</v>
      </c>
      <c r="K68" s="158">
        <f t="shared" si="31"/>
        <v>4064</v>
      </c>
      <c r="L68" s="158">
        <f t="shared" si="32"/>
        <v>101729</v>
      </c>
      <c r="M68" s="159">
        <f>H68/H$8</f>
        <v>2.5587577260052261E-2</v>
      </c>
    </row>
    <row r="69" spans="2:16" x14ac:dyDescent="0.25">
      <c r="B69" s="162" t="s">
        <v>110</v>
      </c>
      <c r="C69" s="163">
        <v>46378</v>
      </c>
      <c r="D69" s="163">
        <v>41026</v>
      </c>
      <c r="E69" s="163">
        <v>13899</v>
      </c>
      <c r="F69" s="163">
        <v>12264</v>
      </c>
      <c r="G69" s="163">
        <v>56081</v>
      </c>
      <c r="H69" s="163">
        <v>50457</v>
      </c>
      <c r="I69" s="164">
        <f t="shared" ref="I69:I76" si="33">IFERROR(H69/G69-1,"-")</f>
        <v>-0.10028351848219541</v>
      </c>
      <c r="J69" s="165">
        <f t="shared" si="30"/>
        <v>2.6302611698683358</v>
      </c>
      <c r="K69" s="163">
        <f t="shared" si="31"/>
        <v>-5624</v>
      </c>
      <c r="L69" s="163">
        <f t="shared" si="32"/>
        <v>36558</v>
      </c>
      <c r="M69" s="164">
        <f t="shared" ref="M69:M76" si="34">H69/H$8</f>
        <v>9.7242005725015398E-3</v>
      </c>
    </row>
    <row r="70" spans="2:16" x14ac:dyDescent="0.25">
      <c r="B70" s="162" t="s">
        <v>113</v>
      </c>
      <c r="C70" s="163">
        <v>13950</v>
      </c>
      <c r="D70" s="163">
        <v>11534</v>
      </c>
      <c r="E70" s="163">
        <v>3374</v>
      </c>
      <c r="F70" s="163">
        <v>3586</v>
      </c>
      <c r="G70" s="163">
        <v>7748</v>
      </c>
      <c r="H70" s="163">
        <v>10955</v>
      </c>
      <c r="I70" s="164">
        <f t="shared" si="33"/>
        <v>0.41391326794011363</v>
      </c>
      <c r="J70" s="165">
        <f t="shared" si="30"/>
        <v>2.2468879668049793</v>
      </c>
      <c r="K70" s="163">
        <f t="shared" si="31"/>
        <v>3207</v>
      </c>
      <c r="L70" s="163">
        <f t="shared" si="32"/>
        <v>7581</v>
      </c>
      <c r="M70" s="164">
        <f t="shared" si="34"/>
        <v>2.111275289290968E-3</v>
      </c>
    </row>
    <row r="71" spans="2:16" x14ac:dyDescent="0.25">
      <c r="B71" s="162" t="s">
        <v>116</v>
      </c>
      <c r="C71" s="163">
        <v>6528</v>
      </c>
      <c r="D71" s="163">
        <v>10880</v>
      </c>
      <c r="E71" s="163">
        <v>3449</v>
      </c>
      <c r="F71" s="163">
        <v>6294</v>
      </c>
      <c r="G71" s="163">
        <v>18047</v>
      </c>
      <c r="H71" s="163">
        <v>15837</v>
      </c>
      <c r="I71" s="164">
        <f t="shared" si="33"/>
        <v>-0.12245802626475311</v>
      </c>
      <c r="J71" s="165">
        <f t="shared" si="30"/>
        <v>3.5917657291968688</v>
      </c>
      <c r="K71" s="163">
        <f t="shared" si="31"/>
        <v>-2210</v>
      </c>
      <c r="L71" s="163">
        <f t="shared" si="32"/>
        <v>12388</v>
      </c>
      <c r="M71" s="164">
        <f t="shared" si="34"/>
        <v>3.052146668781475E-3</v>
      </c>
    </row>
    <row r="72" spans="2:16" x14ac:dyDescent="0.25">
      <c r="B72" s="162" t="s">
        <v>123</v>
      </c>
      <c r="C72" s="163">
        <v>2344</v>
      </c>
      <c r="D72" s="163">
        <v>1784</v>
      </c>
      <c r="E72" s="163">
        <v>536</v>
      </c>
      <c r="F72" s="163">
        <v>3888</v>
      </c>
      <c r="G72" s="163">
        <v>3396</v>
      </c>
      <c r="H72" s="163">
        <v>3947</v>
      </c>
      <c r="I72" s="164">
        <f t="shared" si="33"/>
        <v>0.16224970553592466</v>
      </c>
      <c r="J72" s="165">
        <f t="shared" si="30"/>
        <v>6.3638059701492535</v>
      </c>
      <c r="K72" s="163">
        <f t="shared" si="31"/>
        <v>551</v>
      </c>
      <c r="L72" s="163">
        <f t="shared" si="32"/>
        <v>3411</v>
      </c>
      <c r="M72" s="164">
        <f t="shared" si="34"/>
        <v>7.6067581623290282E-4</v>
      </c>
    </row>
    <row r="73" spans="2:16" x14ac:dyDescent="0.25">
      <c r="B73" s="162" t="s">
        <v>119</v>
      </c>
      <c r="C73" s="163">
        <v>2944</v>
      </c>
      <c r="D73" s="163">
        <v>2469</v>
      </c>
      <c r="E73" s="163">
        <v>1278</v>
      </c>
      <c r="F73" s="163">
        <v>1635</v>
      </c>
      <c r="G73" s="163">
        <v>3248</v>
      </c>
      <c r="H73" s="163">
        <v>2699</v>
      </c>
      <c r="I73" s="164">
        <f t="shared" si="33"/>
        <v>-0.16902709359605916</v>
      </c>
      <c r="J73" s="165">
        <f t="shared" si="30"/>
        <v>1.1118935837245698</v>
      </c>
      <c r="K73" s="163">
        <f t="shared" si="31"/>
        <v>-549</v>
      </c>
      <c r="L73" s="163">
        <f t="shared" si="32"/>
        <v>1421</v>
      </c>
      <c r="M73" s="164">
        <f t="shared" si="34"/>
        <v>5.2015810185269951E-4</v>
      </c>
    </row>
    <row r="74" spans="2:16" x14ac:dyDescent="0.25">
      <c r="B74" s="162" t="s">
        <v>128</v>
      </c>
      <c r="C74" s="163">
        <v>1326</v>
      </c>
      <c r="D74" s="163">
        <v>2202</v>
      </c>
      <c r="E74" s="163">
        <v>686</v>
      </c>
      <c r="F74" s="163">
        <v>1848</v>
      </c>
      <c r="G74" s="163">
        <v>2875</v>
      </c>
      <c r="H74" s="163">
        <v>3786</v>
      </c>
      <c r="I74" s="164">
        <f t="shared" si="33"/>
        <v>0.3168695652173914</v>
      </c>
      <c r="J74" s="165">
        <f t="shared" si="30"/>
        <v>4.518950437317784</v>
      </c>
      <c r="K74" s="163">
        <f t="shared" si="31"/>
        <v>911</v>
      </c>
      <c r="L74" s="163">
        <f t="shared" si="32"/>
        <v>3100</v>
      </c>
      <c r="M74" s="164">
        <f t="shared" si="34"/>
        <v>7.296474892976362E-4</v>
      </c>
    </row>
    <row r="75" spans="2:16" x14ac:dyDescent="0.25">
      <c r="B75" s="162" t="s">
        <v>131</v>
      </c>
      <c r="C75" s="163">
        <v>2597</v>
      </c>
      <c r="D75" s="163">
        <v>2302</v>
      </c>
      <c r="E75" s="163">
        <v>932</v>
      </c>
      <c r="F75" s="163">
        <v>363</v>
      </c>
      <c r="G75" s="163">
        <v>967</v>
      </c>
      <c r="H75" s="163">
        <v>1128</v>
      </c>
      <c r="I75" s="164">
        <f t="shared" si="33"/>
        <v>0.16649431230610134</v>
      </c>
      <c r="J75" s="165">
        <f t="shared" si="30"/>
        <v>0.21030042918454939</v>
      </c>
      <c r="K75" s="163">
        <f t="shared" si="31"/>
        <v>161</v>
      </c>
      <c r="L75" s="163">
        <f t="shared" si="32"/>
        <v>196</v>
      </c>
      <c r="M75" s="164">
        <f t="shared" si="34"/>
        <v>2.173910110744146E-4</v>
      </c>
    </row>
    <row r="76" spans="2:16" x14ac:dyDescent="0.25">
      <c r="B76" s="168" t="s">
        <v>145</v>
      </c>
      <c r="C76" s="169">
        <f t="shared" ref="C76:H76" si="35">C68-SUM(C69:C75)</f>
        <v>25725</v>
      </c>
      <c r="D76" s="169">
        <f t="shared" si="35"/>
        <v>23025</v>
      </c>
      <c r="E76" s="169">
        <f t="shared" si="35"/>
        <v>6886</v>
      </c>
      <c r="F76" s="169">
        <f t="shared" si="35"/>
        <v>14115</v>
      </c>
      <c r="G76" s="169">
        <f t="shared" si="35"/>
        <v>36343</v>
      </c>
      <c r="H76" s="169">
        <f t="shared" si="35"/>
        <v>43960</v>
      </c>
      <c r="I76" s="170">
        <f t="shared" si="33"/>
        <v>0.20958644030487306</v>
      </c>
      <c r="J76" s="171">
        <f t="shared" si="30"/>
        <v>5.3839674702294511</v>
      </c>
      <c r="K76" s="169">
        <f>H76-G76</f>
        <v>7617</v>
      </c>
      <c r="L76" s="169">
        <f t="shared" si="32"/>
        <v>37074</v>
      </c>
      <c r="M76" s="170">
        <f t="shared" si="34"/>
        <v>8.4720823110206265E-3</v>
      </c>
    </row>
    <row r="77" spans="2:16" x14ac:dyDescent="0.25">
      <c r="B77" s="153" t="s">
        <v>48</v>
      </c>
      <c r="C77" s="151"/>
      <c r="D77" s="151"/>
      <c r="E77" s="151"/>
      <c r="F77" s="151"/>
      <c r="G77" s="151"/>
      <c r="H77" s="152"/>
      <c r="I77" s="152"/>
      <c r="J77" s="152"/>
      <c r="K77" s="152"/>
      <c r="L77" s="151"/>
      <c r="M77" s="151"/>
      <c r="N77" s="125"/>
      <c r="O77" s="125"/>
      <c r="P77" s="125"/>
    </row>
    <row r="78" spans="2:16" x14ac:dyDescent="0.25">
      <c r="B78" s="154" t="s">
        <v>68</v>
      </c>
      <c r="C78" s="155">
        <v>816835</v>
      </c>
      <c r="D78" s="155">
        <v>791721</v>
      </c>
      <c r="E78" s="155">
        <v>225835</v>
      </c>
      <c r="F78" s="155">
        <v>354204</v>
      </c>
      <c r="G78" s="155">
        <v>710225</v>
      </c>
      <c r="H78" s="155">
        <v>797848</v>
      </c>
      <c r="I78" s="156">
        <f>IFERROR(H78/G78-1,"-")</f>
        <v>0.12337357879545219</v>
      </c>
      <c r="J78" s="156">
        <f>IFERROR(H78/E78-1,"-")</f>
        <v>2.5328802001461246</v>
      </c>
      <c r="K78" s="155">
        <f>H78-G78</f>
        <v>87623</v>
      </c>
      <c r="L78" s="155">
        <f>H78-E78</f>
        <v>572013</v>
      </c>
      <c r="M78" s="156">
        <f>H78/H$8</f>
        <v>0.1537632831593081</v>
      </c>
      <c r="N78" s="105"/>
      <c r="O78" s="105"/>
      <c r="P78" s="105"/>
    </row>
    <row r="79" spans="2:16" x14ac:dyDescent="0.25">
      <c r="B79" s="157" t="s">
        <v>97</v>
      </c>
      <c r="C79" s="158">
        <v>356304</v>
      </c>
      <c r="D79" s="158">
        <v>356283</v>
      </c>
      <c r="E79" s="158">
        <v>103133</v>
      </c>
      <c r="F79" s="158">
        <v>181693</v>
      </c>
      <c r="G79" s="158">
        <v>342343</v>
      </c>
      <c r="H79" s="158">
        <v>341923</v>
      </c>
      <c r="I79" s="159">
        <f>IFERROR(H79/G79-1,"-")</f>
        <v>-1.2268397484394011E-3</v>
      </c>
      <c r="J79" s="160">
        <f t="shared" ref="J79:J90" si="36">IFERROR(H79/E79-1,"-")</f>
        <v>2.3153597781505435</v>
      </c>
      <c r="K79" s="158">
        <f t="shared" ref="K79:K89" si="37">H79-G79</f>
        <v>-420</v>
      </c>
      <c r="L79" s="158">
        <f t="shared" ref="L79:L90" si="38">H79-E79</f>
        <v>238790</v>
      </c>
      <c r="M79" s="159">
        <f>H79/H$8</f>
        <v>6.5896264786876824E-2</v>
      </c>
    </row>
    <row r="80" spans="2:16" x14ac:dyDescent="0.25">
      <c r="B80" s="162" t="s">
        <v>103</v>
      </c>
      <c r="C80" s="163">
        <v>89648</v>
      </c>
      <c r="D80" s="163">
        <v>72064</v>
      </c>
      <c r="E80" s="163">
        <v>28320</v>
      </c>
      <c r="F80" s="163">
        <v>66989</v>
      </c>
      <c r="G80" s="163">
        <v>97391</v>
      </c>
      <c r="H80" s="163">
        <v>92103</v>
      </c>
      <c r="I80" s="164">
        <f>IFERROR(H80/G80-1,"-")</f>
        <v>-5.4296598248298134E-2</v>
      </c>
      <c r="J80" s="165">
        <f t="shared" si="36"/>
        <v>2.2522245762711863</v>
      </c>
      <c r="K80" s="163">
        <f t="shared" si="37"/>
        <v>-5288</v>
      </c>
      <c r="L80" s="163">
        <f t="shared" si="38"/>
        <v>63783</v>
      </c>
      <c r="M80" s="164">
        <f>H80/H$8</f>
        <v>1.7750322954775539E-2</v>
      </c>
    </row>
    <row r="81" spans="2:16" x14ac:dyDescent="0.25">
      <c r="B81" s="162" t="s">
        <v>100</v>
      </c>
      <c r="C81" s="163">
        <v>266656</v>
      </c>
      <c r="D81" s="163">
        <v>284219</v>
      </c>
      <c r="E81" s="163">
        <v>74813</v>
      </c>
      <c r="F81" s="163">
        <v>114704</v>
      </c>
      <c r="G81" s="163">
        <v>244952</v>
      </c>
      <c r="H81" s="163">
        <v>249820</v>
      </c>
      <c r="I81" s="164">
        <f>IFERROR(H81/G81-1,"-")</f>
        <v>1.987328129592747E-2</v>
      </c>
      <c r="J81" s="165">
        <f t="shared" si="36"/>
        <v>2.339259219654338</v>
      </c>
      <c r="K81" s="163">
        <f t="shared" si="37"/>
        <v>4868</v>
      </c>
      <c r="L81" s="163">
        <f t="shared" si="38"/>
        <v>175007</v>
      </c>
      <c r="M81" s="164">
        <f>H81/H$8</f>
        <v>4.8145941832101288E-2</v>
      </c>
    </row>
    <row r="82" spans="2:16" x14ac:dyDescent="0.25">
      <c r="B82" s="157" t="s">
        <v>107</v>
      </c>
      <c r="C82" s="158">
        <v>460531</v>
      </c>
      <c r="D82" s="158">
        <v>435438</v>
      </c>
      <c r="E82" s="158">
        <v>122702</v>
      </c>
      <c r="F82" s="158">
        <v>172511</v>
      </c>
      <c r="G82" s="158">
        <v>367882</v>
      </c>
      <c r="H82" s="158">
        <v>455925</v>
      </c>
      <c r="I82" s="159">
        <f>IFERROR(H82/G82-1,"-")</f>
        <v>0.23932402237674033</v>
      </c>
      <c r="J82" s="160">
        <f t="shared" si="36"/>
        <v>2.7157096053854053</v>
      </c>
      <c r="K82" s="158">
        <f t="shared" si="37"/>
        <v>88043</v>
      </c>
      <c r="L82" s="158">
        <f t="shared" si="38"/>
        <v>333223</v>
      </c>
      <c r="M82" s="159">
        <f>H82/H$8</f>
        <v>8.7867018372431271E-2</v>
      </c>
    </row>
    <row r="83" spans="2:16" x14ac:dyDescent="0.25">
      <c r="B83" s="162" t="s">
        <v>110</v>
      </c>
      <c r="C83" s="163">
        <v>69266</v>
      </c>
      <c r="D83" s="163">
        <v>75049</v>
      </c>
      <c r="E83" s="163">
        <v>21332</v>
      </c>
      <c r="F83" s="163">
        <v>16695</v>
      </c>
      <c r="G83" s="163">
        <v>71554</v>
      </c>
      <c r="H83" s="163">
        <v>93860</v>
      </c>
      <c r="I83" s="164">
        <f t="shared" ref="I83:I90" si="39">IFERROR(H83/G83-1,"-")</f>
        <v>0.31173659054699954</v>
      </c>
      <c r="J83" s="165">
        <f t="shared" si="36"/>
        <v>3.3999624976561034</v>
      </c>
      <c r="K83" s="163">
        <f t="shared" si="37"/>
        <v>22306</v>
      </c>
      <c r="L83" s="163">
        <f t="shared" si="38"/>
        <v>72528</v>
      </c>
      <c r="M83" s="164">
        <f t="shared" ref="M83:M90" si="40">H83/H$8</f>
        <v>1.8088936435677796E-2</v>
      </c>
    </row>
    <row r="84" spans="2:16" x14ac:dyDescent="0.25">
      <c r="B84" s="162" t="s">
        <v>113</v>
      </c>
      <c r="C84" s="163">
        <v>194919</v>
      </c>
      <c r="D84" s="163">
        <v>159354</v>
      </c>
      <c r="E84" s="163">
        <v>39522</v>
      </c>
      <c r="F84" s="163">
        <v>53227</v>
      </c>
      <c r="G84" s="163">
        <v>113120</v>
      </c>
      <c r="H84" s="163">
        <v>127349</v>
      </c>
      <c r="I84" s="164">
        <f t="shared" si="39"/>
        <v>0.12578677510608194</v>
      </c>
      <c r="J84" s="165">
        <f t="shared" si="36"/>
        <v>2.2222306563433025</v>
      </c>
      <c r="K84" s="163">
        <f t="shared" si="37"/>
        <v>14229</v>
      </c>
      <c r="L84" s="163">
        <f t="shared" si="38"/>
        <v>87827</v>
      </c>
      <c r="M84" s="164">
        <f t="shared" si="40"/>
        <v>2.4543021160740801E-2</v>
      </c>
    </row>
    <row r="85" spans="2:16" x14ac:dyDescent="0.25">
      <c r="B85" s="162" t="s">
        <v>116</v>
      </c>
      <c r="C85" s="163">
        <v>22836</v>
      </c>
      <c r="D85" s="163">
        <v>25447</v>
      </c>
      <c r="E85" s="163">
        <v>8286</v>
      </c>
      <c r="F85" s="163">
        <v>19927</v>
      </c>
      <c r="G85" s="163">
        <v>30758</v>
      </c>
      <c r="H85" s="163">
        <v>42539</v>
      </c>
      <c r="I85" s="164">
        <f t="shared" si="39"/>
        <v>0.38302230314064634</v>
      </c>
      <c r="J85" s="165">
        <f t="shared" si="36"/>
        <v>4.1338402124064686</v>
      </c>
      <c r="K85" s="163">
        <f t="shared" si="37"/>
        <v>11781</v>
      </c>
      <c r="L85" s="163">
        <f t="shared" si="38"/>
        <v>34253</v>
      </c>
      <c r="M85" s="164">
        <f t="shared" si="40"/>
        <v>8.198223599374577E-3</v>
      </c>
    </row>
    <row r="86" spans="2:16" x14ac:dyDescent="0.25">
      <c r="B86" s="162" t="s">
        <v>123</v>
      </c>
      <c r="C86" s="163">
        <v>11686</v>
      </c>
      <c r="D86" s="163">
        <v>9296</v>
      </c>
      <c r="E86" s="163">
        <v>2074</v>
      </c>
      <c r="F86" s="163">
        <v>5996</v>
      </c>
      <c r="G86" s="163">
        <v>10713</v>
      </c>
      <c r="H86" s="163">
        <v>12911</v>
      </c>
      <c r="I86" s="164">
        <f t="shared" si="39"/>
        <v>0.20517128722113309</v>
      </c>
      <c r="J86" s="165">
        <f t="shared" si="36"/>
        <v>5.225168756027001</v>
      </c>
      <c r="K86" s="163">
        <f t="shared" si="37"/>
        <v>2198</v>
      </c>
      <c r="L86" s="163">
        <f t="shared" si="38"/>
        <v>10837</v>
      </c>
      <c r="M86" s="164">
        <f t="shared" si="40"/>
        <v>2.4882405531753251E-3</v>
      </c>
    </row>
    <row r="87" spans="2:16" x14ac:dyDescent="0.25">
      <c r="B87" s="162" t="s">
        <v>119</v>
      </c>
      <c r="C87" s="163">
        <v>6503</v>
      </c>
      <c r="D87" s="163">
        <v>6249</v>
      </c>
      <c r="E87" s="163">
        <v>2082</v>
      </c>
      <c r="F87" s="163">
        <v>5201</v>
      </c>
      <c r="G87" s="163">
        <v>5872</v>
      </c>
      <c r="H87" s="163">
        <v>6968</v>
      </c>
      <c r="I87" s="164">
        <f t="shared" si="39"/>
        <v>0.18664850136239775</v>
      </c>
      <c r="J87" s="165">
        <f t="shared" si="36"/>
        <v>2.3467819404418826</v>
      </c>
      <c r="K87" s="163">
        <f t="shared" si="37"/>
        <v>1096</v>
      </c>
      <c r="L87" s="163">
        <f t="shared" si="38"/>
        <v>4886</v>
      </c>
      <c r="M87" s="164">
        <f t="shared" si="40"/>
        <v>1.3428905719561357E-3</v>
      </c>
    </row>
    <row r="88" spans="2:16" x14ac:dyDescent="0.25">
      <c r="B88" s="162" t="s">
        <v>128</v>
      </c>
      <c r="C88" s="163">
        <v>7425</v>
      </c>
      <c r="D88" s="163">
        <v>8520</v>
      </c>
      <c r="E88" s="163">
        <v>3046</v>
      </c>
      <c r="F88" s="163">
        <v>2575</v>
      </c>
      <c r="G88" s="163">
        <v>7581</v>
      </c>
      <c r="H88" s="163">
        <v>8524</v>
      </c>
      <c r="I88" s="164">
        <f t="shared" si="39"/>
        <v>0.12438992217385558</v>
      </c>
      <c r="J88" s="165">
        <f t="shared" si="36"/>
        <v>1.7984241628365067</v>
      </c>
      <c r="K88" s="163">
        <f t="shared" si="37"/>
        <v>943</v>
      </c>
      <c r="L88" s="163">
        <f t="shared" si="38"/>
        <v>5478</v>
      </c>
      <c r="M88" s="164">
        <f t="shared" si="40"/>
        <v>1.642766824821197E-3</v>
      </c>
    </row>
    <row r="89" spans="2:16" x14ac:dyDescent="0.25">
      <c r="B89" s="162" t="s">
        <v>131</v>
      </c>
      <c r="C89" s="163">
        <v>13371</v>
      </c>
      <c r="D89" s="163">
        <v>13181</v>
      </c>
      <c r="E89" s="163">
        <v>4839</v>
      </c>
      <c r="F89" s="163">
        <v>2819</v>
      </c>
      <c r="G89" s="163">
        <v>7599</v>
      </c>
      <c r="H89" s="163">
        <v>9961</v>
      </c>
      <c r="I89" s="164">
        <f t="shared" si="39"/>
        <v>0.31083037241742328</v>
      </c>
      <c r="J89" s="165">
        <f t="shared" si="36"/>
        <v>1.0584831576772062</v>
      </c>
      <c r="K89" s="163">
        <f t="shared" si="37"/>
        <v>2362</v>
      </c>
      <c r="L89" s="163">
        <f t="shared" si="38"/>
        <v>5122</v>
      </c>
      <c r="M89" s="164">
        <f t="shared" si="40"/>
        <v>1.9197090969080175E-3</v>
      </c>
    </row>
    <row r="90" spans="2:16" x14ac:dyDescent="0.25">
      <c r="B90" s="168" t="s">
        <v>145</v>
      </c>
      <c r="C90" s="169">
        <f t="shared" ref="C90:H90" si="41">C82-SUM(C83:C89)</f>
        <v>134525</v>
      </c>
      <c r="D90" s="169">
        <f t="shared" si="41"/>
        <v>138342</v>
      </c>
      <c r="E90" s="169">
        <f t="shared" si="41"/>
        <v>41521</v>
      </c>
      <c r="F90" s="169">
        <f t="shared" si="41"/>
        <v>66071</v>
      </c>
      <c r="G90" s="169">
        <f t="shared" si="41"/>
        <v>120685</v>
      </c>
      <c r="H90" s="169">
        <f t="shared" si="41"/>
        <v>153813</v>
      </c>
      <c r="I90" s="170">
        <f t="shared" si="39"/>
        <v>0.27449973070389855</v>
      </c>
      <c r="J90" s="171">
        <f t="shared" si="36"/>
        <v>2.7044628019556369</v>
      </c>
      <c r="K90" s="169">
        <f>H90-G90</f>
        <v>33128</v>
      </c>
      <c r="L90" s="169">
        <f t="shared" si="38"/>
        <v>112292</v>
      </c>
      <c r="M90" s="170">
        <f t="shared" si="40"/>
        <v>2.9643230129777424E-2</v>
      </c>
    </row>
    <row r="91" spans="2:16" x14ac:dyDescent="0.25">
      <c r="B91" s="153" t="s">
        <v>49</v>
      </c>
      <c r="C91" s="151"/>
      <c r="D91" s="151"/>
      <c r="E91" s="151"/>
      <c r="F91" s="151"/>
      <c r="G91" s="151"/>
      <c r="H91" s="152"/>
      <c r="I91" s="152"/>
      <c r="J91" s="152"/>
      <c r="K91" s="152"/>
      <c r="L91" s="151"/>
      <c r="M91" s="151"/>
      <c r="N91" s="125"/>
      <c r="O91" s="125"/>
      <c r="P91" s="125"/>
    </row>
    <row r="92" spans="2:16" x14ac:dyDescent="0.25">
      <c r="B92" s="154" t="s">
        <v>68</v>
      </c>
      <c r="C92" s="155">
        <v>53986</v>
      </c>
      <c r="D92" s="155">
        <v>55887</v>
      </c>
      <c r="E92" s="155">
        <v>24221</v>
      </c>
      <c r="F92" s="155">
        <v>33444</v>
      </c>
      <c r="G92" s="155">
        <v>51485</v>
      </c>
      <c r="H92" s="155">
        <v>58157</v>
      </c>
      <c r="I92" s="156">
        <f>IFERROR(H92/G92-1,"-")</f>
        <v>0.12959114305137409</v>
      </c>
      <c r="J92" s="156">
        <f>IFERROR(H92/E92-1,"-")</f>
        <v>1.4010982205524134</v>
      </c>
      <c r="K92" s="155">
        <f>H92-G92</f>
        <v>6672</v>
      </c>
      <c r="L92" s="155">
        <f>H92-E92</f>
        <v>33936</v>
      </c>
      <c r="M92" s="156">
        <f>H92/H$8</f>
        <v>1.1208164034622988E-2</v>
      </c>
      <c r="N92" s="105"/>
      <c r="O92" s="105"/>
      <c r="P92" s="105"/>
    </row>
    <row r="93" spans="2:16" x14ac:dyDescent="0.25">
      <c r="B93" s="157" t="s">
        <v>97</v>
      </c>
      <c r="C93" s="158">
        <v>34282</v>
      </c>
      <c r="D93" s="158">
        <v>37119</v>
      </c>
      <c r="E93" s="158">
        <v>16023</v>
      </c>
      <c r="F93" s="158">
        <v>21732</v>
      </c>
      <c r="G93" s="158">
        <v>33809</v>
      </c>
      <c r="H93" s="158">
        <v>37722</v>
      </c>
      <c r="I93" s="159">
        <f>IFERROR(H93/G93-1,"-")</f>
        <v>0.11573841284864983</v>
      </c>
      <c r="J93" s="160">
        <f t="shared" ref="J93:J104" si="42">IFERROR(H93/E93-1,"-")</f>
        <v>1.3542407788803597</v>
      </c>
      <c r="K93" s="158">
        <f t="shared" ref="K93:K103" si="43">H93-G93</f>
        <v>3913</v>
      </c>
      <c r="L93" s="158">
        <f t="shared" ref="L93:L104" si="44">H93-E93</f>
        <v>21699</v>
      </c>
      <c r="M93" s="159">
        <f>H93/H$8</f>
        <v>7.2698791841747049E-3</v>
      </c>
    </row>
    <row r="94" spans="2:16" x14ac:dyDescent="0.25">
      <c r="B94" s="162" t="s">
        <v>103</v>
      </c>
      <c r="C94" s="163">
        <v>16764</v>
      </c>
      <c r="D94" s="163">
        <v>19153</v>
      </c>
      <c r="E94" s="163">
        <v>8684</v>
      </c>
      <c r="F94" s="163">
        <v>11001</v>
      </c>
      <c r="G94" s="163">
        <v>16289</v>
      </c>
      <c r="H94" s="163">
        <v>12024</v>
      </c>
      <c r="I94" s="164">
        <f>IFERROR(H94/G94-1,"-")</f>
        <v>-0.261833138928111</v>
      </c>
      <c r="J94" s="165">
        <f t="shared" si="42"/>
        <v>0.38461538461538458</v>
      </c>
      <c r="K94" s="163">
        <f t="shared" si="43"/>
        <v>-4265</v>
      </c>
      <c r="L94" s="163">
        <f t="shared" si="44"/>
        <v>3340</v>
      </c>
      <c r="M94" s="164">
        <f>H94/H$8</f>
        <v>2.3172956712400367E-3</v>
      </c>
    </row>
    <row r="95" spans="2:16" x14ac:dyDescent="0.25">
      <c r="B95" s="162" t="s">
        <v>100</v>
      </c>
      <c r="C95" s="163">
        <v>17518</v>
      </c>
      <c r="D95" s="163">
        <v>17966</v>
      </c>
      <c r="E95" s="163">
        <v>7339</v>
      </c>
      <c r="F95" s="163">
        <v>10731</v>
      </c>
      <c r="G95" s="163">
        <v>17520</v>
      </c>
      <c r="H95" s="163">
        <v>25698</v>
      </c>
      <c r="I95" s="164">
        <f>IFERROR(H95/G95-1,"-")</f>
        <v>0.46678082191780823</v>
      </c>
      <c r="J95" s="165">
        <f t="shared" si="42"/>
        <v>2.5015669709769726</v>
      </c>
      <c r="K95" s="163">
        <f t="shared" si="43"/>
        <v>8178</v>
      </c>
      <c r="L95" s="163">
        <f t="shared" si="44"/>
        <v>18359</v>
      </c>
      <c r="M95" s="164">
        <f>H95/H$8</f>
        <v>4.9525835129346687E-3</v>
      </c>
    </row>
    <row r="96" spans="2:16" x14ac:dyDescent="0.25">
      <c r="B96" s="157" t="s">
        <v>107</v>
      </c>
      <c r="C96" s="158">
        <v>19704</v>
      </c>
      <c r="D96" s="158">
        <v>18768</v>
      </c>
      <c r="E96" s="158">
        <v>8198</v>
      </c>
      <c r="F96" s="158">
        <v>11712</v>
      </c>
      <c r="G96" s="158">
        <v>17676</v>
      </c>
      <c r="H96" s="158">
        <v>20435</v>
      </c>
      <c r="I96" s="159">
        <f>IFERROR(H96/G96-1,"-")</f>
        <v>0.15608735007920349</v>
      </c>
      <c r="J96" s="160">
        <f t="shared" si="42"/>
        <v>1.4926811417418882</v>
      </c>
      <c r="K96" s="158">
        <f t="shared" si="43"/>
        <v>2759</v>
      </c>
      <c r="L96" s="158">
        <f t="shared" si="44"/>
        <v>12237</v>
      </c>
      <c r="M96" s="159">
        <f>H96/H$8</f>
        <v>3.9382848504482823E-3</v>
      </c>
    </row>
    <row r="97" spans="2:16" x14ac:dyDescent="0.25">
      <c r="B97" s="162" t="s">
        <v>110</v>
      </c>
      <c r="C97" s="163">
        <v>2265</v>
      </c>
      <c r="D97" s="163">
        <v>2421</v>
      </c>
      <c r="E97" s="163">
        <v>1288</v>
      </c>
      <c r="F97" s="163">
        <v>921</v>
      </c>
      <c r="G97" s="163">
        <v>2403</v>
      </c>
      <c r="H97" s="163">
        <v>2795</v>
      </c>
      <c r="I97" s="164">
        <f t="shared" ref="I97:I104" si="45">IFERROR(H97/G97-1,"-")</f>
        <v>0.16312942155638788</v>
      </c>
      <c r="J97" s="165">
        <f t="shared" si="42"/>
        <v>1.1700310559006213</v>
      </c>
      <c r="K97" s="163">
        <f t="shared" si="43"/>
        <v>392</v>
      </c>
      <c r="L97" s="163">
        <f t="shared" si="44"/>
        <v>1507</v>
      </c>
      <c r="M97" s="164">
        <f t="shared" ref="M97:M104" si="46">H97/H$8</f>
        <v>5.386594644973305E-4</v>
      </c>
    </row>
    <row r="98" spans="2:16" x14ac:dyDescent="0.25">
      <c r="B98" s="162" t="s">
        <v>113</v>
      </c>
      <c r="C98" s="163">
        <v>4527</v>
      </c>
      <c r="D98" s="163">
        <v>3905</v>
      </c>
      <c r="E98" s="163">
        <v>1481</v>
      </c>
      <c r="F98" s="163">
        <v>2395</v>
      </c>
      <c r="G98" s="163">
        <v>3482</v>
      </c>
      <c r="H98" s="163">
        <v>3814</v>
      </c>
      <c r="I98" s="164">
        <f t="shared" si="45"/>
        <v>9.5347501435956383E-2</v>
      </c>
      <c r="J98" s="165">
        <f t="shared" si="42"/>
        <v>1.5752869682646859</v>
      </c>
      <c r="K98" s="163">
        <f t="shared" si="43"/>
        <v>332</v>
      </c>
      <c r="L98" s="163">
        <f t="shared" si="44"/>
        <v>2333</v>
      </c>
      <c r="M98" s="164">
        <f t="shared" si="46"/>
        <v>7.3504372006898697E-4</v>
      </c>
    </row>
    <row r="99" spans="2:16" x14ac:dyDescent="0.25">
      <c r="B99" s="162" t="s">
        <v>116</v>
      </c>
      <c r="C99" s="163">
        <v>4157</v>
      </c>
      <c r="D99" s="163">
        <v>3854</v>
      </c>
      <c r="E99" s="163">
        <v>1974</v>
      </c>
      <c r="F99" s="163">
        <v>3541</v>
      </c>
      <c r="G99" s="163">
        <v>3412</v>
      </c>
      <c r="H99" s="163">
        <v>3885</v>
      </c>
      <c r="I99" s="164">
        <f t="shared" si="45"/>
        <v>0.13862837045720977</v>
      </c>
      <c r="J99" s="165">
        <f t="shared" si="42"/>
        <v>0.96808510638297873</v>
      </c>
      <c r="K99" s="163">
        <f t="shared" si="43"/>
        <v>473</v>
      </c>
      <c r="L99" s="163">
        <f t="shared" si="44"/>
        <v>1911</v>
      </c>
      <c r="M99" s="164">
        <f t="shared" si="46"/>
        <v>7.4872701952491199E-4</v>
      </c>
    </row>
    <row r="100" spans="2:16" x14ac:dyDescent="0.25">
      <c r="B100" s="162" t="s">
        <v>123</v>
      </c>
      <c r="C100" s="163">
        <v>535</v>
      </c>
      <c r="D100" s="163">
        <v>699</v>
      </c>
      <c r="E100" s="163">
        <v>323</v>
      </c>
      <c r="F100" s="163">
        <v>432</v>
      </c>
      <c r="G100" s="163">
        <v>1172</v>
      </c>
      <c r="H100" s="163">
        <v>938</v>
      </c>
      <c r="I100" s="164">
        <f t="shared" si="45"/>
        <v>-0.19965870307167233</v>
      </c>
      <c r="J100" s="165">
        <f t="shared" si="42"/>
        <v>1.9040247678018574</v>
      </c>
      <c r="K100" s="163">
        <f t="shared" si="43"/>
        <v>-234</v>
      </c>
      <c r="L100" s="163">
        <f t="shared" si="44"/>
        <v>615</v>
      </c>
      <c r="M100" s="164">
        <f t="shared" si="46"/>
        <v>1.8077373084024901E-4</v>
      </c>
    </row>
    <row r="101" spans="2:16" x14ac:dyDescent="0.25">
      <c r="B101" s="162" t="s">
        <v>119</v>
      </c>
      <c r="C101" s="163">
        <v>534</v>
      </c>
      <c r="D101" s="163">
        <v>519</v>
      </c>
      <c r="E101" s="163">
        <v>351</v>
      </c>
      <c r="F101" s="163">
        <v>507</v>
      </c>
      <c r="G101" s="163">
        <v>682</v>
      </c>
      <c r="H101" s="163">
        <v>650</v>
      </c>
      <c r="I101" s="164">
        <f t="shared" si="45"/>
        <v>-4.692082111436946E-2</v>
      </c>
      <c r="J101" s="165">
        <f t="shared" si="42"/>
        <v>0.85185185185185186</v>
      </c>
      <c r="K101" s="163">
        <f t="shared" si="43"/>
        <v>-32</v>
      </c>
      <c r="L101" s="163">
        <f t="shared" si="44"/>
        <v>299</v>
      </c>
      <c r="M101" s="164">
        <f t="shared" si="46"/>
        <v>1.2526964290635593E-4</v>
      </c>
    </row>
    <row r="102" spans="2:16" x14ac:dyDescent="0.25">
      <c r="B102" s="162" t="s">
        <v>128</v>
      </c>
      <c r="C102" s="163">
        <v>176</v>
      </c>
      <c r="D102" s="163">
        <v>155</v>
      </c>
      <c r="E102" s="163">
        <v>124</v>
      </c>
      <c r="F102" s="163">
        <v>105</v>
      </c>
      <c r="G102" s="163">
        <v>270</v>
      </c>
      <c r="H102" s="163">
        <v>153</v>
      </c>
      <c r="I102" s="164">
        <f t="shared" si="45"/>
        <v>-0.43333333333333335</v>
      </c>
      <c r="J102" s="165">
        <f t="shared" si="42"/>
        <v>0.2338709677419355</v>
      </c>
      <c r="K102" s="163">
        <f t="shared" si="43"/>
        <v>-117</v>
      </c>
      <c r="L102" s="163">
        <f t="shared" si="44"/>
        <v>29</v>
      </c>
      <c r="M102" s="164">
        <f t="shared" si="46"/>
        <v>2.9486546714880705E-5</v>
      </c>
    </row>
    <row r="103" spans="2:16" x14ac:dyDescent="0.25">
      <c r="B103" s="162" t="s">
        <v>131</v>
      </c>
      <c r="C103" s="163">
        <v>383</v>
      </c>
      <c r="D103" s="163">
        <v>271</v>
      </c>
      <c r="E103" s="163">
        <v>89</v>
      </c>
      <c r="F103" s="163">
        <v>96</v>
      </c>
      <c r="G103" s="163">
        <v>168</v>
      </c>
      <c r="H103" s="163">
        <v>270</v>
      </c>
      <c r="I103" s="164">
        <f t="shared" si="45"/>
        <v>0.60714285714285721</v>
      </c>
      <c r="J103" s="165">
        <f t="shared" si="42"/>
        <v>2.0337078651685392</v>
      </c>
      <c r="K103" s="163">
        <f t="shared" si="43"/>
        <v>102</v>
      </c>
      <c r="L103" s="163">
        <f t="shared" si="44"/>
        <v>181</v>
      </c>
      <c r="M103" s="164">
        <f t="shared" si="46"/>
        <v>5.2035082438024769E-5</v>
      </c>
    </row>
    <row r="104" spans="2:16" x14ac:dyDescent="0.25">
      <c r="B104" s="168" t="s">
        <v>145</v>
      </c>
      <c r="C104" s="169">
        <f t="shared" ref="C104:H104" si="47">C96-SUM(C97:C103)</f>
        <v>7127</v>
      </c>
      <c r="D104" s="169">
        <f t="shared" si="47"/>
        <v>6944</v>
      </c>
      <c r="E104" s="169">
        <f t="shared" si="47"/>
        <v>2568</v>
      </c>
      <c r="F104" s="169">
        <f t="shared" si="47"/>
        <v>3715</v>
      </c>
      <c r="G104" s="169">
        <f t="shared" si="47"/>
        <v>6087</v>
      </c>
      <c r="H104" s="169">
        <f t="shared" si="47"/>
        <v>7930</v>
      </c>
      <c r="I104" s="170">
        <f t="shared" si="45"/>
        <v>0.30277640873993761</v>
      </c>
      <c r="J104" s="171">
        <f t="shared" si="42"/>
        <v>2.088006230529595</v>
      </c>
      <c r="K104" s="169">
        <f>H104-G104</f>
        <v>1843</v>
      </c>
      <c r="L104" s="169">
        <f t="shared" si="44"/>
        <v>5362</v>
      </c>
      <c r="M104" s="170">
        <f t="shared" si="46"/>
        <v>1.5282896434575424E-3</v>
      </c>
    </row>
    <row r="105" spans="2:16" x14ac:dyDescent="0.25">
      <c r="B105" s="153" t="s">
        <v>50</v>
      </c>
      <c r="C105" s="151"/>
      <c r="D105" s="151"/>
      <c r="E105" s="151"/>
      <c r="F105" s="151"/>
      <c r="G105" s="151"/>
      <c r="H105" s="152"/>
      <c r="I105" s="152"/>
      <c r="J105" s="152"/>
      <c r="K105" s="152"/>
      <c r="L105" s="151"/>
      <c r="M105" s="151"/>
      <c r="N105" s="125"/>
      <c r="O105" s="125"/>
      <c r="P105" s="125"/>
    </row>
    <row r="106" spans="2:16" x14ac:dyDescent="0.25">
      <c r="B106" s="154" t="s">
        <v>68</v>
      </c>
      <c r="C106" s="155">
        <v>146797</v>
      </c>
      <c r="D106" s="155">
        <v>142901</v>
      </c>
      <c r="E106" s="155">
        <v>77467</v>
      </c>
      <c r="F106" s="155">
        <v>107459</v>
      </c>
      <c r="G106" s="155">
        <v>198873</v>
      </c>
      <c r="H106" s="155">
        <v>252588</v>
      </c>
      <c r="I106" s="156">
        <f>IFERROR(H106/G106-1,"-")</f>
        <v>0.27009699657570407</v>
      </c>
      <c r="J106" s="156">
        <f>IFERROR(H106/E106-1,"-")</f>
        <v>2.2605883795680741</v>
      </c>
      <c r="K106" s="155">
        <f>H106-G106</f>
        <v>53715</v>
      </c>
      <c r="L106" s="155">
        <f>H106-E106</f>
        <v>175121</v>
      </c>
      <c r="M106" s="156">
        <f>H106/H$8</f>
        <v>4.8679397788354818E-2</v>
      </c>
      <c r="N106" s="105"/>
      <c r="O106" s="105"/>
      <c r="P106" s="105"/>
    </row>
    <row r="107" spans="2:16" x14ac:dyDescent="0.25">
      <c r="B107" s="157" t="s">
        <v>97</v>
      </c>
      <c r="C107" s="158">
        <v>30125</v>
      </c>
      <c r="D107" s="158">
        <v>31009</v>
      </c>
      <c r="E107" s="158">
        <v>30584</v>
      </c>
      <c r="F107" s="158">
        <v>44398</v>
      </c>
      <c r="G107" s="158">
        <v>48630</v>
      </c>
      <c r="H107" s="158">
        <v>55684</v>
      </c>
      <c r="I107" s="159">
        <f>IFERROR(H107/G107-1,"-")</f>
        <v>0.14505449311124829</v>
      </c>
      <c r="J107" s="160">
        <f t="shared" ref="J107:J118" si="48">IFERROR(H107/E107-1,"-")</f>
        <v>0.82069055715406747</v>
      </c>
      <c r="K107" s="158">
        <f t="shared" ref="K107:K117" si="49">H107-G107</f>
        <v>7054</v>
      </c>
      <c r="L107" s="158">
        <f t="shared" ref="L107:L118" si="50">H107-E107</f>
        <v>25100</v>
      </c>
      <c r="M107" s="159">
        <f>H107/H$8</f>
        <v>1.073156122399619E-2</v>
      </c>
    </row>
    <row r="108" spans="2:16" x14ac:dyDescent="0.25">
      <c r="B108" s="162" t="s">
        <v>103</v>
      </c>
      <c r="C108" s="163">
        <v>13639</v>
      </c>
      <c r="D108" s="163">
        <v>11886</v>
      </c>
      <c r="E108" s="163">
        <v>4963</v>
      </c>
      <c r="F108" s="163">
        <v>24120</v>
      </c>
      <c r="G108" s="163">
        <v>16359</v>
      </c>
      <c r="H108" s="163">
        <v>19520</v>
      </c>
      <c r="I108" s="164">
        <f>IFERROR(H108/G108-1,"-")</f>
        <v>0.19322696986368371</v>
      </c>
      <c r="J108" s="165">
        <f t="shared" si="48"/>
        <v>2.9331049768285311</v>
      </c>
      <c r="K108" s="163">
        <f t="shared" si="49"/>
        <v>3161</v>
      </c>
      <c r="L108" s="163">
        <f t="shared" si="50"/>
        <v>14557</v>
      </c>
      <c r="M108" s="164">
        <f>H108/H$8</f>
        <v>3.7619437377416427E-3</v>
      </c>
    </row>
    <row r="109" spans="2:16" x14ac:dyDescent="0.25">
      <c r="B109" s="162" t="s">
        <v>100</v>
      </c>
      <c r="C109" s="163">
        <v>16486</v>
      </c>
      <c r="D109" s="163">
        <v>19123</v>
      </c>
      <c r="E109" s="163">
        <v>25621</v>
      </c>
      <c r="F109" s="163">
        <v>20278</v>
      </c>
      <c r="G109" s="163">
        <v>32271</v>
      </c>
      <c r="H109" s="163">
        <v>36164</v>
      </c>
      <c r="I109" s="164">
        <f>IFERROR(H109/G109-1,"-")</f>
        <v>0.12063462551516846</v>
      </c>
      <c r="J109" s="165">
        <f t="shared" si="48"/>
        <v>0.41149838023496343</v>
      </c>
      <c r="K109" s="163">
        <f t="shared" si="49"/>
        <v>3893</v>
      </c>
      <c r="L109" s="163">
        <f t="shared" si="50"/>
        <v>10543</v>
      </c>
      <c r="M109" s="164">
        <f>H109/H$8</f>
        <v>6.9696174862545479E-3</v>
      </c>
    </row>
    <row r="110" spans="2:16" x14ac:dyDescent="0.25">
      <c r="B110" s="157" t="s">
        <v>107</v>
      </c>
      <c r="C110" s="158">
        <v>116672</v>
      </c>
      <c r="D110" s="158">
        <v>111892</v>
      </c>
      <c r="E110" s="158">
        <v>46883</v>
      </c>
      <c r="F110" s="158">
        <v>63061</v>
      </c>
      <c r="G110" s="158">
        <v>150243</v>
      </c>
      <c r="H110" s="158">
        <v>196904</v>
      </c>
      <c r="I110" s="159">
        <f>IFERROR(H110/G110-1,"-")</f>
        <v>0.31057020959379145</v>
      </c>
      <c r="J110" s="160">
        <f t="shared" si="48"/>
        <v>3.199901883411898</v>
      </c>
      <c r="K110" s="158">
        <f t="shared" si="49"/>
        <v>46661</v>
      </c>
      <c r="L110" s="158">
        <f t="shared" si="50"/>
        <v>150021</v>
      </c>
      <c r="M110" s="159">
        <f>H110/H$8</f>
        <v>3.7947836564358628E-2</v>
      </c>
    </row>
    <row r="111" spans="2:16" x14ac:dyDescent="0.25">
      <c r="B111" s="162" t="s">
        <v>110</v>
      </c>
      <c r="C111" s="163">
        <v>63356</v>
      </c>
      <c r="D111" s="163">
        <v>61414</v>
      </c>
      <c r="E111" s="163">
        <v>26382</v>
      </c>
      <c r="F111" s="163">
        <v>26812</v>
      </c>
      <c r="G111" s="163">
        <v>90804</v>
      </c>
      <c r="H111" s="163">
        <v>128108</v>
      </c>
      <c r="I111" s="164">
        <f t="shared" ref="I111:I118" si="51">IFERROR(H111/G111-1,"-")</f>
        <v>0.41081890665609455</v>
      </c>
      <c r="J111" s="165">
        <f t="shared" si="48"/>
        <v>3.8558865893412175</v>
      </c>
      <c r="K111" s="163">
        <f t="shared" si="49"/>
        <v>37304</v>
      </c>
      <c r="L111" s="163">
        <f t="shared" si="50"/>
        <v>101726</v>
      </c>
      <c r="M111" s="164">
        <f t="shared" ref="M111:M118" si="52">H111/H$8</f>
        <v>2.4689297559149916E-2</v>
      </c>
    </row>
    <row r="112" spans="2:16" x14ac:dyDescent="0.25">
      <c r="B112" s="162" t="s">
        <v>113</v>
      </c>
      <c r="C112" s="163">
        <v>12662</v>
      </c>
      <c r="D112" s="163">
        <v>9783</v>
      </c>
      <c r="E112" s="163">
        <v>3197</v>
      </c>
      <c r="F112" s="163">
        <v>7197</v>
      </c>
      <c r="G112" s="163">
        <v>6944</v>
      </c>
      <c r="H112" s="163">
        <v>8880</v>
      </c>
      <c r="I112" s="164">
        <f t="shared" si="51"/>
        <v>0.27880184331797242</v>
      </c>
      <c r="J112" s="165">
        <f t="shared" si="48"/>
        <v>1.777604003753519</v>
      </c>
      <c r="K112" s="163">
        <f t="shared" si="49"/>
        <v>1936</v>
      </c>
      <c r="L112" s="163">
        <f t="shared" si="50"/>
        <v>5683</v>
      </c>
      <c r="M112" s="164">
        <f t="shared" si="52"/>
        <v>1.7113760446283704E-3</v>
      </c>
    </row>
    <row r="113" spans="2:16" x14ac:dyDescent="0.25">
      <c r="B113" s="162" t="s">
        <v>116</v>
      </c>
      <c r="C113" s="163">
        <v>13476</v>
      </c>
      <c r="D113" s="163">
        <v>11371</v>
      </c>
      <c r="E113" s="163">
        <v>2498</v>
      </c>
      <c r="F113" s="163">
        <v>6746</v>
      </c>
      <c r="G113" s="163">
        <v>9830</v>
      </c>
      <c r="H113" s="163">
        <v>13414</v>
      </c>
      <c r="I113" s="164">
        <f t="shared" si="51"/>
        <v>0.36459816887080376</v>
      </c>
      <c r="J113" s="165">
        <f t="shared" si="48"/>
        <v>4.3698959167333866</v>
      </c>
      <c r="K113" s="163">
        <f t="shared" si="49"/>
        <v>3584</v>
      </c>
      <c r="L113" s="163">
        <f t="shared" si="50"/>
        <v>10916</v>
      </c>
      <c r="M113" s="164">
        <f t="shared" si="52"/>
        <v>2.5851799845320899E-3</v>
      </c>
    </row>
    <row r="114" spans="2:16" x14ac:dyDescent="0.25">
      <c r="B114" s="162" t="s">
        <v>123</v>
      </c>
      <c r="C114" s="163">
        <v>2503</v>
      </c>
      <c r="D114" s="163">
        <v>2496</v>
      </c>
      <c r="E114" s="163">
        <v>1300</v>
      </c>
      <c r="F114" s="163">
        <v>3663</v>
      </c>
      <c r="G114" s="163">
        <v>6290</v>
      </c>
      <c r="H114" s="163">
        <v>6514</v>
      </c>
      <c r="I114" s="164">
        <f t="shared" si="51"/>
        <v>3.5612082670906098E-2</v>
      </c>
      <c r="J114" s="165">
        <f t="shared" si="48"/>
        <v>4.0107692307692311</v>
      </c>
      <c r="K114" s="163">
        <f t="shared" si="49"/>
        <v>224</v>
      </c>
      <c r="L114" s="163">
        <f t="shared" si="50"/>
        <v>5214</v>
      </c>
      <c r="M114" s="164">
        <f t="shared" si="52"/>
        <v>1.2553945444492346E-3</v>
      </c>
    </row>
    <row r="115" spans="2:16" x14ac:dyDescent="0.25">
      <c r="B115" s="162" t="s">
        <v>119</v>
      </c>
      <c r="C115" s="163">
        <v>3813</v>
      </c>
      <c r="D115" s="163">
        <v>3749</v>
      </c>
      <c r="E115" s="163">
        <v>2838</v>
      </c>
      <c r="F115" s="163">
        <v>4368</v>
      </c>
      <c r="G115" s="163">
        <v>4750</v>
      </c>
      <c r="H115" s="163">
        <v>5340</v>
      </c>
      <c r="I115" s="164">
        <f t="shared" si="51"/>
        <v>0.12421052631578955</v>
      </c>
      <c r="J115" s="165">
        <f t="shared" si="48"/>
        <v>0.88160676532769555</v>
      </c>
      <c r="K115" s="163">
        <f t="shared" si="49"/>
        <v>590</v>
      </c>
      <c r="L115" s="163">
        <f t="shared" si="50"/>
        <v>2502</v>
      </c>
      <c r="M115" s="164">
        <f t="shared" si="52"/>
        <v>1.0291382971076011E-3</v>
      </c>
    </row>
    <row r="116" spans="2:16" x14ac:dyDescent="0.25">
      <c r="B116" s="162" t="s">
        <v>128</v>
      </c>
      <c r="C116" s="163">
        <v>742</v>
      </c>
      <c r="D116" s="163">
        <v>826</v>
      </c>
      <c r="E116" s="163">
        <v>406</v>
      </c>
      <c r="F116" s="163">
        <v>369</v>
      </c>
      <c r="G116" s="163">
        <v>1261</v>
      </c>
      <c r="H116" s="163">
        <v>1457</v>
      </c>
      <c r="I116" s="164">
        <f t="shared" si="51"/>
        <v>0.15543219666930996</v>
      </c>
      <c r="J116" s="165">
        <f t="shared" si="48"/>
        <v>2.5886699507389164</v>
      </c>
      <c r="K116" s="163">
        <f t="shared" si="49"/>
        <v>196</v>
      </c>
      <c r="L116" s="163">
        <f t="shared" si="50"/>
        <v>1051</v>
      </c>
      <c r="M116" s="164">
        <f t="shared" si="52"/>
        <v>2.8079672263778553E-4</v>
      </c>
    </row>
    <row r="117" spans="2:16" x14ac:dyDescent="0.25">
      <c r="B117" s="162" t="s">
        <v>131</v>
      </c>
      <c r="C117" s="163">
        <v>1872</v>
      </c>
      <c r="D117" s="163">
        <v>1664</v>
      </c>
      <c r="E117" s="163">
        <v>932</v>
      </c>
      <c r="F117" s="163">
        <v>521</v>
      </c>
      <c r="G117" s="163">
        <v>980</v>
      </c>
      <c r="H117" s="163">
        <v>944</v>
      </c>
      <c r="I117" s="164">
        <f t="shared" si="51"/>
        <v>-3.6734693877551017E-2</v>
      </c>
      <c r="J117" s="165">
        <f t="shared" si="48"/>
        <v>1.2875536480686733E-2</v>
      </c>
      <c r="K117" s="163">
        <f t="shared" si="49"/>
        <v>-36</v>
      </c>
      <c r="L117" s="163">
        <f t="shared" si="50"/>
        <v>12</v>
      </c>
      <c r="M117" s="164">
        <f t="shared" si="52"/>
        <v>1.8193006600553845E-4</v>
      </c>
    </row>
    <row r="118" spans="2:16" x14ac:dyDescent="0.25">
      <c r="B118" s="168" t="s">
        <v>145</v>
      </c>
      <c r="C118" s="169">
        <f t="shared" ref="C118:H118" si="53">C110-SUM(C111:C117)</f>
        <v>18248</v>
      </c>
      <c r="D118" s="169">
        <f t="shared" si="53"/>
        <v>20589</v>
      </c>
      <c r="E118" s="169">
        <f t="shared" si="53"/>
        <v>9330</v>
      </c>
      <c r="F118" s="169">
        <f t="shared" si="53"/>
        <v>13385</v>
      </c>
      <c r="G118" s="169">
        <f t="shared" si="53"/>
        <v>29384</v>
      </c>
      <c r="H118" s="169">
        <f t="shared" si="53"/>
        <v>32247</v>
      </c>
      <c r="I118" s="170">
        <f t="shared" si="51"/>
        <v>9.7433977674925121E-2</v>
      </c>
      <c r="J118" s="171">
        <f t="shared" si="48"/>
        <v>2.4562700964630224</v>
      </c>
      <c r="K118" s="169">
        <f>H118-G118</f>
        <v>2863</v>
      </c>
      <c r="L118" s="169">
        <f t="shared" si="50"/>
        <v>22917</v>
      </c>
      <c r="M118" s="170">
        <f t="shared" si="52"/>
        <v>6.2147233458480916E-3</v>
      </c>
    </row>
    <row r="119" spans="2:16" x14ac:dyDescent="0.25">
      <c r="B119" s="153" t="s">
        <v>51</v>
      </c>
      <c r="C119" s="151"/>
      <c r="D119" s="151"/>
      <c r="E119" s="151"/>
      <c r="F119" s="151"/>
      <c r="G119" s="151"/>
      <c r="H119" s="152"/>
      <c r="I119" s="152"/>
      <c r="J119" s="152"/>
      <c r="K119" s="152"/>
      <c r="L119" s="151"/>
      <c r="M119" s="151"/>
      <c r="N119" s="125"/>
      <c r="O119" s="125"/>
      <c r="P119" s="125"/>
    </row>
    <row r="120" spans="2:16" x14ac:dyDescent="0.25">
      <c r="B120" s="154" t="s">
        <v>68</v>
      </c>
      <c r="C120" s="155">
        <v>232309</v>
      </c>
      <c r="D120" s="155">
        <v>220415</v>
      </c>
      <c r="E120" s="155">
        <v>103516</v>
      </c>
      <c r="F120" s="155">
        <v>164258</v>
      </c>
      <c r="G120" s="155">
        <v>229131</v>
      </c>
      <c r="H120" s="155">
        <v>239109</v>
      </c>
      <c r="I120" s="156">
        <f>IFERROR(H120/G120-1,"-")</f>
        <v>4.3547141155059865E-2</v>
      </c>
      <c r="J120" s="156">
        <f>IFERROR(H120/E120-1,"-")</f>
        <v>1.3098748019629816</v>
      </c>
      <c r="K120" s="155">
        <f>H120-G120</f>
        <v>9978</v>
      </c>
      <c r="L120" s="155">
        <f>H120-E120</f>
        <v>135593</v>
      </c>
      <c r="M120" s="156">
        <f>H120/H$8</f>
        <v>4.6081690839532091E-2</v>
      </c>
      <c r="N120" s="105"/>
      <c r="O120" s="105"/>
      <c r="P120" s="105"/>
    </row>
    <row r="121" spans="2:16" x14ac:dyDescent="0.25">
      <c r="B121" s="157" t="s">
        <v>97</v>
      </c>
      <c r="C121" s="158">
        <v>135043</v>
      </c>
      <c r="D121" s="158">
        <v>120142</v>
      </c>
      <c r="E121" s="158">
        <v>61571</v>
      </c>
      <c r="F121" s="158">
        <v>104557</v>
      </c>
      <c r="G121" s="158">
        <v>134886</v>
      </c>
      <c r="H121" s="158">
        <v>146430</v>
      </c>
      <c r="I121" s="159">
        <f>IFERROR(H121/G121-1,"-")</f>
        <v>8.5583381522174262E-2</v>
      </c>
      <c r="J121" s="160">
        <f t="shared" ref="J121:J132" si="54">IFERROR(H121/E121-1,"-")</f>
        <v>1.3782300108817465</v>
      </c>
      <c r="K121" s="158">
        <f t="shared" ref="K121:K131" si="55">H121-G121</f>
        <v>11544</v>
      </c>
      <c r="L121" s="158">
        <f t="shared" ref="L121:L132" si="56">H121-E121</f>
        <v>84859</v>
      </c>
      <c r="M121" s="159">
        <f>H121/H$8</f>
        <v>2.8220359708888768E-2</v>
      </c>
    </row>
    <row r="122" spans="2:16" x14ac:dyDescent="0.25">
      <c r="B122" s="162" t="s">
        <v>103</v>
      </c>
      <c r="C122" s="163">
        <v>75241</v>
      </c>
      <c r="D122" s="163">
        <v>61076</v>
      </c>
      <c r="E122" s="163">
        <v>27791</v>
      </c>
      <c r="F122" s="163">
        <v>53247</v>
      </c>
      <c r="G122" s="163">
        <v>69865</v>
      </c>
      <c r="H122" s="163">
        <v>66121</v>
      </c>
      <c r="I122" s="164">
        <f>IFERROR(H122/G122-1,"-")</f>
        <v>-5.3589064624633198E-2</v>
      </c>
      <c r="J122" s="165">
        <f t="shared" si="54"/>
        <v>1.3792234896189415</v>
      </c>
      <c r="K122" s="163">
        <f t="shared" si="55"/>
        <v>-3744</v>
      </c>
      <c r="L122" s="163">
        <f t="shared" si="56"/>
        <v>38330</v>
      </c>
      <c r="M122" s="164">
        <f>H122/H$8</f>
        <v>1.274300624401717E-2</v>
      </c>
    </row>
    <row r="123" spans="2:16" x14ac:dyDescent="0.25">
      <c r="B123" s="162" t="s">
        <v>100</v>
      </c>
      <c r="C123" s="163">
        <v>59802</v>
      </c>
      <c r="D123" s="163">
        <v>59066</v>
      </c>
      <c r="E123" s="163">
        <v>33780</v>
      </c>
      <c r="F123" s="163">
        <v>51310</v>
      </c>
      <c r="G123" s="163">
        <v>65021</v>
      </c>
      <c r="H123" s="163">
        <v>80309</v>
      </c>
      <c r="I123" s="164">
        <f>IFERROR(H123/G123-1,"-")</f>
        <v>0.23512403684963323</v>
      </c>
      <c r="J123" s="165">
        <f t="shared" si="54"/>
        <v>1.3774126702190643</v>
      </c>
      <c r="K123" s="163">
        <f t="shared" si="55"/>
        <v>15288</v>
      </c>
      <c r="L123" s="163">
        <f t="shared" si="56"/>
        <v>46529</v>
      </c>
      <c r="M123" s="164">
        <f>H123/H$8</f>
        <v>1.5477353464871597E-2</v>
      </c>
    </row>
    <row r="124" spans="2:16" x14ac:dyDescent="0.25">
      <c r="B124" s="157" t="s">
        <v>107</v>
      </c>
      <c r="C124" s="158">
        <v>97266</v>
      </c>
      <c r="D124" s="158">
        <v>100273</v>
      </c>
      <c r="E124" s="158">
        <v>41945</v>
      </c>
      <c r="F124" s="158">
        <v>59701</v>
      </c>
      <c r="G124" s="158">
        <v>94245</v>
      </c>
      <c r="H124" s="158">
        <v>92679</v>
      </c>
      <c r="I124" s="159">
        <f>IFERROR(H124/G124-1,"-")</f>
        <v>-1.6616266114913292E-2</v>
      </c>
      <c r="J124" s="160">
        <f t="shared" si="54"/>
        <v>1.209536297532483</v>
      </c>
      <c r="K124" s="158">
        <f t="shared" si="55"/>
        <v>-1566</v>
      </c>
      <c r="L124" s="158">
        <f t="shared" si="56"/>
        <v>50734</v>
      </c>
      <c r="M124" s="159">
        <f>H124/H$8</f>
        <v>1.7861331130643324E-2</v>
      </c>
    </row>
    <row r="125" spans="2:16" x14ac:dyDescent="0.25">
      <c r="B125" s="162" t="s">
        <v>110</v>
      </c>
      <c r="C125" s="163">
        <v>11864</v>
      </c>
      <c r="D125" s="163">
        <v>10460</v>
      </c>
      <c r="E125" s="163">
        <v>3941</v>
      </c>
      <c r="F125" s="163">
        <v>3336</v>
      </c>
      <c r="G125" s="163">
        <v>9917</v>
      </c>
      <c r="H125" s="163">
        <v>11646</v>
      </c>
      <c r="I125" s="164">
        <f t="shared" ref="I125:I132" si="57">IFERROR(H125/G125-1,"-")</f>
        <v>0.17434708077039418</v>
      </c>
      <c r="J125" s="165">
        <f t="shared" si="54"/>
        <v>1.9550875412331896</v>
      </c>
      <c r="K125" s="163">
        <f t="shared" si="55"/>
        <v>1729</v>
      </c>
      <c r="L125" s="163">
        <f t="shared" si="56"/>
        <v>7705</v>
      </c>
      <c r="M125" s="164">
        <f t="shared" ref="M125:M132" si="58">H125/H$8</f>
        <v>2.2444465558268019E-3</v>
      </c>
    </row>
    <row r="126" spans="2:16" x14ac:dyDescent="0.25">
      <c r="B126" s="162" t="s">
        <v>113</v>
      </c>
      <c r="C126" s="163">
        <v>10977</v>
      </c>
      <c r="D126" s="163">
        <v>9550</v>
      </c>
      <c r="E126" s="163">
        <v>4053</v>
      </c>
      <c r="F126" s="163">
        <v>7314</v>
      </c>
      <c r="G126" s="163">
        <v>11261</v>
      </c>
      <c r="H126" s="163">
        <v>13316</v>
      </c>
      <c r="I126" s="164">
        <f t="shared" si="57"/>
        <v>0.18248823372702239</v>
      </c>
      <c r="J126" s="165">
        <f t="shared" si="54"/>
        <v>2.2854675548976067</v>
      </c>
      <c r="K126" s="163">
        <f t="shared" si="55"/>
        <v>2055</v>
      </c>
      <c r="L126" s="163">
        <f t="shared" si="56"/>
        <v>9263</v>
      </c>
      <c r="M126" s="164">
        <f t="shared" si="58"/>
        <v>2.5662931768323624E-3</v>
      </c>
    </row>
    <row r="127" spans="2:16" x14ac:dyDescent="0.25">
      <c r="B127" s="162" t="s">
        <v>116</v>
      </c>
      <c r="C127" s="163">
        <v>6539</v>
      </c>
      <c r="D127" s="163">
        <v>6709</v>
      </c>
      <c r="E127" s="163">
        <v>2906</v>
      </c>
      <c r="F127" s="163">
        <v>7134</v>
      </c>
      <c r="G127" s="163">
        <v>8524</v>
      </c>
      <c r="H127" s="163">
        <v>8756</v>
      </c>
      <c r="I127" s="164">
        <f t="shared" si="57"/>
        <v>2.7217268887846036E-2</v>
      </c>
      <c r="J127" s="165">
        <f t="shared" si="54"/>
        <v>2.0130763936682725</v>
      </c>
      <c r="K127" s="163">
        <f t="shared" si="55"/>
        <v>232</v>
      </c>
      <c r="L127" s="163">
        <f t="shared" si="56"/>
        <v>5850</v>
      </c>
      <c r="M127" s="164">
        <f t="shared" si="58"/>
        <v>1.6874784512123885E-3</v>
      </c>
    </row>
    <row r="128" spans="2:16" x14ac:dyDescent="0.25">
      <c r="B128" s="162" t="s">
        <v>123</v>
      </c>
      <c r="C128" s="163">
        <v>1654</v>
      </c>
      <c r="D128" s="163">
        <v>1866</v>
      </c>
      <c r="E128" s="163">
        <v>784</v>
      </c>
      <c r="F128" s="163">
        <v>1333</v>
      </c>
      <c r="G128" s="163">
        <v>2573</v>
      </c>
      <c r="H128" s="163">
        <v>2637</v>
      </c>
      <c r="I128" s="164">
        <f t="shared" si="57"/>
        <v>2.4873688301593422E-2</v>
      </c>
      <c r="J128" s="165">
        <f t="shared" si="54"/>
        <v>2.3635204081632653</v>
      </c>
      <c r="K128" s="163">
        <f t="shared" si="55"/>
        <v>64</v>
      </c>
      <c r="L128" s="163">
        <f t="shared" si="56"/>
        <v>1853</v>
      </c>
      <c r="M128" s="164">
        <f t="shared" si="58"/>
        <v>5.0820930514470857E-4</v>
      </c>
    </row>
    <row r="129" spans="2:16" x14ac:dyDescent="0.25">
      <c r="B129" s="162" t="s">
        <v>119</v>
      </c>
      <c r="C129" s="163">
        <v>1793</v>
      </c>
      <c r="D129" s="163">
        <v>1484</v>
      </c>
      <c r="E129" s="163">
        <v>812</v>
      </c>
      <c r="F129" s="163">
        <v>1357</v>
      </c>
      <c r="G129" s="163">
        <v>1836</v>
      </c>
      <c r="H129" s="163">
        <v>1934</v>
      </c>
      <c r="I129" s="164">
        <f t="shared" si="57"/>
        <v>5.3376906318082895E-2</v>
      </c>
      <c r="J129" s="165">
        <f t="shared" si="54"/>
        <v>1.3817733990147785</v>
      </c>
      <c r="K129" s="163">
        <f t="shared" si="55"/>
        <v>98</v>
      </c>
      <c r="L129" s="163">
        <f t="shared" si="56"/>
        <v>1122</v>
      </c>
      <c r="M129" s="164">
        <f t="shared" si="58"/>
        <v>3.7272536827829595E-4</v>
      </c>
    </row>
    <row r="130" spans="2:16" x14ac:dyDescent="0.25">
      <c r="B130" s="162" t="s">
        <v>128</v>
      </c>
      <c r="C130" s="163">
        <v>1802</v>
      </c>
      <c r="D130" s="163">
        <v>1623</v>
      </c>
      <c r="E130" s="163">
        <v>678</v>
      </c>
      <c r="F130" s="163">
        <v>555</v>
      </c>
      <c r="G130" s="163">
        <v>1075</v>
      </c>
      <c r="H130" s="163">
        <v>1341</v>
      </c>
      <c r="I130" s="164">
        <f t="shared" si="57"/>
        <v>0.24744186046511629</v>
      </c>
      <c r="J130" s="165">
        <f t="shared" si="54"/>
        <v>0.97787610619469034</v>
      </c>
      <c r="K130" s="163">
        <f t="shared" si="55"/>
        <v>266</v>
      </c>
      <c r="L130" s="163">
        <f t="shared" si="56"/>
        <v>663</v>
      </c>
      <c r="M130" s="164">
        <f t="shared" si="58"/>
        <v>2.5844090944218971E-4</v>
      </c>
    </row>
    <row r="131" spans="2:16" x14ac:dyDescent="0.25">
      <c r="B131" s="162" t="s">
        <v>131</v>
      </c>
      <c r="C131" s="163">
        <v>3139</v>
      </c>
      <c r="D131" s="163">
        <v>2681</v>
      </c>
      <c r="E131" s="163">
        <v>1097</v>
      </c>
      <c r="F131" s="163">
        <v>919</v>
      </c>
      <c r="G131" s="163">
        <v>1885</v>
      </c>
      <c r="H131" s="163">
        <v>2455</v>
      </c>
      <c r="I131" s="164">
        <f t="shared" si="57"/>
        <v>0.3023872679045092</v>
      </c>
      <c r="J131" s="165">
        <f t="shared" si="54"/>
        <v>1.2379216043755696</v>
      </c>
      <c r="K131" s="163">
        <f t="shared" si="55"/>
        <v>570</v>
      </c>
      <c r="L131" s="163">
        <f t="shared" si="56"/>
        <v>1358</v>
      </c>
      <c r="M131" s="164">
        <f t="shared" si="58"/>
        <v>4.7313380513092893E-4</v>
      </c>
    </row>
    <row r="132" spans="2:16" x14ac:dyDescent="0.25">
      <c r="B132" s="168" t="s">
        <v>145</v>
      </c>
      <c r="C132" s="169">
        <f t="shared" ref="C132:H132" si="59">C124-SUM(C125:C131)</f>
        <v>59498</v>
      </c>
      <c r="D132" s="169">
        <f t="shared" si="59"/>
        <v>65900</v>
      </c>
      <c r="E132" s="169">
        <f t="shared" si="59"/>
        <v>27674</v>
      </c>
      <c r="F132" s="169">
        <f t="shared" si="59"/>
        <v>37753</v>
      </c>
      <c r="G132" s="169">
        <f t="shared" si="59"/>
        <v>57174</v>
      </c>
      <c r="H132" s="169">
        <f t="shared" si="59"/>
        <v>50594</v>
      </c>
      <c r="I132" s="170">
        <f t="shared" si="57"/>
        <v>-0.11508727743379854</v>
      </c>
      <c r="J132" s="171">
        <f t="shared" si="54"/>
        <v>0.82821420828214198</v>
      </c>
      <c r="K132" s="169">
        <f>H132-G132</f>
        <v>-6580</v>
      </c>
      <c r="L132" s="169">
        <f t="shared" si="56"/>
        <v>22920</v>
      </c>
      <c r="M132" s="170">
        <f t="shared" si="58"/>
        <v>9.7506035587756491E-3</v>
      </c>
    </row>
    <row r="133" spans="2:16" x14ac:dyDescent="0.25">
      <c r="B133" s="153" t="s">
        <v>52</v>
      </c>
      <c r="C133" s="151"/>
      <c r="D133" s="151"/>
      <c r="E133" s="151"/>
      <c r="F133" s="151"/>
      <c r="G133" s="151"/>
      <c r="H133" s="152"/>
      <c r="I133" s="152"/>
      <c r="J133" s="152"/>
      <c r="K133" s="152"/>
      <c r="L133" s="151"/>
      <c r="M133" s="151"/>
      <c r="N133" s="125"/>
      <c r="O133" s="125"/>
      <c r="P133" s="125"/>
    </row>
    <row r="134" spans="2:16" x14ac:dyDescent="0.25">
      <c r="B134" s="154" t="s">
        <v>68</v>
      </c>
      <c r="C134" s="155">
        <v>272428</v>
      </c>
      <c r="D134" s="155">
        <v>250224</v>
      </c>
      <c r="E134" s="155">
        <v>96681</v>
      </c>
      <c r="F134" s="155">
        <v>140346</v>
      </c>
      <c r="G134" s="155">
        <v>257117</v>
      </c>
      <c r="H134" s="155">
        <v>278594</v>
      </c>
      <c r="I134" s="156">
        <f>IFERROR(H134/G134-1,"-")</f>
        <v>8.3530066078866927E-2</v>
      </c>
      <c r="J134" s="156">
        <f>IFERROR(H134/E134-1,"-")</f>
        <v>1.8815796278482844</v>
      </c>
      <c r="K134" s="155">
        <f>H134-G134</f>
        <v>21477</v>
      </c>
      <c r="L134" s="155">
        <f>H134-E134</f>
        <v>181913</v>
      </c>
      <c r="M134" s="156">
        <f>H134/H$8</f>
        <v>5.3691339839774345E-2</v>
      </c>
      <c r="N134" s="105"/>
      <c r="O134" s="105"/>
      <c r="P134" s="105"/>
    </row>
    <row r="135" spans="2:16" x14ac:dyDescent="0.25">
      <c r="B135" s="157" t="s">
        <v>97</v>
      </c>
      <c r="C135" s="158">
        <v>51968</v>
      </c>
      <c r="D135" s="158">
        <v>45577</v>
      </c>
      <c r="E135" s="158">
        <v>26839</v>
      </c>
      <c r="F135" s="158">
        <v>45216</v>
      </c>
      <c r="G135" s="158">
        <v>29061</v>
      </c>
      <c r="H135" s="158">
        <v>32018</v>
      </c>
      <c r="I135" s="159">
        <f>IFERROR(H135/G135-1,"-")</f>
        <v>0.10175148824885594</v>
      </c>
      <c r="J135" s="160">
        <f t="shared" ref="J135:J146" si="60">IFERROR(H135/E135-1,"-")</f>
        <v>0.19296546071016052</v>
      </c>
      <c r="K135" s="158">
        <f t="shared" ref="K135:K145" si="61">H135-G135</f>
        <v>2957</v>
      </c>
      <c r="L135" s="158">
        <f t="shared" ref="L135:L146" si="62">H135-E135</f>
        <v>5179</v>
      </c>
      <c r="M135" s="159">
        <f>H135/H$8</f>
        <v>6.1705898870395449E-3</v>
      </c>
    </row>
    <row r="136" spans="2:16" x14ac:dyDescent="0.25">
      <c r="B136" s="162" t="s">
        <v>103</v>
      </c>
      <c r="C136" s="163">
        <v>36715</v>
      </c>
      <c r="D136" s="163">
        <v>24890</v>
      </c>
      <c r="E136" s="163">
        <v>20058</v>
      </c>
      <c r="F136" s="163">
        <v>34195</v>
      </c>
      <c r="G136" s="163">
        <v>19943</v>
      </c>
      <c r="H136" s="163">
        <v>20738</v>
      </c>
      <c r="I136" s="164">
        <f>IFERROR(H136/G136-1,"-")</f>
        <v>3.9863611292182632E-2</v>
      </c>
      <c r="J136" s="165">
        <f t="shared" si="60"/>
        <v>3.3901685113171709E-2</v>
      </c>
      <c r="K136" s="163">
        <f t="shared" si="61"/>
        <v>795</v>
      </c>
      <c r="L136" s="163">
        <f t="shared" si="62"/>
        <v>680</v>
      </c>
      <c r="M136" s="164">
        <f>H136/H$8</f>
        <v>3.996679776295399E-3</v>
      </c>
    </row>
    <row r="137" spans="2:16" x14ac:dyDescent="0.25">
      <c r="B137" s="162" t="s">
        <v>100</v>
      </c>
      <c r="C137" s="163">
        <v>15253</v>
      </c>
      <c r="D137" s="163">
        <v>20687</v>
      </c>
      <c r="E137" s="163">
        <v>6781</v>
      </c>
      <c r="F137" s="163">
        <v>11021</v>
      </c>
      <c r="G137" s="163">
        <v>9118</v>
      </c>
      <c r="H137" s="163">
        <v>11280</v>
      </c>
      <c r="I137" s="164">
        <f>IFERROR(H137/G137-1,"-")</f>
        <v>0.23711340206185572</v>
      </c>
      <c r="J137" s="165">
        <f t="shared" si="60"/>
        <v>0.66347146438578375</v>
      </c>
      <c r="K137" s="163">
        <f t="shared" si="61"/>
        <v>2162</v>
      </c>
      <c r="L137" s="163">
        <f t="shared" si="62"/>
        <v>4499</v>
      </c>
      <c r="M137" s="164">
        <f>H137/H$8</f>
        <v>2.1739101107441459E-3</v>
      </c>
    </row>
    <row r="138" spans="2:16" x14ac:dyDescent="0.25">
      <c r="B138" s="157" t="s">
        <v>107</v>
      </c>
      <c r="C138" s="158">
        <v>220460</v>
      </c>
      <c r="D138" s="158">
        <v>204647</v>
      </c>
      <c r="E138" s="158">
        <v>69842</v>
      </c>
      <c r="F138" s="158">
        <v>95130</v>
      </c>
      <c r="G138" s="158">
        <v>228056</v>
      </c>
      <c r="H138" s="158">
        <v>246576</v>
      </c>
      <c r="I138" s="159">
        <f>IFERROR(H138/G138-1,"-")</f>
        <v>8.1208124320342412E-2</v>
      </c>
      <c r="J138" s="160">
        <f t="shared" si="60"/>
        <v>2.5304830904040547</v>
      </c>
      <c r="K138" s="158">
        <f t="shared" si="61"/>
        <v>18520</v>
      </c>
      <c r="L138" s="158">
        <f t="shared" si="62"/>
        <v>176734</v>
      </c>
      <c r="M138" s="159">
        <f>H138/H$8</f>
        <v>4.7520749952734802E-2</v>
      </c>
    </row>
    <row r="139" spans="2:16" x14ac:dyDescent="0.25">
      <c r="B139" s="162" t="s">
        <v>110</v>
      </c>
      <c r="C139" s="163">
        <v>111248</v>
      </c>
      <c r="D139" s="163">
        <v>100583</v>
      </c>
      <c r="E139" s="163">
        <v>26093</v>
      </c>
      <c r="F139" s="163">
        <v>26467</v>
      </c>
      <c r="G139" s="163">
        <v>96562</v>
      </c>
      <c r="H139" s="163">
        <v>105830</v>
      </c>
      <c r="I139" s="164">
        <f t="shared" ref="I139:I146" si="63">IFERROR(H139/G139-1,"-")</f>
        <v>9.5979785008595497E-2</v>
      </c>
      <c r="J139" s="165">
        <f t="shared" si="60"/>
        <v>3.0558770551488905</v>
      </c>
      <c r="K139" s="163">
        <f t="shared" si="61"/>
        <v>9268</v>
      </c>
      <c r="L139" s="163">
        <f t="shared" si="62"/>
        <v>79737</v>
      </c>
      <c r="M139" s="164">
        <f t="shared" ref="M139:M146" si="64">H139/H$8</f>
        <v>2.0395825090430229E-2</v>
      </c>
    </row>
    <row r="140" spans="2:16" x14ac:dyDescent="0.25">
      <c r="B140" s="162" t="s">
        <v>113</v>
      </c>
      <c r="C140" s="163">
        <v>15410</v>
      </c>
      <c r="D140" s="163">
        <v>15093</v>
      </c>
      <c r="E140" s="163">
        <v>6042</v>
      </c>
      <c r="F140" s="163">
        <v>9298</v>
      </c>
      <c r="G140" s="163">
        <v>16587</v>
      </c>
      <c r="H140" s="163">
        <v>20785</v>
      </c>
      <c r="I140" s="164">
        <f t="shared" si="63"/>
        <v>0.25308976909628011</v>
      </c>
      <c r="J140" s="165">
        <f t="shared" si="60"/>
        <v>2.4400860642171467</v>
      </c>
      <c r="K140" s="163">
        <f t="shared" si="61"/>
        <v>4198</v>
      </c>
      <c r="L140" s="163">
        <f t="shared" si="62"/>
        <v>14743</v>
      </c>
      <c r="M140" s="164">
        <f t="shared" si="64"/>
        <v>4.0057377350901664E-3</v>
      </c>
    </row>
    <row r="141" spans="2:16" x14ac:dyDescent="0.25">
      <c r="B141" s="162" t="s">
        <v>116</v>
      </c>
      <c r="C141" s="163">
        <v>24474</v>
      </c>
      <c r="D141" s="163">
        <v>19622</v>
      </c>
      <c r="E141" s="163">
        <v>6586</v>
      </c>
      <c r="F141" s="163">
        <v>15246</v>
      </c>
      <c r="G141" s="163">
        <v>26940</v>
      </c>
      <c r="H141" s="163">
        <v>25089</v>
      </c>
      <c r="I141" s="164">
        <f t="shared" si="63"/>
        <v>-6.8708240534521181E-2</v>
      </c>
      <c r="J141" s="165">
        <f t="shared" si="60"/>
        <v>2.8094442757364106</v>
      </c>
      <c r="K141" s="163">
        <f t="shared" si="61"/>
        <v>-1851</v>
      </c>
      <c r="L141" s="163">
        <f t="shared" si="62"/>
        <v>18503</v>
      </c>
      <c r="M141" s="164">
        <f t="shared" si="64"/>
        <v>4.8352154936577903E-3</v>
      </c>
    </row>
    <row r="142" spans="2:16" x14ac:dyDescent="0.25">
      <c r="B142" s="162" t="s">
        <v>123</v>
      </c>
      <c r="C142" s="163">
        <v>4413</v>
      </c>
      <c r="D142" s="163">
        <v>3955</v>
      </c>
      <c r="E142" s="163">
        <v>1273</v>
      </c>
      <c r="F142" s="163">
        <v>4366</v>
      </c>
      <c r="G142" s="163">
        <v>9965</v>
      </c>
      <c r="H142" s="163">
        <v>8878</v>
      </c>
      <c r="I142" s="164">
        <f t="shared" si="63"/>
        <v>-0.10908178625188159</v>
      </c>
      <c r="J142" s="165">
        <f t="shared" si="60"/>
        <v>5.9740769835035348</v>
      </c>
      <c r="K142" s="163">
        <f t="shared" si="61"/>
        <v>-1087</v>
      </c>
      <c r="L142" s="163">
        <f t="shared" si="62"/>
        <v>7605</v>
      </c>
      <c r="M142" s="164">
        <f t="shared" si="64"/>
        <v>1.7109905995732737E-3</v>
      </c>
    </row>
    <row r="143" spans="2:16" x14ac:dyDescent="0.25">
      <c r="B143" s="162" t="s">
        <v>119</v>
      </c>
      <c r="C143" s="163">
        <v>4348</v>
      </c>
      <c r="D143" s="163">
        <v>4225</v>
      </c>
      <c r="E143" s="163">
        <v>1935</v>
      </c>
      <c r="F143" s="163">
        <v>3344</v>
      </c>
      <c r="G143" s="163">
        <v>4569</v>
      </c>
      <c r="H143" s="163">
        <v>5490</v>
      </c>
      <c r="I143" s="164">
        <f t="shared" si="63"/>
        <v>0.20157583716349303</v>
      </c>
      <c r="J143" s="165">
        <f t="shared" si="60"/>
        <v>1.8372093023255816</v>
      </c>
      <c r="K143" s="163">
        <f t="shared" si="61"/>
        <v>921</v>
      </c>
      <c r="L143" s="163">
        <f t="shared" si="62"/>
        <v>3555</v>
      </c>
      <c r="M143" s="164">
        <f t="shared" si="64"/>
        <v>1.0580466762398371E-3</v>
      </c>
    </row>
    <row r="144" spans="2:16" x14ac:dyDescent="0.25">
      <c r="B144" s="162" t="s">
        <v>128</v>
      </c>
      <c r="C144" s="163">
        <v>2096</v>
      </c>
      <c r="D144" s="163">
        <v>2428</v>
      </c>
      <c r="E144" s="163">
        <v>1979</v>
      </c>
      <c r="F144" s="163">
        <v>1422</v>
      </c>
      <c r="G144" s="163">
        <v>3324</v>
      </c>
      <c r="H144" s="163">
        <v>3691</v>
      </c>
      <c r="I144" s="164">
        <f t="shared" si="63"/>
        <v>0.11040914560770165</v>
      </c>
      <c r="J144" s="165">
        <f t="shared" si="60"/>
        <v>0.86508337544214253</v>
      </c>
      <c r="K144" s="163">
        <f t="shared" si="61"/>
        <v>367</v>
      </c>
      <c r="L144" s="163">
        <f t="shared" si="62"/>
        <v>1712</v>
      </c>
      <c r="M144" s="164">
        <f t="shared" si="64"/>
        <v>7.113388491805534E-4</v>
      </c>
    </row>
    <row r="145" spans="2:16" x14ac:dyDescent="0.25">
      <c r="B145" s="162" t="s">
        <v>131</v>
      </c>
      <c r="C145" s="163">
        <v>10395</v>
      </c>
      <c r="D145" s="163">
        <v>6221</v>
      </c>
      <c r="E145" s="163">
        <v>4050</v>
      </c>
      <c r="F145" s="163">
        <v>947</v>
      </c>
      <c r="G145" s="163">
        <v>2079</v>
      </c>
      <c r="H145" s="163">
        <v>2885</v>
      </c>
      <c r="I145" s="164">
        <f t="shared" si="63"/>
        <v>0.38768638768638763</v>
      </c>
      <c r="J145" s="165">
        <f t="shared" si="60"/>
        <v>-0.28765432098765431</v>
      </c>
      <c r="K145" s="163">
        <f t="shared" si="61"/>
        <v>806</v>
      </c>
      <c r="L145" s="163">
        <f t="shared" si="62"/>
        <v>-1165</v>
      </c>
      <c r="M145" s="164">
        <f t="shared" si="64"/>
        <v>5.560044919766721E-4</v>
      </c>
    </row>
    <row r="146" spans="2:16" x14ac:dyDescent="0.25">
      <c r="B146" s="168" t="s">
        <v>145</v>
      </c>
      <c r="C146" s="169">
        <f t="shared" ref="C146:H146" si="65">C138-SUM(C139:C145)</f>
        <v>48076</v>
      </c>
      <c r="D146" s="169">
        <f t="shared" si="65"/>
        <v>52520</v>
      </c>
      <c r="E146" s="169">
        <f t="shared" si="65"/>
        <v>21884</v>
      </c>
      <c r="F146" s="169">
        <f t="shared" si="65"/>
        <v>34040</v>
      </c>
      <c r="G146" s="169">
        <f t="shared" si="65"/>
        <v>68030</v>
      </c>
      <c r="H146" s="169">
        <f t="shared" si="65"/>
        <v>73928</v>
      </c>
      <c r="I146" s="170">
        <f t="shared" si="63"/>
        <v>8.6697045421137764E-2</v>
      </c>
      <c r="J146" s="171">
        <f t="shared" si="60"/>
        <v>2.3781758362273808</v>
      </c>
      <c r="K146" s="169">
        <f>H146-G146</f>
        <v>5898</v>
      </c>
      <c r="L146" s="169">
        <f t="shared" si="62"/>
        <v>52044</v>
      </c>
      <c r="M146" s="170">
        <f t="shared" si="64"/>
        <v>1.424759101658628E-2</v>
      </c>
    </row>
    <row r="147" spans="2:16" x14ac:dyDescent="0.25">
      <c r="B147" s="153" t="s">
        <v>53</v>
      </c>
      <c r="C147" s="151"/>
      <c r="D147" s="151"/>
      <c r="E147" s="151"/>
      <c r="F147" s="151"/>
      <c r="G147" s="151"/>
      <c r="H147" s="152"/>
      <c r="I147" s="152"/>
      <c r="J147" s="152"/>
      <c r="K147" s="152"/>
      <c r="L147" s="151"/>
      <c r="M147" s="151"/>
      <c r="N147" s="125"/>
      <c r="O147" s="125"/>
      <c r="P147" s="125"/>
    </row>
    <row r="148" spans="2:16" x14ac:dyDescent="0.25">
      <c r="B148" s="154" t="s">
        <v>68</v>
      </c>
      <c r="C148" s="155">
        <v>128565</v>
      </c>
      <c r="D148" s="155">
        <v>126097</v>
      </c>
      <c r="E148" s="155">
        <v>43425</v>
      </c>
      <c r="F148" s="155">
        <v>71959</v>
      </c>
      <c r="G148" s="155">
        <v>111437</v>
      </c>
      <c r="H148" s="155">
        <v>123198</v>
      </c>
      <c r="I148" s="156">
        <f>IFERROR(H148/G148-1,"-")</f>
        <v>0.10553945278498156</v>
      </c>
      <c r="J148" s="156">
        <f>IFERROR(H148/E148-1,"-")</f>
        <v>1.8370293609671848</v>
      </c>
      <c r="K148" s="155">
        <f>H148-G148</f>
        <v>11761</v>
      </c>
      <c r="L148" s="155">
        <f>H148-E148</f>
        <v>79773</v>
      </c>
      <c r="M148" s="156">
        <f>H148/H$8</f>
        <v>2.3743029948888057E-2</v>
      </c>
      <c r="N148" s="105"/>
      <c r="O148" s="105"/>
      <c r="P148" s="105"/>
    </row>
    <row r="149" spans="2:16" x14ac:dyDescent="0.25">
      <c r="B149" s="157" t="s">
        <v>97</v>
      </c>
      <c r="C149" s="158">
        <v>52082</v>
      </c>
      <c r="D149" s="158">
        <v>54208</v>
      </c>
      <c r="E149" s="158">
        <v>22164</v>
      </c>
      <c r="F149" s="158">
        <v>40392</v>
      </c>
      <c r="G149" s="158">
        <v>57756</v>
      </c>
      <c r="H149" s="158">
        <v>59696</v>
      </c>
      <c r="I149" s="159">
        <f>IFERROR(H149/G149-1,"-")</f>
        <v>3.3589583766188813E-2</v>
      </c>
      <c r="J149" s="160">
        <f t="shared" ref="J149:J160" si="66">IFERROR(H149/E149-1,"-")</f>
        <v>1.6933766468146545</v>
      </c>
      <c r="K149" s="158">
        <f t="shared" ref="K149:K159" si="67">H149-G149</f>
        <v>1940</v>
      </c>
      <c r="L149" s="158">
        <f t="shared" ref="L149:L160" si="68">H149-E149</f>
        <v>37532</v>
      </c>
      <c r="M149" s="159">
        <f>H149/H$8</f>
        <v>1.1504764004519729E-2</v>
      </c>
    </row>
    <row r="150" spans="2:16" x14ac:dyDescent="0.25">
      <c r="B150" s="162" t="s">
        <v>103</v>
      </c>
      <c r="C150" s="163">
        <v>31773</v>
      </c>
      <c r="D150" s="163">
        <v>32990</v>
      </c>
      <c r="E150" s="163">
        <v>14597</v>
      </c>
      <c r="F150" s="163">
        <v>32366</v>
      </c>
      <c r="G150" s="163">
        <v>41603</v>
      </c>
      <c r="H150" s="163">
        <v>44199</v>
      </c>
      <c r="I150" s="164">
        <f>IFERROR(H150/G150-1,"-")</f>
        <v>6.2399346200995076E-2</v>
      </c>
      <c r="J150" s="165">
        <f t="shared" si="66"/>
        <v>2.0279509488251009</v>
      </c>
      <c r="K150" s="163">
        <f t="shared" si="67"/>
        <v>2596</v>
      </c>
      <c r="L150" s="163">
        <f t="shared" si="68"/>
        <v>29602</v>
      </c>
      <c r="M150" s="164">
        <f>H150/H$8</f>
        <v>8.5181429951046543E-3</v>
      </c>
    </row>
    <row r="151" spans="2:16" x14ac:dyDescent="0.25">
      <c r="B151" s="162" t="s">
        <v>100</v>
      </c>
      <c r="C151" s="163">
        <v>20309</v>
      </c>
      <c r="D151" s="163">
        <v>21218</v>
      </c>
      <c r="E151" s="163">
        <v>7567</v>
      </c>
      <c r="F151" s="163">
        <v>8026</v>
      </c>
      <c r="G151" s="163">
        <v>16153</v>
      </c>
      <c r="H151" s="163">
        <v>15497</v>
      </c>
      <c r="I151" s="164">
        <f>IFERROR(H151/G151-1,"-")</f>
        <v>-4.0611651086485456E-2</v>
      </c>
      <c r="J151" s="165">
        <f t="shared" si="66"/>
        <v>1.0479714550019823</v>
      </c>
      <c r="K151" s="163">
        <f t="shared" si="67"/>
        <v>-656</v>
      </c>
      <c r="L151" s="163">
        <f t="shared" si="68"/>
        <v>7930</v>
      </c>
      <c r="M151" s="164">
        <f>H151/H$8</f>
        <v>2.9866210094150738E-3</v>
      </c>
    </row>
    <row r="152" spans="2:16" x14ac:dyDescent="0.25">
      <c r="B152" s="157" t="s">
        <v>107</v>
      </c>
      <c r="C152" s="158">
        <v>76483</v>
      </c>
      <c r="D152" s="158">
        <v>71889</v>
      </c>
      <c r="E152" s="158">
        <v>21261</v>
      </c>
      <c r="F152" s="158">
        <v>31567</v>
      </c>
      <c r="G152" s="158">
        <v>53681</v>
      </c>
      <c r="H152" s="158">
        <v>63502</v>
      </c>
      <c r="I152" s="159">
        <f>IFERROR(H152/G152-1,"-")</f>
        <v>0.18295113727389589</v>
      </c>
      <c r="J152" s="160">
        <f t="shared" si="66"/>
        <v>1.9867833121678191</v>
      </c>
      <c r="K152" s="158">
        <f t="shared" si="67"/>
        <v>9821</v>
      </c>
      <c r="L152" s="158">
        <f t="shared" si="68"/>
        <v>42241</v>
      </c>
      <c r="M152" s="159">
        <f>H152/H$8</f>
        <v>1.223826594436833E-2</v>
      </c>
    </row>
    <row r="153" spans="2:16" x14ac:dyDescent="0.25">
      <c r="B153" s="162" t="s">
        <v>110</v>
      </c>
      <c r="C153" s="163">
        <v>22776</v>
      </c>
      <c r="D153" s="163">
        <v>21798</v>
      </c>
      <c r="E153" s="163">
        <v>5789</v>
      </c>
      <c r="F153" s="163">
        <v>5609</v>
      </c>
      <c r="G153" s="163">
        <v>19238</v>
      </c>
      <c r="H153" s="163">
        <v>18996</v>
      </c>
      <c r="I153" s="164">
        <f t="shared" ref="I153:I160" si="69">IFERROR(H153/G153-1,"-")</f>
        <v>-1.2579270194406855E-2</v>
      </c>
      <c r="J153" s="165">
        <f t="shared" si="66"/>
        <v>2.2813957505614098</v>
      </c>
      <c r="K153" s="163">
        <f t="shared" si="67"/>
        <v>-242</v>
      </c>
      <c r="L153" s="163">
        <f t="shared" si="68"/>
        <v>13207</v>
      </c>
      <c r="M153" s="164">
        <f t="shared" ref="M153:M160" si="70">H153/H$8</f>
        <v>3.6609571333063649E-3</v>
      </c>
    </row>
    <row r="154" spans="2:16" x14ac:dyDescent="0.25">
      <c r="B154" s="162" t="s">
        <v>113</v>
      </c>
      <c r="C154" s="163">
        <v>22752</v>
      </c>
      <c r="D154" s="163">
        <v>18523</v>
      </c>
      <c r="E154" s="163">
        <v>5079</v>
      </c>
      <c r="F154" s="163">
        <v>8623</v>
      </c>
      <c r="G154" s="163">
        <v>11385</v>
      </c>
      <c r="H154" s="163">
        <v>12605</v>
      </c>
      <c r="I154" s="164">
        <f t="shared" si="69"/>
        <v>0.10715854194115071</v>
      </c>
      <c r="J154" s="165">
        <f t="shared" si="66"/>
        <v>1.4817877534947823</v>
      </c>
      <c r="K154" s="163">
        <f t="shared" si="67"/>
        <v>1220</v>
      </c>
      <c r="L154" s="163">
        <f t="shared" si="68"/>
        <v>7526</v>
      </c>
      <c r="M154" s="164">
        <f t="shared" si="70"/>
        <v>2.4292674597455638E-3</v>
      </c>
    </row>
    <row r="155" spans="2:16" x14ac:dyDescent="0.25">
      <c r="B155" s="162" t="s">
        <v>116</v>
      </c>
      <c r="C155" s="163">
        <v>11086</v>
      </c>
      <c r="D155" s="163">
        <v>9905</v>
      </c>
      <c r="E155" s="163">
        <v>2317</v>
      </c>
      <c r="F155" s="163">
        <v>5206</v>
      </c>
      <c r="G155" s="163">
        <v>6579</v>
      </c>
      <c r="H155" s="163">
        <v>10130</v>
      </c>
      <c r="I155" s="164">
        <f t="shared" si="69"/>
        <v>0.53974768201854384</v>
      </c>
      <c r="J155" s="165">
        <f t="shared" si="66"/>
        <v>3.3720328010358225</v>
      </c>
      <c r="K155" s="163">
        <f t="shared" si="67"/>
        <v>3551</v>
      </c>
      <c r="L155" s="163">
        <f t="shared" si="68"/>
        <v>7813</v>
      </c>
      <c r="M155" s="164">
        <f t="shared" si="70"/>
        <v>1.9522792040636702E-3</v>
      </c>
    </row>
    <row r="156" spans="2:16" x14ac:dyDescent="0.25">
      <c r="B156" s="162" t="s">
        <v>123</v>
      </c>
      <c r="C156" s="163">
        <v>1463</v>
      </c>
      <c r="D156" s="163">
        <v>1673</v>
      </c>
      <c r="E156" s="163">
        <v>600</v>
      </c>
      <c r="F156" s="163">
        <v>927</v>
      </c>
      <c r="G156" s="163">
        <v>1690</v>
      </c>
      <c r="H156" s="163">
        <v>2031</v>
      </c>
      <c r="I156" s="164">
        <f t="shared" si="69"/>
        <v>0.20177514792899398</v>
      </c>
      <c r="J156" s="165">
        <f t="shared" si="66"/>
        <v>2.3849999999999998</v>
      </c>
      <c r="K156" s="163">
        <f t="shared" si="67"/>
        <v>341</v>
      </c>
      <c r="L156" s="163">
        <f t="shared" si="68"/>
        <v>1431</v>
      </c>
      <c r="M156" s="164">
        <f t="shared" si="70"/>
        <v>3.9141945345047525E-4</v>
      </c>
    </row>
    <row r="157" spans="2:16" x14ac:dyDescent="0.25">
      <c r="B157" s="162" t="s">
        <v>119</v>
      </c>
      <c r="C157" s="163">
        <v>2483</v>
      </c>
      <c r="D157" s="163">
        <v>3007</v>
      </c>
      <c r="E157" s="163">
        <v>1505</v>
      </c>
      <c r="F157" s="163">
        <v>1749</v>
      </c>
      <c r="G157" s="163">
        <v>2959</v>
      </c>
      <c r="H157" s="163">
        <v>3062</v>
      </c>
      <c r="I157" s="164">
        <f t="shared" si="69"/>
        <v>3.480905711388993E-2</v>
      </c>
      <c r="J157" s="165">
        <f t="shared" si="66"/>
        <v>1.0345514950166113</v>
      </c>
      <c r="K157" s="163">
        <f t="shared" si="67"/>
        <v>103</v>
      </c>
      <c r="L157" s="163">
        <f t="shared" si="68"/>
        <v>1557</v>
      </c>
      <c r="M157" s="164">
        <f t="shared" si="70"/>
        <v>5.9011637935271061E-4</v>
      </c>
    </row>
    <row r="158" spans="2:16" x14ac:dyDescent="0.25">
      <c r="B158" s="162" t="s">
        <v>128</v>
      </c>
      <c r="C158" s="163">
        <v>443</v>
      </c>
      <c r="D158" s="163">
        <v>472</v>
      </c>
      <c r="E158" s="163">
        <v>354</v>
      </c>
      <c r="F158" s="163">
        <v>292</v>
      </c>
      <c r="G158" s="163">
        <v>497</v>
      </c>
      <c r="H158" s="163">
        <v>676</v>
      </c>
      <c r="I158" s="164">
        <f t="shared" si="69"/>
        <v>0.36016096579476864</v>
      </c>
      <c r="J158" s="165">
        <f t="shared" si="66"/>
        <v>0.90960451977401124</v>
      </c>
      <c r="K158" s="163">
        <f t="shared" si="67"/>
        <v>179</v>
      </c>
      <c r="L158" s="163">
        <f t="shared" si="68"/>
        <v>322</v>
      </c>
      <c r="M158" s="164">
        <f t="shared" si="70"/>
        <v>1.3028042862261018E-4</v>
      </c>
    </row>
    <row r="159" spans="2:16" x14ac:dyDescent="0.25">
      <c r="B159" s="162" t="s">
        <v>131</v>
      </c>
      <c r="C159" s="163">
        <v>1135</v>
      </c>
      <c r="D159" s="163">
        <v>1062</v>
      </c>
      <c r="E159" s="163">
        <v>441</v>
      </c>
      <c r="F159" s="163">
        <v>454</v>
      </c>
      <c r="G159" s="163">
        <v>656</v>
      </c>
      <c r="H159" s="163">
        <v>941</v>
      </c>
      <c r="I159" s="164">
        <f t="shared" si="69"/>
        <v>0.43445121951219523</v>
      </c>
      <c r="J159" s="165">
        <f t="shared" si="66"/>
        <v>1.1337868480725621</v>
      </c>
      <c r="K159" s="163">
        <f t="shared" si="67"/>
        <v>285</v>
      </c>
      <c r="L159" s="163">
        <f t="shared" si="68"/>
        <v>500</v>
      </c>
      <c r="M159" s="164">
        <f t="shared" si="70"/>
        <v>1.8135189842289373E-4</v>
      </c>
    </row>
    <row r="160" spans="2:16" x14ac:dyDescent="0.25">
      <c r="B160" s="168" t="s">
        <v>145</v>
      </c>
      <c r="C160" s="169">
        <f t="shared" ref="C160:H160" si="71">C152-SUM(C153:C159)</f>
        <v>14345</v>
      </c>
      <c r="D160" s="169">
        <f t="shared" si="71"/>
        <v>15449</v>
      </c>
      <c r="E160" s="169">
        <f t="shared" si="71"/>
        <v>5176</v>
      </c>
      <c r="F160" s="169">
        <f t="shared" si="71"/>
        <v>8707</v>
      </c>
      <c r="G160" s="169">
        <f t="shared" si="71"/>
        <v>10677</v>
      </c>
      <c r="H160" s="169">
        <f t="shared" si="71"/>
        <v>15061</v>
      </c>
      <c r="I160" s="170">
        <f t="shared" si="69"/>
        <v>0.41060222909056843</v>
      </c>
      <c r="J160" s="171">
        <f t="shared" si="66"/>
        <v>1.9097758887171561</v>
      </c>
      <c r="K160" s="169">
        <f>H160-G160</f>
        <v>4384</v>
      </c>
      <c r="L160" s="169">
        <f t="shared" si="68"/>
        <v>9885</v>
      </c>
      <c r="M160" s="170">
        <f t="shared" si="70"/>
        <v>2.9025939874040411E-3</v>
      </c>
    </row>
    <row r="161" spans="2:13" x14ac:dyDescent="0.25">
      <c r="B161" s="125"/>
      <c r="C161" s="125"/>
      <c r="D161" s="125"/>
      <c r="E161" s="125"/>
      <c r="F161" s="125"/>
      <c r="G161" s="125"/>
      <c r="H161" s="125"/>
      <c r="I161" s="125"/>
      <c r="J161" s="125"/>
      <c r="K161" s="125"/>
      <c r="L161" s="125"/>
      <c r="M161" s="125"/>
    </row>
    <row r="162" spans="2:13" x14ac:dyDescent="0.25">
      <c r="B162" s="105" t="s">
        <v>55</v>
      </c>
      <c r="C162" s="105"/>
      <c r="D162" s="105"/>
      <c r="E162" s="105"/>
      <c r="F162" s="105"/>
      <c r="G162" s="105"/>
      <c r="H162" s="105"/>
      <c r="I162" s="105"/>
      <c r="J162" s="105"/>
      <c r="K162" s="105"/>
      <c r="L162" s="105"/>
      <c r="M162" s="105"/>
    </row>
  </sheetData>
  <mergeCells count="2">
    <mergeCell ref="C5:M5"/>
    <mergeCell ref="Q5:AA5"/>
  </mergeCells>
  <pageMargins left="0.25" right="0.25" top="0.75" bottom="0.75" header="0.3" footer="0.3"/>
  <pageSetup paperSize="9" scale="20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34ACCD-D71A-4132-8E35-B45283186C40}">
  <sheetPr>
    <tabColor theme="7" tint="0.79998168889431442"/>
  </sheetPr>
  <dimension ref="A1:V165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11" width="13.7109375" customWidth="1"/>
    <col min="14" max="22" width="11.42578125" hidden="1" customWidth="1"/>
  </cols>
  <sheetData>
    <row r="1" spans="1:22" ht="42.75" customHeight="1" x14ac:dyDescent="0.25"/>
    <row r="2" spans="1:22" ht="18" customHeight="1" x14ac:dyDescent="0.25"/>
    <row r="3" spans="1:22" x14ac:dyDescent="0.25">
      <c r="B3" s="56"/>
    </row>
    <row r="6" spans="1:22" ht="42" customHeight="1" thickBot="1" x14ac:dyDescent="0.3">
      <c r="B6" s="270" t="str">
        <f>CONCATENATE("Viajeros entrados en los establecimientos alojativos de Tenerife según lugar de residencia y municipio de alojamiento (hotel + apartamento)")</f>
        <v>Viajeros entrados en los establecimientos alojativos de Tenerife según lugar de residencia y municipio de alojamiento (hotel + apartamento)</v>
      </c>
      <c r="C6" s="270"/>
      <c r="D6" s="270"/>
      <c r="E6" s="270"/>
      <c r="F6" s="270"/>
      <c r="G6" s="270"/>
      <c r="H6" s="270"/>
      <c r="I6" s="270"/>
      <c r="J6" s="270"/>
      <c r="K6" s="270"/>
      <c r="N6" s="270" t="s">
        <v>260</v>
      </c>
      <c r="O6" s="270"/>
      <c r="P6" s="270"/>
      <c r="Q6" s="270"/>
      <c r="R6" s="270"/>
      <c r="S6" s="270"/>
      <c r="T6" s="270"/>
      <c r="U6" s="270"/>
      <c r="V6" s="270"/>
    </row>
    <row r="7" spans="1:22" ht="6" customHeight="1" x14ac:dyDescent="0.25"/>
    <row r="8" spans="1:22" ht="15.75" x14ac:dyDescent="0.25">
      <c r="B8" s="143"/>
      <c r="C8" s="302" t="s">
        <v>43</v>
      </c>
      <c r="D8" s="303"/>
      <c r="E8" s="303"/>
      <c r="F8" s="303"/>
      <c r="G8" s="303"/>
      <c r="H8" s="303"/>
      <c r="I8" s="303"/>
      <c r="J8" s="303"/>
      <c r="K8" s="303"/>
    </row>
    <row r="9" spans="1:22" s="144" customFormat="1" ht="72" customHeight="1" x14ac:dyDescent="0.25">
      <c r="A9"/>
      <c r="B9" s="145"/>
      <c r="C9" s="172" t="s">
        <v>224</v>
      </c>
      <c r="D9" s="172" t="s">
        <v>235</v>
      </c>
      <c r="E9" s="172" t="s">
        <v>225</v>
      </c>
      <c r="F9" s="172" t="s">
        <v>226</v>
      </c>
      <c r="G9" s="172" t="s">
        <v>227</v>
      </c>
      <c r="H9" s="172" t="s">
        <v>228</v>
      </c>
      <c r="I9" s="173" t="str">
        <f>CONCATENATE("var. ",RIGHT(H9,2),"/",RIGHT(G9,2))</f>
        <v>var. 24/23</v>
      </c>
      <c r="J9" s="173" t="str">
        <f>CONCATENATE("var. ",RIGHT(H9,2),"/",RIGHT(C9,2))</f>
        <v>var. 24/19</v>
      </c>
      <c r="K9" s="173" t="str">
        <f>CONCATENATE("Cuota s/ total lugares de residencia ",RIGHT(H9,4))</f>
        <v>Cuota s/ total lugares de residencia 2024</v>
      </c>
      <c r="N9" s="145"/>
      <c r="O9" s="172" t="s">
        <v>224</v>
      </c>
      <c r="P9" s="172" t="s">
        <v>225</v>
      </c>
      <c r="Q9" s="172" t="s">
        <v>226</v>
      </c>
      <c r="R9" s="172" t="s">
        <v>227</v>
      </c>
      <c r="S9" s="172" t="s">
        <v>228</v>
      </c>
      <c r="T9" s="173" t="str">
        <f>CONCATENATE("var. ",RIGHT(S9,2),"/",RIGHT(R9,2))</f>
        <v>var. 24/23</v>
      </c>
      <c r="U9" s="173" t="str">
        <f>CONCATENATE("var. ",RIGHT(S9,2),"/",RIGHT(O9,2))</f>
        <v>var. 24/19</v>
      </c>
      <c r="V9" s="173" t="str">
        <f>CONCATENATE("Cuota s/ total lugares de residencia ",RIGHT(S9,4))</f>
        <v>Cuota s/ total lugares de residencia 2024</v>
      </c>
    </row>
    <row r="10" spans="1:22" x14ac:dyDescent="0.25">
      <c r="B10" s="150" t="s">
        <v>43</v>
      </c>
      <c r="C10" s="151"/>
      <c r="D10" s="151"/>
      <c r="E10" s="151"/>
      <c r="F10" s="151"/>
      <c r="G10" s="151"/>
      <c r="H10" s="151"/>
      <c r="I10" s="152"/>
      <c r="J10" s="152"/>
      <c r="K10" s="152"/>
      <c r="N10" s="153" t="s">
        <v>49</v>
      </c>
      <c r="O10" s="174"/>
      <c r="P10" s="174"/>
      <c r="Q10" s="174"/>
      <c r="R10" s="174"/>
      <c r="S10" s="174"/>
      <c r="T10" s="175"/>
      <c r="U10" s="175"/>
      <c r="V10" s="175"/>
    </row>
    <row r="11" spans="1:22" x14ac:dyDescent="0.25">
      <c r="B11" s="154" t="s">
        <v>68</v>
      </c>
      <c r="C11" s="176">
        <v>461475</v>
      </c>
      <c r="D11" s="176">
        <v>123422</v>
      </c>
      <c r="E11" s="176">
        <v>325738</v>
      </c>
      <c r="F11" s="176">
        <v>465229</v>
      </c>
      <c r="G11" s="176">
        <v>499749</v>
      </c>
      <c r="H11" s="176">
        <v>518511</v>
      </c>
      <c r="I11" s="177">
        <f t="shared" ref="I11:I23" si="0">IFERROR(H11/G11-1,"-")</f>
        <v>3.7542846508947569E-2</v>
      </c>
      <c r="J11" s="177">
        <f t="shared" ref="J11:J23" si="1">IFERROR(H11/C11-1,"-")</f>
        <v>0.12359499431171783</v>
      </c>
      <c r="K11" s="177">
        <f>H11/H11</f>
        <v>1</v>
      </c>
      <c r="L11" s="79"/>
      <c r="M11" s="79"/>
      <c r="N11" s="154" t="s">
        <v>68</v>
      </c>
      <c r="O11" s="176">
        <v>3949</v>
      </c>
      <c r="P11" s="176">
        <v>3996</v>
      </c>
      <c r="Q11" s="176">
        <v>4766</v>
      </c>
      <c r="R11" s="176">
        <v>4736</v>
      </c>
      <c r="S11" s="176">
        <v>5250</v>
      </c>
      <c r="T11" s="177">
        <f t="shared" ref="T11:T23" si="2">IFERROR(S11/R11-1,"-")</f>
        <v>0.10853040540540548</v>
      </c>
      <c r="U11" s="177">
        <f t="shared" ref="U11:U23" si="3">IFERROR(S11/O11-1,"-")</f>
        <v>0.32945049379589775</v>
      </c>
      <c r="V11" s="177">
        <f>S11/S11</f>
        <v>1</v>
      </c>
    </row>
    <row r="12" spans="1:22" x14ac:dyDescent="0.25">
      <c r="B12" s="157" t="s">
        <v>97</v>
      </c>
      <c r="C12" s="158">
        <v>107730</v>
      </c>
      <c r="D12" s="158">
        <v>78206</v>
      </c>
      <c r="E12" s="158">
        <v>107944</v>
      </c>
      <c r="F12" s="158">
        <v>106792</v>
      </c>
      <c r="G12" s="158">
        <v>113306</v>
      </c>
      <c r="H12" s="158">
        <v>112486</v>
      </c>
      <c r="I12" s="159">
        <f t="shared" si="0"/>
        <v>-7.2370395212962846E-3</v>
      </c>
      <c r="J12" s="160">
        <f t="shared" si="1"/>
        <v>4.4147405550914343E-2</v>
      </c>
      <c r="K12" s="159">
        <f>H12/H11</f>
        <v>0.21694043135054031</v>
      </c>
      <c r="L12" s="79"/>
      <c r="M12" s="79"/>
      <c r="N12" s="157" t="s">
        <v>97</v>
      </c>
      <c r="O12" s="158">
        <v>2858</v>
      </c>
      <c r="P12" s="158">
        <v>3108</v>
      </c>
      <c r="Q12" s="158">
        <v>3605</v>
      </c>
      <c r="R12" s="158">
        <v>3460</v>
      </c>
      <c r="S12" s="158">
        <v>4146</v>
      </c>
      <c r="T12" s="159">
        <f t="shared" si="2"/>
        <v>0.19826589595375732</v>
      </c>
      <c r="U12" s="160">
        <f t="shared" si="3"/>
        <v>0.45066480055983216</v>
      </c>
      <c r="V12" s="159">
        <f>S12/S11</f>
        <v>0.7897142857142857</v>
      </c>
    </row>
    <row r="13" spans="1:22" x14ac:dyDescent="0.25">
      <c r="B13" s="162" t="s">
        <v>103</v>
      </c>
      <c r="C13" s="163">
        <v>40072</v>
      </c>
      <c r="D13" s="163">
        <v>33289</v>
      </c>
      <c r="E13" s="163">
        <v>46433</v>
      </c>
      <c r="F13" s="163">
        <v>39705</v>
      </c>
      <c r="G13" s="163">
        <v>48831</v>
      </c>
      <c r="H13" s="163">
        <v>44712</v>
      </c>
      <c r="I13" s="164">
        <f t="shared" si="0"/>
        <v>-8.4352153345211067E-2</v>
      </c>
      <c r="J13" s="165">
        <f t="shared" si="1"/>
        <v>0.11579157516470362</v>
      </c>
      <c r="K13" s="164">
        <f>H13/H11</f>
        <v>8.6231536071558756E-2</v>
      </c>
      <c r="L13" s="79"/>
      <c r="M13" s="79"/>
      <c r="N13" s="162" t="s">
        <v>103</v>
      </c>
      <c r="O13" s="163">
        <v>1437</v>
      </c>
      <c r="P13" s="163">
        <v>1461</v>
      </c>
      <c r="Q13" s="163">
        <v>1690</v>
      </c>
      <c r="R13" s="163">
        <v>945</v>
      </c>
      <c r="S13" s="163">
        <v>1760</v>
      </c>
      <c r="T13" s="164">
        <f t="shared" si="2"/>
        <v>0.86243386243386233</v>
      </c>
      <c r="U13" s="165">
        <f t="shared" si="3"/>
        <v>0.22477383437717458</v>
      </c>
      <c r="V13" s="164">
        <f>S13/S11</f>
        <v>0.33523809523809522</v>
      </c>
    </row>
    <row r="14" spans="1:22" x14ac:dyDescent="0.25">
      <c r="B14" s="162" t="s">
        <v>100</v>
      </c>
      <c r="C14" s="163">
        <v>67658</v>
      </c>
      <c r="D14" s="163">
        <v>44917</v>
      </c>
      <c r="E14" s="163">
        <v>61511</v>
      </c>
      <c r="F14" s="163">
        <v>67087</v>
      </c>
      <c r="G14" s="163">
        <v>64475</v>
      </c>
      <c r="H14" s="163">
        <v>67774</v>
      </c>
      <c r="I14" s="164">
        <f t="shared" si="0"/>
        <v>5.1167119038386888E-2</v>
      </c>
      <c r="J14" s="165">
        <f t="shared" si="1"/>
        <v>1.7145053060982907E-3</v>
      </c>
      <c r="K14" s="164">
        <f>H14/H11</f>
        <v>0.13070889527898155</v>
      </c>
      <c r="L14" s="79"/>
      <c r="M14" s="79"/>
      <c r="N14" s="162" t="s">
        <v>100</v>
      </c>
      <c r="O14" s="163">
        <v>1421</v>
      </c>
      <c r="P14" s="163">
        <v>1647</v>
      </c>
      <c r="Q14" s="163">
        <v>1915</v>
      </c>
      <c r="R14" s="163">
        <v>2515</v>
      </c>
      <c r="S14" s="163">
        <v>2386</v>
      </c>
      <c r="T14" s="164">
        <f t="shared" si="2"/>
        <v>-5.1292246520874718E-2</v>
      </c>
      <c r="U14" s="165">
        <f t="shared" si="3"/>
        <v>0.67909922589725547</v>
      </c>
      <c r="V14" s="164">
        <f>S14/S11</f>
        <v>0.45447619047619048</v>
      </c>
    </row>
    <row r="15" spans="1:22" x14ac:dyDescent="0.25">
      <c r="B15" s="157" t="s">
        <v>107</v>
      </c>
      <c r="C15" s="158">
        <v>353745</v>
      </c>
      <c r="D15" s="158">
        <v>45216</v>
      </c>
      <c r="E15" s="158">
        <v>217794</v>
      </c>
      <c r="F15" s="158">
        <v>358437</v>
      </c>
      <c r="G15" s="158">
        <v>386443</v>
      </c>
      <c r="H15" s="158">
        <v>406025</v>
      </c>
      <c r="I15" s="159">
        <f t="shared" si="0"/>
        <v>5.067241481926188E-2</v>
      </c>
      <c r="J15" s="160">
        <f t="shared" si="1"/>
        <v>0.14779007477137496</v>
      </c>
      <c r="K15" s="159">
        <f>H15/H11</f>
        <v>0.78305956864945969</v>
      </c>
      <c r="L15" s="79"/>
      <c r="M15" s="79"/>
      <c r="N15" s="157" t="s">
        <v>107</v>
      </c>
      <c r="O15" s="158">
        <v>1091</v>
      </c>
      <c r="P15" s="158">
        <v>888</v>
      </c>
      <c r="Q15" s="158">
        <v>1161</v>
      </c>
      <c r="R15" s="158">
        <v>1276</v>
      </c>
      <c r="S15" s="158">
        <v>1104</v>
      </c>
      <c r="T15" s="159">
        <f t="shared" si="2"/>
        <v>-0.13479623824451414</v>
      </c>
      <c r="U15" s="160">
        <f t="shared" si="3"/>
        <v>1.1915673693858819E-2</v>
      </c>
      <c r="V15" s="159">
        <f>S15/S11</f>
        <v>0.2102857142857143</v>
      </c>
    </row>
    <row r="16" spans="1:22" x14ac:dyDescent="0.25">
      <c r="B16" s="162" t="s">
        <v>110</v>
      </c>
      <c r="C16" s="163">
        <v>178903</v>
      </c>
      <c r="D16" s="163">
        <v>12290</v>
      </c>
      <c r="E16" s="163">
        <v>77013</v>
      </c>
      <c r="F16" s="163">
        <v>190060</v>
      </c>
      <c r="G16" s="163">
        <v>208939</v>
      </c>
      <c r="H16" s="163">
        <v>216324</v>
      </c>
      <c r="I16" s="164">
        <f t="shared" si="0"/>
        <v>3.5345244305754253E-2</v>
      </c>
      <c r="J16" s="165">
        <f t="shared" si="1"/>
        <v>0.20916921460232629</v>
      </c>
      <c r="K16" s="164">
        <f>H16/H11</f>
        <v>0.41720233514814536</v>
      </c>
      <c r="L16" s="79"/>
      <c r="M16" s="79"/>
      <c r="N16" s="162" t="s">
        <v>110</v>
      </c>
      <c r="O16" s="163">
        <v>148</v>
      </c>
      <c r="P16" s="163">
        <v>81</v>
      </c>
      <c r="Q16" s="163">
        <v>179</v>
      </c>
      <c r="R16" s="163">
        <v>167</v>
      </c>
      <c r="S16" s="163">
        <v>134</v>
      </c>
      <c r="T16" s="164">
        <f t="shared" si="2"/>
        <v>-0.19760479041916168</v>
      </c>
      <c r="U16" s="165">
        <f t="shared" si="3"/>
        <v>-9.4594594594594628E-2</v>
      </c>
      <c r="V16" s="164">
        <f>S16/S11</f>
        <v>2.5523809523809525E-2</v>
      </c>
    </row>
    <row r="17" spans="1:22" x14ac:dyDescent="0.25">
      <c r="B17" s="162" t="s">
        <v>113</v>
      </c>
      <c r="C17" s="163">
        <v>49048</v>
      </c>
      <c r="D17" s="163">
        <v>3983</v>
      </c>
      <c r="E17" s="163">
        <v>35334</v>
      </c>
      <c r="F17" s="163">
        <v>35336</v>
      </c>
      <c r="G17" s="163">
        <v>38233</v>
      </c>
      <c r="H17" s="163">
        <v>37362</v>
      </c>
      <c r="I17" s="164">
        <f t="shared" si="0"/>
        <v>-2.2781366882012932E-2</v>
      </c>
      <c r="J17" s="165">
        <f t="shared" si="1"/>
        <v>-0.23825640189202413</v>
      </c>
      <c r="K17" s="164">
        <f>H17/H11</f>
        <v>7.2056330531078419E-2</v>
      </c>
      <c r="L17" s="79"/>
      <c r="M17" s="79"/>
      <c r="N17" s="162" t="s">
        <v>113</v>
      </c>
      <c r="O17" s="163">
        <v>194</v>
      </c>
      <c r="P17" s="163">
        <v>227</v>
      </c>
      <c r="Q17" s="163">
        <v>257</v>
      </c>
      <c r="R17" s="163">
        <v>257</v>
      </c>
      <c r="S17" s="163">
        <v>258</v>
      </c>
      <c r="T17" s="164">
        <f t="shared" si="2"/>
        <v>3.8910505836575737E-3</v>
      </c>
      <c r="U17" s="165">
        <f t="shared" si="3"/>
        <v>0.32989690721649478</v>
      </c>
      <c r="V17" s="164">
        <f>S17/S11</f>
        <v>4.9142857142857141E-2</v>
      </c>
    </row>
    <row r="18" spans="1:22" x14ac:dyDescent="0.25">
      <c r="B18" s="162" t="s">
        <v>116</v>
      </c>
      <c r="C18" s="163">
        <v>14012</v>
      </c>
      <c r="D18" s="163">
        <v>2626</v>
      </c>
      <c r="E18" s="163">
        <v>11705</v>
      </c>
      <c r="F18" s="163">
        <v>16234</v>
      </c>
      <c r="G18" s="163">
        <v>18305</v>
      </c>
      <c r="H18" s="163">
        <v>17983</v>
      </c>
      <c r="I18" s="164">
        <f t="shared" si="0"/>
        <v>-1.7590822179732291E-2</v>
      </c>
      <c r="J18" s="165">
        <f t="shared" si="1"/>
        <v>0.2833999429060805</v>
      </c>
      <c r="K18" s="164">
        <f>H18/H11</f>
        <v>3.4682002889041892E-2</v>
      </c>
      <c r="L18" s="79"/>
      <c r="M18" s="79"/>
      <c r="N18" s="162" t="s">
        <v>116</v>
      </c>
      <c r="O18" s="163">
        <v>217</v>
      </c>
      <c r="P18" s="163">
        <v>188</v>
      </c>
      <c r="Q18" s="163">
        <v>162</v>
      </c>
      <c r="R18" s="163">
        <v>224</v>
      </c>
      <c r="S18" s="163">
        <v>166</v>
      </c>
      <c r="T18" s="164">
        <f t="shared" si="2"/>
        <v>-0.2589285714285714</v>
      </c>
      <c r="U18" s="165">
        <f t="shared" si="3"/>
        <v>-0.23502304147465436</v>
      </c>
      <c r="V18" s="164">
        <f>S18/S11</f>
        <v>3.1619047619047616E-2</v>
      </c>
    </row>
    <row r="19" spans="1:22" x14ac:dyDescent="0.25">
      <c r="B19" s="162" t="s">
        <v>123</v>
      </c>
      <c r="C19" s="163">
        <v>12530</v>
      </c>
      <c r="D19" s="163">
        <v>626</v>
      </c>
      <c r="E19" s="163">
        <v>16171</v>
      </c>
      <c r="F19" s="163">
        <v>17018</v>
      </c>
      <c r="G19" s="163">
        <v>17333</v>
      </c>
      <c r="H19" s="163">
        <v>16397</v>
      </c>
      <c r="I19" s="164">
        <f t="shared" si="0"/>
        <v>-5.4001038481509278E-2</v>
      </c>
      <c r="J19" s="165">
        <f t="shared" si="1"/>
        <v>0.3086193136472466</v>
      </c>
      <c r="K19" s="164">
        <f>H19/H11</f>
        <v>3.1623244251327357E-2</v>
      </c>
      <c r="L19" s="79"/>
      <c r="M19" s="79"/>
      <c r="N19" s="162" t="s">
        <v>123</v>
      </c>
      <c r="O19" s="163">
        <v>44</v>
      </c>
      <c r="P19" s="163">
        <v>46</v>
      </c>
      <c r="Q19" s="163">
        <v>73</v>
      </c>
      <c r="R19" s="163">
        <v>44</v>
      </c>
      <c r="S19" s="163">
        <v>36</v>
      </c>
      <c r="T19" s="164">
        <f t="shared" si="2"/>
        <v>-0.18181818181818177</v>
      </c>
      <c r="U19" s="165">
        <f t="shared" si="3"/>
        <v>-0.18181818181818177</v>
      </c>
      <c r="V19" s="164">
        <f>S19/S11</f>
        <v>6.8571428571428568E-3</v>
      </c>
    </row>
    <row r="20" spans="1:22" x14ac:dyDescent="0.25">
      <c r="B20" s="162" t="s">
        <v>119</v>
      </c>
      <c r="C20" s="163">
        <v>12175</v>
      </c>
      <c r="D20" s="163">
        <v>9333</v>
      </c>
      <c r="E20" s="163">
        <v>14403</v>
      </c>
      <c r="F20" s="163">
        <v>12868</v>
      </c>
      <c r="G20" s="163">
        <v>13370</v>
      </c>
      <c r="H20" s="163">
        <v>13293</v>
      </c>
      <c r="I20" s="164">
        <f t="shared" si="0"/>
        <v>-5.7591623036649109E-3</v>
      </c>
      <c r="J20" s="165">
        <f t="shared" si="1"/>
        <v>9.1827515400410675E-2</v>
      </c>
      <c r="K20" s="164">
        <f>H20/H11</f>
        <v>2.5636871734640153E-2</v>
      </c>
      <c r="L20" s="79"/>
      <c r="M20" s="79"/>
      <c r="N20" s="162" t="s">
        <v>119</v>
      </c>
      <c r="O20" s="163">
        <v>16</v>
      </c>
      <c r="P20" s="163">
        <v>37</v>
      </c>
      <c r="Q20" s="163">
        <v>34</v>
      </c>
      <c r="R20" s="163">
        <v>45</v>
      </c>
      <c r="S20" s="163">
        <v>46</v>
      </c>
      <c r="T20" s="164">
        <f t="shared" si="2"/>
        <v>2.2222222222222143E-2</v>
      </c>
      <c r="U20" s="165">
        <f t="shared" si="3"/>
        <v>1.875</v>
      </c>
      <c r="V20" s="164">
        <f>S20/S11</f>
        <v>8.7619047619047624E-3</v>
      </c>
    </row>
    <row r="21" spans="1:22" x14ac:dyDescent="0.25">
      <c r="B21" s="162" t="s">
        <v>128</v>
      </c>
      <c r="C21" s="163">
        <v>2171</v>
      </c>
      <c r="D21" s="163">
        <v>53</v>
      </c>
      <c r="E21" s="163">
        <v>1052</v>
      </c>
      <c r="F21" s="163">
        <v>1557</v>
      </c>
      <c r="G21" s="163">
        <v>1535</v>
      </c>
      <c r="H21" s="163">
        <v>1846</v>
      </c>
      <c r="I21" s="164">
        <f t="shared" si="0"/>
        <v>0.20260586319218232</v>
      </c>
      <c r="J21" s="165">
        <f t="shared" si="1"/>
        <v>-0.14970059880239517</v>
      </c>
      <c r="K21" s="164">
        <f>H21/H11</f>
        <v>3.5601944799628165E-3</v>
      </c>
      <c r="L21" s="79"/>
      <c r="M21" s="79"/>
      <c r="N21" s="162" t="s">
        <v>128</v>
      </c>
      <c r="O21" s="163">
        <v>2</v>
      </c>
      <c r="P21" s="163">
        <v>1</v>
      </c>
      <c r="Q21" s="163">
        <v>9</v>
      </c>
      <c r="R21" s="163">
        <v>4</v>
      </c>
      <c r="S21" s="163">
        <v>13</v>
      </c>
      <c r="T21" s="164">
        <f t="shared" si="2"/>
        <v>2.25</v>
      </c>
      <c r="U21" s="165">
        <f t="shared" si="3"/>
        <v>5.5</v>
      </c>
      <c r="V21" s="164">
        <f>S21/S11</f>
        <v>2.476190476190476E-3</v>
      </c>
    </row>
    <row r="22" spans="1:22" x14ac:dyDescent="0.25">
      <c r="A22" s="167"/>
      <c r="B22" s="162" t="s">
        <v>131</v>
      </c>
      <c r="C22" s="163">
        <v>1515</v>
      </c>
      <c r="D22" s="163">
        <v>136</v>
      </c>
      <c r="E22" s="163">
        <v>320</v>
      </c>
      <c r="F22" s="163">
        <v>821</v>
      </c>
      <c r="G22" s="163">
        <v>1131</v>
      </c>
      <c r="H22" s="163">
        <v>638</v>
      </c>
      <c r="I22" s="164">
        <f t="shared" si="0"/>
        <v>-0.4358974358974359</v>
      </c>
      <c r="J22" s="165">
        <f t="shared" si="1"/>
        <v>-0.5788778877887788</v>
      </c>
      <c r="K22" s="164">
        <f>H22/H11</f>
        <v>1.2304464129015585E-3</v>
      </c>
      <c r="L22" s="79"/>
      <c r="M22" s="79"/>
      <c r="N22" s="162" t="s">
        <v>131</v>
      </c>
      <c r="O22" s="163">
        <v>0</v>
      </c>
      <c r="P22" s="163">
        <v>10</v>
      </c>
      <c r="Q22" s="163">
        <v>6</v>
      </c>
      <c r="R22" s="163">
        <v>14</v>
      </c>
      <c r="S22" s="163">
        <v>10</v>
      </c>
      <c r="T22" s="164">
        <f t="shared" si="2"/>
        <v>-0.2857142857142857</v>
      </c>
      <c r="U22" s="165" t="str">
        <f t="shared" si="3"/>
        <v>-</v>
      </c>
      <c r="V22" s="164">
        <f>S22/S11</f>
        <v>1.9047619047619048E-3</v>
      </c>
    </row>
    <row r="23" spans="1:22" x14ac:dyDescent="0.25">
      <c r="B23" s="168" t="s">
        <v>145</v>
      </c>
      <c r="C23" s="169">
        <f t="shared" ref="C23:H23" si="4">C15-SUM(C16:C22)</f>
        <v>83391</v>
      </c>
      <c r="D23" s="169">
        <f t="shared" si="4"/>
        <v>16169</v>
      </c>
      <c r="E23" s="169">
        <f t="shared" si="4"/>
        <v>61796</v>
      </c>
      <c r="F23" s="169">
        <f t="shared" si="4"/>
        <v>84543</v>
      </c>
      <c r="G23" s="169">
        <f t="shared" si="4"/>
        <v>87597</v>
      </c>
      <c r="H23" s="169">
        <f t="shared" si="4"/>
        <v>102182</v>
      </c>
      <c r="I23" s="170">
        <f t="shared" si="0"/>
        <v>0.16650113588364901</v>
      </c>
      <c r="J23" s="171">
        <f t="shared" si="1"/>
        <v>0.2253360674413305</v>
      </c>
      <c r="K23" s="170">
        <f>H23/H11</f>
        <v>0.19706814320236216</v>
      </c>
      <c r="L23" s="125"/>
      <c r="M23" s="125"/>
      <c r="N23" s="168" t="s">
        <v>145</v>
      </c>
      <c r="O23" s="169">
        <f>O15-SUM(O16:O22)</f>
        <v>470</v>
      </c>
      <c r="P23" s="169">
        <f>P15-SUM(P16:P22)</f>
        <v>298</v>
      </c>
      <c r="Q23" s="169">
        <f>Q15-SUM(Q16:Q22)</f>
        <v>441</v>
      </c>
      <c r="R23" s="169">
        <f>R15-SUM(R16:R22)</f>
        <v>521</v>
      </c>
      <c r="S23" s="169">
        <f>S15-SUM(S16:S22)</f>
        <v>441</v>
      </c>
      <c r="T23" s="170">
        <f t="shared" si="2"/>
        <v>-0.15355086372360849</v>
      </c>
      <c r="U23" s="171">
        <f t="shared" si="3"/>
        <v>-6.1702127659574502E-2</v>
      </c>
      <c r="V23" s="170">
        <f>S23/S11</f>
        <v>8.4000000000000005E-2</v>
      </c>
    </row>
    <row r="24" spans="1:22" x14ac:dyDescent="0.25">
      <c r="B24" s="153" t="s">
        <v>44</v>
      </c>
      <c r="C24" s="174"/>
      <c r="D24" s="174"/>
      <c r="E24" s="174"/>
      <c r="F24" s="174"/>
      <c r="G24" s="174"/>
      <c r="H24" s="174"/>
      <c r="I24" s="175"/>
      <c r="J24" s="175"/>
      <c r="K24" s="175"/>
      <c r="L24" s="105"/>
      <c r="M24" s="105"/>
      <c r="N24" s="105"/>
      <c r="O24" s="105"/>
      <c r="P24" s="105"/>
      <c r="Q24" s="105"/>
      <c r="R24" s="105"/>
      <c r="S24" s="105"/>
      <c r="T24" s="105"/>
      <c r="U24" s="105"/>
    </row>
    <row r="25" spans="1:22" x14ac:dyDescent="0.25">
      <c r="B25" s="154" t="s">
        <v>68</v>
      </c>
      <c r="C25" s="176">
        <v>168508</v>
      </c>
      <c r="D25" s="176">
        <v>42210</v>
      </c>
      <c r="E25" s="176">
        <v>126117</v>
      </c>
      <c r="F25" s="176">
        <v>171345</v>
      </c>
      <c r="G25" s="176">
        <v>183654</v>
      </c>
      <c r="H25" s="176">
        <v>181999</v>
      </c>
      <c r="I25" s="177">
        <f t="shared" ref="I25:I37" si="5">IFERROR(H25/G25-1,"-")</f>
        <v>-9.0115107756977286E-3</v>
      </c>
      <c r="J25" s="177">
        <f t="shared" ref="J25:J37" si="6">IFERROR(H25/C25-1,"-")</f>
        <v>8.0061480760557302E-2</v>
      </c>
      <c r="K25" s="177">
        <f>H25/H25</f>
        <v>1</v>
      </c>
    </row>
    <row r="26" spans="1:22" x14ac:dyDescent="0.25">
      <c r="B26" s="157" t="s">
        <v>97</v>
      </c>
      <c r="C26" s="158">
        <v>26790</v>
      </c>
      <c r="D26" s="158">
        <v>26343</v>
      </c>
      <c r="E26" s="158">
        <v>30586</v>
      </c>
      <c r="F26" s="158">
        <v>22949</v>
      </c>
      <c r="G26" s="158">
        <v>20260</v>
      </c>
      <c r="H26" s="158">
        <v>18598</v>
      </c>
      <c r="I26" s="159">
        <f t="shared" si="5"/>
        <v>-8.2033563672260557E-2</v>
      </c>
      <c r="J26" s="160">
        <f t="shared" si="6"/>
        <v>-0.30578574094811495</v>
      </c>
      <c r="K26" s="159">
        <f>H26/H25</f>
        <v>0.1021873746559047</v>
      </c>
    </row>
    <row r="27" spans="1:22" x14ac:dyDescent="0.25">
      <c r="B27" s="162" t="s">
        <v>103</v>
      </c>
      <c r="C27" s="163">
        <v>13995</v>
      </c>
      <c r="D27" s="163">
        <v>16000</v>
      </c>
      <c r="E27" s="163">
        <v>12846</v>
      </c>
      <c r="F27" s="163">
        <v>8758</v>
      </c>
      <c r="G27" s="163">
        <v>7870</v>
      </c>
      <c r="H27" s="163">
        <v>6503</v>
      </c>
      <c r="I27" s="164">
        <f t="shared" si="5"/>
        <v>-0.17369758576874206</v>
      </c>
      <c r="J27" s="165">
        <f t="shared" si="6"/>
        <v>-0.53533404787424077</v>
      </c>
      <c r="K27" s="164">
        <f>H27/H25</f>
        <v>3.5730965554755793E-2</v>
      </c>
    </row>
    <row r="28" spans="1:22" x14ac:dyDescent="0.25">
      <c r="B28" s="162" t="s">
        <v>100</v>
      </c>
      <c r="C28" s="163">
        <v>12795</v>
      </c>
      <c r="D28" s="163">
        <v>10343</v>
      </c>
      <c r="E28" s="163">
        <v>17740</v>
      </c>
      <c r="F28" s="163">
        <v>14191</v>
      </c>
      <c r="G28" s="163">
        <v>12390</v>
      </c>
      <c r="H28" s="163">
        <v>12095</v>
      </c>
      <c r="I28" s="164">
        <f t="shared" si="5"/>
        <v>-2.3809523809523836E-2</v>
      </c>
      <c r="J28" s="165">
        <f t="shared" si="6"/>
        <v>-5.4708870652598662E-2</v>
      </c>
      <c r="K28" s="164">
        <f>H28/H25</f>
        <v>6.6456409101148903E-2</v>
      </c>
    </row>
    <row r="29" spans="1:22" x14ac:dyDescent="0.25">
      <c r="B29" s="157" t="s">
        <v>107</v>
      </c>
      <c r="C29" s="158">
        <v>141718</v>
      </c>
      <c r="D29" s="158">
        <v>15867</v>
      </c>
      <c r="E29" s="158">
        <v>95531</v>
      </c>
      <c r="F29" s="158">
        <v>148396</v>
      </c>
      <c r="G29" s="158">
        <v>163394</v>
      </c>
      <c r="H29" s="158">
        <v>163401</v>
      </c>
      <c r="I29" s="159">
        <f t="shared" si="5"/>
        <v>4.2841230400103569E-5</v>
      </c>
      <c r="J29" s="160">
        <f t="shared" si="6"/>
        <v>0.15300103021493383</v>
      </c>
      <c r="K29" s="159">
        <f>H29/H25</f>
        <v>0.89781262534409534</v>
      </c>
    </row>
    <row r="30" spans="1:22" x14ac:dyDescent="0.25">
      <c r="B30" s="162" t="s">
        <v>110</v>
      </c>
      <c r="C30" s="163">
        <v>74067</v>
      </c>
      <c r="D30" s="163">
        <v>4386</v>
      </c>
      <c r="E30" s="163">
        <v>35490</v>
      </c>
      <c r="F30" s="163">
        <v>85087</v>
      </c>
      <c r="G30" s="163">
        <v>95823</v>
      </c>
      <c r="H30" s="163">
        <v>94224</v>
      </c>
      <c r="I30" s="164">
        <f t="shared" si="5"/>
        <v>-1.6687016687016665E-2</v>
      </c>
      <c r="J30" s="165">
        <f t="shared" si="6"/>
        <v>0.272145489894285</v>
      </c>
      <c r="K30" s="164">
        <f>H30/H25</f>
        <v>0.51771713031390287</v>
      </c>
    </row>
    <row r="31" spans="1:22" x14ac:dyDescent="0.25">
      <c r="B31" s="162" t="s">
        <v>113</v>
      </c>
      <c r="C31" s="163">
        <v>21292</v>
      </c>
      <c r="D31" s="163">
        <v>1726</v>
      </c>
      <c r="E31" s="163">
        <v>19804</v>
      </c>
      <c r="F31" s="163">
        <v>16493</v>
      </c>
      <c r="G31" s="163">
        <v>17384</v>
      </c>
      <c r="H31" s="163">
        <v>16729</v>
      </c>
      <c r="I31" s="164">
        <f t="shared" si="5"/>
        <v>-3.7678324896456505E-2</v>
      </c>
      <c r="J31" s="165">
        <f t="shared" si="6"/>
        <v>-0.21430584256997931</v>
      </c>
      <c r="K31" s="164">
        <f>H31/H25</f>
        <v>9.1918087462019016E-2</v>
      </c>
    </row>
    <row r="32" spans="1:22" x14ac:dyDescent="0.25">
      <c r="B32" s="162" t="s">
        <v>116</v>
      </c>
      <c r="C32" s="163">
        <v>4039</v>
      </c>
      <c r="D32" s="163">
        <v>950</v>
      </c>
      <c r="E32" s="163">
        <v>3611</v>
      </c>
      <c r="F32" s="163">
        <v>5012</v>
      </c>
      <c r="G32" s="163">
        <v>5882</v>
      </c>
      <c r="H32" s="163">
        <v>3614</v>
      </c>
      <c r="I32" s="164">
        <f t="shared" si="5"/>
        <v>-0.38558313498809926</v>
      </c>
      <c r="J32" s="165">
        <f t="shared" si="6"/>
        <v>-0.10522406536271356</v>
      </c>
      <c r="K32" s="164">
        <f>H32/H25</f>
        <v>1.9857251962922873E-2</v>
      </c>
    </row>
    <row r="33" spans="2:11" x14ac:dyDescent="0.25">
      <c r="B33" s="162" t="s">
        <v>123</v>
      </c>
      <c r="C33" s="163">
        <v>5729</v>
      </c>
      <c r="D33" s="163">
        <v>256</v>
      </c>
      <c r="E33" s="163">
        <v>7659</v>
      </c>
      <c r="F33" s="163">
        <v>7424</v>
      </c>
      <c r="G33" s="163">
        <v>7152</v>
      </c>
      <c r="H33" s="163">
        <v>6638</v>
      </c>
      <c r="I33" s="164">
        <f t="shared" si="5"/>
        <v>-7.1868008948545836E-2</v>
      </c>
      <c r="J33" s="165">
        <f t="shared" si="6"/>
        <v>0.15866643393262359</v>
      </c>
      <c r="K33" s="164">
        <f>H33/H25</f>
        <v>3.6472727872131162E-2</v>
      </c>
    </row>
    <row r="34" spans="2:11" x14ac:dyDescent="0.25">
      <c r="B34" s="162" t="s">
        <v>119</v>
      </c>
      <c r="C34" s="163">
        <v>5623</v>
      </c>
      <c r="D34" s="163">
        <v>4260</v>
      </c>
      <c r="E34" s="163">
        <v>7782</v>
      </c>
      <c r="F34" s="163">
        <v>6516</v>
      </c>
      <c r="G34" s="163">
        <v>6621</v>
      </c>
      <c r="H34" s="163">
        <v>6812</v>
      </c>
      <c r="I34" s="164">
        <f t="shared" si="5"/>
        <v>2.8847606101797263E-2</v>
      </c>
      <c r="J34" s="165">
        <f t="shared" si="6"/>
        <v>0.21145296105281886</v>
      </c>
      <c r="K34" s="164">
        <f>H34/H25</f>
        <v>3.7428777081192757E-2</v>
      </c>
    </row>
    <row r="35" spans="2:11" x14ac:dyDescent="0.25">
      <c r="B35" s="162" t="s">
        <v>128</v>
      </c>
      <c r="C35" s="163">
        <v>1033</v>
      </c>
      <c r="D35" s="163">
        <v>1</v>
      </c>
      <c r="E35" s="163">
        <v>220</v>
      </c>
      <c r="F35" s="163">
        <v>564</v>
      </c>
      <c r="G35" s="163">
        <v>734</v>
      </c>
      <c r="H35" s="163">
        <v>961</v>
      </c>
      <c r="I35" s="164">
        <f t="shared" si="5"/>
        <v>0.30926430517711179</v>
      </c>
      <c r="J35" s="165">
        <f t="shared" si="6"/>
        <v>-6.9699903194578861E-2</v>
      </c>
      <c r="K35" s="164">
        <f>H35/H25</f>
        <v>5.2802487925757832E-3</v>
      </c>
    </row>
    <row r="36" spans="2:11" x14ac:dyDescent="0.25">
      <c r="B36" s="162" t="s">
        <v>131</v>
      </c>
      <c r="C36" s="163">
        <v>717</v>
      </c>
      <c r="D36" s="163">
        <v>20</v>
      </c>
      <c r="E36" s="163">
        <v>65</v>
      </c>
      <c r="F36" s="163">
        <v>431</v>
      </c>
      <c r="G36" s="163">
        <v>464</v>
      </c>
      <c r="H36" s="163">
        <v>235</v>
      </c>
      <c r="I36" s="164">
        <f t="shared" si="5"/>
        <v>-0.49353448275862066</v>
      </c>
      <c r="J36" s="165">
        <f t="shared" si="6"/>
        <v>-0.6722454672245467</v>
      </c>
      <c r="K36" s="164">
        <f>H36/H25</f>
        <v>1.2912158858015704E-3</v>
      </c>
    </row>
    <row r="37" spans="2:11" x14ac:dyDescent="0.25">
      <c r="B37" s="168" t="s">
        <v>145</v>
      </c>
      <c r="C37" s="169">
        <f t="shared" ref="C37:H37" si="7">C29-SUM(C30:C36)</f>
        <v>29218</v>
      </c>
      <c r="D37" s="169">
        <f t="shared" si="7"/>
        <v>4268</v>
      </c>
      <c r="E37" s="169">
        <f t="shared" si="7"/>
        <v>20900</v>
      </c>
      <c r="F37" s="169">
        <f t="shared" si="7"/>
        <v>26869</v>
      </c>
      <c r="G37" s="169">
        <f t="shared" si="7"/>
        <v>29334</v>
      </c>
      <c r="H37" s="169">
        <f t="shared" si="7"/>
        <v>34188</v>
      </c>
      <c r="I37" s="170">
        <f t="shared" si="5"/>
        <v>0.1654735119656372</v>
      </c>
      <c r="J37" s="171">
        <f t="shared" si="6"/>
        <v>0.17010062290368944</v>
      </c>
      <c r="K37" s="170">
        <f>H37/H25</f>
        <v>0.1878471859735493</v>
      </c>
    </row>
    <row r="38" spans="2:11" x14ac:dyDescent="0.25">
      <c r="B38" s="153" t="s">
        <v>45</v>
      </c>
      <c r="C38" s="174"/>
      <c r="D38" s="174"/>
      <c r="E38" s="174"/>
      <c r="F38" s="174"/>
      <c r="G38" s="174"/>
      <c r="H38" s="174"/>
      <c r="I38" s="175"/>
      <c r="J38" s="175"/>
      <c r="K38" s="175"/>
    </row>
    <row r="39" spans="2:11" x14ac:dyDescent="0.25">
      <c r="B39" s="154" t="s">
        <v>68</v>
      </c>
      <c r="C39" s="176">
        <v>122832</v>
      </c>
      <c r="D39" s="176">
        <v>21556</v>
      </c>
      <c r="E39" s="176">
        <v>68931</v>
      </c>
      <c r="F39" s="176">
        <v>125170</v>
      </c>
      <c r="G39" s="176">
        <v>128953</v>
      </c>
      <c r="H39" s="176">
        <v>134918</v>
      </c>
      <c r="I39" s="177">
        <f t="shared" ref="I39:I51" si="8">IFERROR(H39/G39-1,"-")</f>
        <v>4.6257163462656958E-2</v>
      </c>
      <c r="J39" s="177">
        <f t="shared" ref="J39:J51" si="9">IFERROR(H39/C39-1,"-")</f>
        <v>9.8394555164777797E-2</v>
      </c>
      <c r="K39" s="177">
        <f>H39/H39</f>
        <v>1</v>
      </c>
    </row>
    <row r="40" spans="2:11" x14ac:dyDescent="0.25">
      <c r="B40" s="157" t="s">
        <v>97</v>
      </c>
      <c r="C40" s="158">
        <v>10774</v>
      </c>
      <c r="D40" s="158">
        <v>7921</v>
      </c>
      <c r="E40" s="158">
        <v>9669</v>
      </c>
      <c r="F40" s="158">
        <v>12300</v>
      </c>
      <c r="G40" s="158">
        <v>12391</v>
      </c>
      <c r="H40" s="158">
        <v>12285</v>
      </c>
      <c r="I40" s="159">
        <f t="shared" si="8"/>
        <v>-8.5545960777984043E-3</v>
      </c>
      <c r="J40" s="160">
        <f t="shared" si="9"/>
        <v>0.14024503434193436</v>
      </c>
      <c r="K40" s="159">
        <f>H40/H39</f>
        <v>9.1055307668361521E-2</v>
      </c>
    </row>
    <row r="41" spans="2:11" x14ac:dyDescent="0.25">
      <c r="B41" s="162" t="s">
        <v>103</v>
      </c>
      <c r="C41" s="163">
        <v>3385</v>
      </c>
      <c r="D41" s="163">
        <v>4371</v>
      </c>
      <c r="E41" s="163">
        <v>2943</v>
      </c>
      <c r="F41" s="163">
        <v>4194</v>
      </c>
      <c r="G41" s="163">
        <v>5378</v>
      </c>
      <c r="H41" s="163">
        <v>5410</v>
      </c>
      <c r="I41" s="164">
        <f t="shared" si="8"/>
        <v>5.9501673484567696E-3</v>
      </c>
      <c r="J41" s="165">
        <f t="shared" si="9"/>
        <v>0.5982274741506648</v>
      </c>
      <c r="K41" s="164">
        <f>H41/H39</f>
        <v>4.0098430157577192E-2</v>
      </c>
    </row>
    <row r="42" spans="2:11" x14ac:dyDescent="0.25">
      <c r="B42" s="162" t="s">
        <v>100</v>
      </c>
      <c r="C42" s="163">
        <v>7389</v>
      </c>
      <c r="D42" s="163">
        <v>3550</v>
      </c>
      <c r="E42" s="163">
        <v>6726</v>
      </c>
      <c r="F42" s="163">
        <v>8106</v>
      </c>
      <c r="G42" s="163">
        <v>7013</v>
      </c>
      <c r="H42" s="163">
        <v>6875</v>
      </c>
      <c r="I42" s="164">
        <f t="shared" si="8"/>
        <v>-1.9677741337516097E-2</v>
      </c>
      <c r="J42" s="165">
        <f t="shared" si="9"/>
        <v>-6.9562863716335133E-2</v>
      </c>
      <c r="K42" s="164">
        <f>H42/H39</f>
        <v>5.0956877510784329E-2</v>
      </c>
    </row>
    <row r="43" spans="2:11" x14ac:dyDescent="0.25">
      <c r="B43" s="157" t="s">
        <v>107</v>
      </c>
      <c r="C43" s="158">
        <v>112058</v>
      </c>
      <c r="D43" s="158">
        <v>13635</v>
      </c>
      <c r="E43" s="158">
        <v>59262</v>
      </c>
      <c r="F43" s="158">
        <v>112870</v>
      </c>
      <c r="G43" s="158">
        <v>116562</v>
      </c>
      <c r="H43" s="158">
        <v>122633</v>
      </c>
      <c r="I43" s="159">
        <f t="shared" si="8"/>
        <v>5.2083869528662952E-2</v>
      </c>
      <c r="J43" s="160">
        <f t="shared" si="9"/>
        <v>9.4370772278641324E-2</v>
      </c>
      <c r="K43" s="159">
        <f>H43/H39</f>
        <v>0.90894469233163844</v>
      </c>
    </row>
    <row r="44" spans="2:11" x14ac:dyDescent="0.25">
      <c r="B44" s="162" t="s">
        <v>110</v>
      </c>
      <c r="C44" s="163">
        <v>72039</v>
      </c>
      <c r="D44" s="163">
        <v>5429</v>
      </c>
      <c r="E44" s="163">
        <v>27108</v>
      </c>
      <c r="F44" s="163">
        <v>68258</v>
      </c>
      <c r="G44" s="163">
        <v>72064</v>
      </c>
      <c r="H44" s="163">
        <v>76519</v>
      </c>
      <c r="I44" s="164">
        <f t="shared" si="8"/>
        <v>6.1820048845470765E-2</v>
      </c>
      <c r="J44" s="165">
        <f t="shared" si="9"/>
        <v>6.2188536764807845E-2</v>
      </c>
      <c r="K44" s="164">
        <f>H44/H39</f>
        <v>0.56715189967239366</v>
      </c>
    </row>
    <row r="45" spans="2:11" x14ac:dyDescent="0.25">
      <c r="B45" s="162" t="s">
        <v>113</v>
      </c>
      <c r="C45" s="163">
        <v>4749</v>
      </c>
      <c r="D45" s="163">
        <v>517</v>
      </c>
      <c r="E45" s="163">
        <v>3104</v>
      </c>
      <c r="F45" s="163">
        <v>3215</v>
      </c>
      <c r="G45" s="163">
        <v>3854</v>
      </c>
      <c r="H45" s="163">
        <v>3441</v>
      </c>
      <c r="I45" s="164">
        <f t="shared" si="8"/>
        <v>-0.10716139076284381</v>
      </c>
      <c r="J45" s="165">
        <f t="shared" si="9"/>
        <v>-0.27542640555906506</v>
      </c>
      <c r="K45" s="164">
        <f>H45/H39</f>
        <v>2.5504380438488565E-2</v>
      </c>
    </row>
    <row r="46" spans="2:11" x14ac:dyDescent="0.25">
      <c r="B46" s="162" t="s">
        <v>116</v>
      </c>
      <c r="C46" s="163">
        <v>1883</v>
      </c>
      <c r="D46" s="163">
        <v>424</v>
      </c>
      <c r="E46" s="163">
        <v>1620</v>
      </c>
      <c r="F46" s="163">
        <v>2240</v>
      </c>
      <c r="G46" s="163">
        <v>2611</v>
      </c>
      <c r="H46" s="163">
        <v>2354</v>
      </c>
      <c r="I46" s="164">
        <f t="shared" si="8"/>
        <v>-9.8429720413634625E-2</v>
      </c>
      <c r="J46" s="165">
        <f t="shared" si="9"/>
        <v>0.2501327668613913</v>
      </c>
      <c r="K46" s="164">
        <f>H46/H39</f>
        <v>1.7447634859692553E-2</v>
      </c>
    </row>
    <row r="47" spans="2:11" x14ac:dyDescent="0.25">
      <c r="B47" s="162" t="s">
        <v>123</v>
      </c>
      <c r="C47" s="163">
        <v>4925</v>
      </c>
      <c r="D47" s="163">
        <v>193</v>
      </c>
      <c r="E47" s="163">
        <v>5580</v>
      </c>
      <c r="F47" s="163">
        <v>6502</v>
      </c>
      <c r="G47" s="163">
        <v>6405</v>
      </c>
      <c r="H47" s="163">
        <v>5630</v>
      </c>
      <c r="I47" s="164">
        <f t="shared" si="8"/>
        <v>-0.12099921935987512</v>
      </c>
      <c r="J47" s="165">
        <f t="shared" si="9"/>
        <v>0.14314720812182746</v>
      </c>
      <c r="K47" s="164">
        <f>H47/H39</f>
        <v>4.1729050237922297E-2</v>
      </c>
    </row>
    <row r="48" spans="2:11" x14ac:dyDescent="0.25">
      <c r="B48" s="162" t="s">
        <v>119</v>
      </c>
      <c r="C48" s="163">
        <v>4362</v>
      </c>
      <c r="D48" s="163">
        <v>2567</v>
      </c>
      <c r="E48" s="163">
        <v>3905</v>
      </c>
      <c r="F48" s="163">
        <v>4026</v>
      </c>
      <c r="G48" s="163">
        <v>4643</v>
      </c>
      <c r="H48" s="163">
        <v>3835</v>
      </c>
      <c r="I48" s="164">
        <f t="shared" si="8"/>
        <v>-0.17402541460262766</v>
      </c>
      <c r="J48" s="165">
        <f t="shared" si="9"/>
        <v>-0.12081613938560298</v>
      </c>
      <c r="K48" s="164">
        <f>H48/H39</f>
        <v>2.8424672764197512E-2</v>
      </c>
    </row>
    <row r="49" spans="2:11" x14ac:dyDescent="0.25">
      <c r="B49" s="162" t="s">
        <v>128</v>
      </c>
      <c r="C49" s="163">
        <v>730</v>
      </c>
      <c r="D49" s="163">
        <v>9</v>
      </c>
      <c r="E49" s="163">
        <v>646</v>
      </c>
      <c r="F49" s="163">
        <v>625</v>
      </c>
      <c r="G49" s="163">
        <v>539</v>
      </c>
      <c r="H49" s="163">
        <v>547</v>
      </c>
      <c r="I49" s="164">
        <f t="shared" si="8"/>
        <v>1.4842300556586308E-2</v>
      </c>
      <c r="J49" s="165">
        <f t="shared" si="9"/>
        <v>-0.25068493150684934</v>
      </c>
      <c r="K49" s="164">
        <f>H49/H39</f>
        <v>4.0543144724944037E-3</v>
      </c>
    </row>
    <row r="50" spans="2:11" x14ac:dyDescent="0.25">
      <c r="B50" s="162" t="s">
        <v>131</v>
      </c>
      <c r="C50" s="163">
        <v>454</v>
      </c>
      <c r="D50" s="163">
        <v>35</v>
      </c>
      <c r="E50" s="163">
        <v>92</v>
      </c>
      <c r="F50" s="163">
        <v>134</v>
      </c>
      <c r="G50" s="163">
        <v>422</v>
      </c>
      <c r="H50" s="163">
        <v>113</v>
      </c>
      <c r="I50" s="164">
        <f t="shared" si="8"/>
        <v>-0.73222748815165883</v>
      </c>
      <c r="J50" s="165">
        <f t="shared" si="9"/>
        <v>-0.75110132158590304</v>
      </c>
      <c r="K50" s="164">
        <f>H50/H39</f>
        <v>8.375457685408915E-4</v>
      </c>
    </row>
    <row r="51" spans="2:11" x14ac:dyDescent="0.25">
      <c r="B51" s="168" t="s">
        <v>145</v>
      </c>
      <c r="C51" s="169">
        <f t="shared" ref="C51:H51" si="10">C43-SUM(C44:C50)</f>
        <v>22916</v>
      </c>
      <c r="D51" s="169">
        <f t="shared" si="10"/>
        <v>4461</v>
      </c>
      <c r="E51" s="169">
        <f t="shared" si="10"/>
        <v>17207</v>
      </c>
      <c r="F51" s="169">
        <f t="shared" si="10"/>
        <v>27870</v>
      </c>
      <c r="G51" s="169">
        <f t="shared" si="10"/>
        <v>26024</v>
      </c>
      <c r="H51" s="169">
        <f t="shared" si="10"/>
        <v>30194</v>
      </c>
      <c r="I51" s="170">
        <f t="shared" si="8"/>
        <v>0.16023670458038741</v>
      </c>
      <c r="J51" s="171">
        <f t="shared" si="9"/>
        <v>0.31759469366381565</v>
      </c>
      <c r="K51" s="170">
        <f>H51/H39</f>
        <v>0.22379519411790866</v>
      </c>
    </row>
    <row r="52" spans="2:11" x14ac:dyDescent="0.25">
      <c r="B52" s="153" t="s">
        <v>46</v>
      </c>
      <c r="C52" s="174"/>
      <c r="D52" s="174"/>
      <c r="E52" s="174"/>
      <c r="F52" s="174"/>
      <c r="G52" s="174"/>
      <c r="H52" s="174"/>
      <c r="I52" s="175"/>
      <c r="J52" s="175"/>
      <c r="K52" s="175"/>
    </row>
    <row r="53" spans="2:11" x14ac:dyDescent="0.25">
      <c r="B53" s="154" t="s">
        <v>68</v>
      </c>
      <c r="C53" s="176">
        <v>3964</v>
      </c>
      <c r="D53" s="176">
        <v>243</v>
      </c>
      <c r="E53" s="176">
        <v>2558</v>
      </c>
      <c r="F53" s="176">
        <v>3499</v>
      </c>
      <c r="G53" s="176">
        <v>4023</v>
      </c>
      <c r="H53" s="176">
        <v>3471</v>
      </c>
      <c r="I53" s="177">
        <f t="shared" ref="I53:I65" si="11">IFERROR(H53/G53-1,"-")</f>
        <v>-0.13721103653989564</v>
      </c>
      <c r="J53" s="177">
        <f t="shared" ref="J53:J65" si="12">IFERROR(H53/C53-1,"-")</f>
        <v>-0.12436932391523714</v>
      </c>
      <c r="K53" s="177">
        <f>H53/H53</f>
        <v>1</v>
      </c>
    </row>
    <row r="54" spans="2:11" x14ac:dyDescent="0.25">
      <c r="B54" s="157" t="s">
        <v>97</v>
      </c>
      <c r="C54" s="158">
        <v>1162</v>
      </c>
      <c r="D54" s="158">
        <v>124</v>
      </c>
      <c r="E54" s="158">
        <v>695</v>
      </c>
      <c r="F54" s="158">
        <v>563</v>
      </c>
      <c r="G54" s="158">
        <v>1757</v>
      </c>
      <c r="H54" s="158">
        <v>908</v>
      </c>
      <c r="I54" s="159">
        <f t="shared" si="11"/>
        <v>-0.48321001707455891</v>
      </c>
      <c r="J54" s="160">
        <f t="shared" si="12"/>
        <v>-0.21858864027538727</v>
      </c>
      <c r="K54" s="159">
        <f>H54/H53</f>
        <v>0.26159608182080091</v>
      </c>
    </row>
    <row r="55" spans="2:11" x14ac:dyDescent="0.25">
      <c r="B55" s="162" t="s">
        <v>103</v>
      </c>
      <c r="C55" s="163">
        <v>757</v>
      </c>
      <c r="D55" s="163">
        <v>83</v>
      </c>
      <c r="E55" s="163">
        <v>333</v>
      </c>
      <c r="F55" s="163">
        <v>284</v>
      </c>
      <c r="G55" s="163">
        <v>1401</v>
      </c>
      <c r="H55" s="163">
        <v>691</v>
      </c>
      <c r="I55" s="164">
        <f t="shared" si="11"/>
        <v>-0.50678087080656675</v>
      </c>
      <c r="J55" s="165">
        <f t="shared" si="12"/>
        <v>-8.7186261558784728E-2</v>
      </c>
      <c r="K55" s="164">
        <f>H55/H53</f>
        <v>0.19907807548256987</v>
      </c>
    </row>
    <row r="56" spans="2:11" x14ac:dyDescent="0.25">
      <c r="B56" s="162" t="s">
        <v>100</v>
      </c>
      <c r="C56" s="163">
        <v>405</v>
      </c>
      <c r="D56" s="163">
        <v>41</v>
      </c>
      <c r="E56" s="163">
        <v>362</v>
      </c>
      <c r="F56" s="163">
        <v>279</v>
      </c>
      <c r="G56" s="163">
        <v>356</v>
      </c>
      <c r="H56" s="163">
        <v>217</v>
      </c>
      <c r="I56" s="164">
        <f t="shared" si="11"/>
        <v>-0.3904494382022472</v>
      </c>
      <c r="J56" s="165">
        <f t="shared" si="12"/>
        <v>-0.46419753086419757</v>
      </c>
      <c r="K56" s="164">
        <f>H56/H53</f>
        <v>6.2518006338231055E-2</v>
      </c>
    </row>
    <row r="57" spans="2:11" x14ac:dyDescent="0.25">
      <c r="B57" s="157" t="s">
        <v>107</v>
      </c>
      <c r="C57" s="158">
        <v>2802</v>
      </c>
      <c r="D57" s="158">
        <v>119</v>
      </c>
      <c r="E57" s="158">
        <v>1863</v>
      </c>
      <c r="F57" s="158">
        <v>2936</v>
      </c>
      <c r="G57" s="158">
        <v>2266</v>
      </c>
      <c r="H57" s="158">
        <v>2563</v>
      </c>
      <c r="I57" s="159">
        <f t="shared" si="11"/>
        <v>0.13106796116504849</v>
      </c>
      <c r="J57" s="160">
        <f t="shared" si="12"/>
        <v>-8.5296216987865825E-2</v>
      </c>
      <c r="K57" s="159">
        <f>H57/H53</f>
        <v>0.73840391817919904</v>
      </c>
    </row>
    <row r="58" spans="2:11" x14ac:dyDescent="0.25">
      <c r="B58" s="162" t="s">
        <v>110</v>
      </c>
      <c r="C58" s="163">
        <v>1100</v>
      </c>
      <c r="D58" s="163">
        <v>23</v>
      </c>
      <c r="E58" s="163">
        <v>696</v>
      </c>
      <c r="F58" s="163">
        <v>956</v>
      </c>
      <c r="G58" s="163">
        <v>940</v>
      </c>
      <c r="H58" s="163">
        <v>1013</v>
      </c>
      <c r="I58" s="164">
        <f t="shared" si="11"/>
        <v>7.7659574468085024E-2</v>
      </c>
      <c r="J58" s="165">
        <f t="shared" si="12"/>
        <v>-7.9090909090909101E-2</v>
      </c>
      <c r="K58" s="164">
        <f>H58/H53</f>
        <v>0.29184673004897727</v>
      </c>
    </row>
    <row r="59" spans="2:11" x14ac:dyDescent="0.25">
      <c r="B59" s="162" t="s">
        <v>113</v>
      </c>
      <c r="C59" s="163">
        <v>791</v>
      </c>
      <c r="D59" s="163">
        <v>44</v>
      </c>
      <c r="E59" s="163">
        <v>488</v>
      </c>
      <c r="F59" s="163">
        <v>525</v>
      </c>
      <c r="G59" s="163">
        <v>404</v>
      </c>
      <c r="H59" s="163">
        <v>401</v>
      </c>
      <c r="I59" s="164">
        <f t="shared" si="11"/>
        <v>-7.4257425742574323E-3</v>
      </c>
      <c r="J59" s="165">
        <f t="shared" si="12"/>
        <v>-0.49304677623261695</v>
      </c>
      <c r="K59" s="164">
        <f>H59/H53</f>
        <v>0.11552866609046385</v>
      </c>
    </row>
    <row r="60" spans="2:11" x14ac:dyDescent="0.25">
      <c r="B60" s="162" t="s">
        <v>116</v>
      </c>
      <c r="C60" s="163">
        <v>110</v>
      </c>
      <c r="D60" s="163">
        <v>12</v>
      </c>
      <c r="E60" s="163">
        <v>106</v>
      </c>
      <c r="F60" s="163">
        <v>307</v>
      </c>
      <c r="G60" s="163">
        <v>177</v>
      </c>
      <c r="H60" s="163">
        <v>210</v>
      </c>
      <c r="I60" s="164">
        <f t="shared" si="11"/>
        <v>0.18644067796610164</v>
      </c>
      <c r="J60" s="165">
        <f t="shared" si="12"/>
        <v>0.90909090909090917</v>
      </c>
      <c r="K60" s="164">
        <f>H60/H53</f>
        <v>6.0501296456352639E-2</v>
      </c>
    </row>
    <row r="61" spans="2:11" x14ac:dyDescent="0.25">
      <c r="B61" s="162" t="s">
        <v>123</v>
      </c>
      <c r="C61" s="163">
        <v>45</v>
      </c>
      <c r="D61" s="163">
        <v>0</v>
      </c>
      <c r="E61" s="163">
        <v>58</v>
      </c>
      <c r="F61" s="163">
        <v>52</v>
      </c>
      <c r="G61" s="163">
        <v>36</v>
      </c>
      <c r="H61" s="163">
        <v>88</v>
      </c>
      <c r="I61" s="164">
        <f t="shared" si="11"/>
        <v>1.4444444444444446</v>
      </c>
      <c r="J61" s="165">
        <f t="shared" si="12"/>
        <v>0.95555555555555549</v>
      </c>
      <c r="K61" s="164">
        <f>H61/H53</f>
        <v>2.5352924229328725E-2</v>
      </c>
    </row>
    <row r="62" spans="2:11" x14ac:dyDescent="0.25">
      <c r="B62" s="162" t="s">
        <v>119</v>
      </c>
      <c r="C62" s="163">
        <v>48</v>
      </c>
      <c r="D62" s="163">
        <v>10</v>
      </c>
      <c r="E62" s="163">
        <v>25</v>
      </c>
      <c r="F62" s="163">
        <v>57</v>
      </c>
      <c r="G62" s="163">
        <v>18</v>
      </c>
      <c r="H62" s="163">
        <v>70</v>
      </c>
      <c r="I62" s="164">
        <f t="shared" si="11"/>
        <v>2.8888888888888888</v>
      </c>
      <c r="J62" s="165">
        <f t="shared" si="12"/>
        <v>0.45833333333333326</v>
      </c>
      <c r="K62" s="164">
        <f>H62/H53</f>
        <v>2.0167098818784212E-2</v>
      </c>
    </row>
    <row r="63" spans="2:11" x14ac:dyDescent="0.25">
      <c r="B63" s="162" t="s">
        <v>128</v>
      </c>
      <c r="C63" s="163">
        <v>2</v>
      </c>
      <c r="D63" s="163">
        <v>0</v>
      </c>
      <c r="E63" s="163">
        <v>0</v>
      </c>
      <c r="F63" s="163">
        <v>3</v>
      </c>
      <c r="G63" s="163">
        <v>7</v>
      </c>
      <c r="H63" s="163">
        <v>4</v>
      </c>
      <c r="I63" s="164">
        <f t="shared" si="11"/>
        <v>-0.4285714285714286</v>
      </c>
      <c r="J63" s="165">
        <f t="shared" si="12"/>
        <v>1</v>
      </c>
      <c r="K63" s="164">
        <f>H63/H53</f>
        <v>1.1524056467876692E-3</v>
      </c>
    </row>
    <row r="64" spans="2:11" x14ac:dyDescent="0.25">
      <c r="B64" s="162" t="s">
        <v>131</v>
      </c>
      <c r="C64" s="163">
        <v>11</v>
      </c>
      <c r="D64" s="163">
        <v>0</v>
      </c>
      <c r="E64" s="163">
        <v>2</v>
      </c>
      <c r="F64" s="163">
        <v>0</v>
      </c>
      <c r="G64" s="163">
        <v>0</v>
      </c>
      <c r="H64" s="163">
        <v>4</v>
      </c>
      <c r="I64" s="164" t="str">
        <f t="shared" si="11"/>
        <v>-</v>
      </c>
      <c r="J64" s="165">
        <f t="shared" si="12"/>
        <v>-0.63636363636363635</v>
      </c>
      <c r="K64" s="164">
        <f>H64/H53</f>
        <v>1.1524056467876692E-3</v>
      </c>
    </row>
    <row r="65" spans="2:11" x14ac:dyDescent="0.25">
      <c r="B65" s="168" t="s">
        <v>145</v>
      </c>
      <c r="C65" s="169">
        <f t="shared" ref="C65:H65" si="13">C57-SUM(C58:C64)</f>
        <v>695</v>
      </c>
      <c r="D65" s="169">
        <f t="shared" si="13"/>
        <v>30</v>
      </c>
      <c r="E65" s="169">
        <f t="shared" si="13"/>
        <v>488</v>
      </c>
      <c r="F65" s="169">
        <f t="shared" si="13"/>
        <v>1036</v>
      </c>
      <c r="G65" s="169">
        <f t="shared" si="13"/>
        <v>684</v>
      </c>
      <c r="H65" s="169">
        <f t="shared" si="13"/>
        <v>773</v>
      </c>
      <c r="I65" s="170">
        <f t="shared" si="11"/>
        <v>0.13011695906432741</v>
      </c>
      <c r="J65" s="171">
        <f t="shared" si="12"/>
        <v>0.11223021582733805</v>
      </c>
      <c r="K65" s="170">
        <f>H65/H53</f>
        <v>0.22270239124171709</v>
      </c>
    </row>
    <row r="66" spans="2:11" x14ac:dyDescent="0.25">
      <c r="B66" s="153" t="s">
        <v>47</v>
      </c>
      <c r="C66" s="174"/>
      <c r="D66" s="174"/>
      <c r="E66" s="174"/>
      <c r="F66" s="174"/>
      <c r="G66" s="174"/>
      <c r="H66" s="174"/>
      <c r="I66" s="175"/>
      <c r="J66" s="175"/>
      <c r="K66" s="175"/>
    </row>
    <row r="67" spans="2:11" x14ac:dyDescent="0.25">
      <c r="B67" s="154" t="s">
        <v>68</v>
      </c>
      <c r="C67" s="176">
        <v>14155</v>
      </c>
      <c r="D67" s="176">
        <v>6721</v>
      </c>
      <c r="E67" s="176">
        <v>9924</v>
      </c>
      <c r="F67" s="176">
        <v>13134</v>
      </c>
      <c r="G67" s="176">
        <v>18421</v>
      </c>
      <c r="H67" s="176">
        <v>19553</v>
      </c>
      <c r="I67" s="177">
        <f t="shared" ref="I67:I79" si="14">IFERROR(H67/G67-1,"-")</f>
        <v>6.1451604147440442E-2</v>
      </c>
      <c r="J67" s="177">
        <f t="shared" ref="J67:J79" si="15">IFERROR(H67/C67-1,"-")</f>
        <v>0.3813493465206641</v>
      </c>
      <c r="K67" s="177">
        <f>H67/H67</f>
        <v>1</v>
      </c>
    </row>
    <row r="68" spans="2:11" x14ac:dyDescent="0.25">
      <c r="B68" s="157" t="s">
        <v>97</v>
      </c>
      <c r="C68" s="158">
        <v>6768</v>
      </c>
      <c r="D68" s="158">
        <v>5775</v>
      </c>
      <c r="E68" s="158">
        <v>5017</v>
      </c>
      <c r="F68" s="158">
        <v>1381</v>
      </c>
      <c r="G68" s="158">
        <v>9816</v>
      </c>
      <c r="H68" s="158">
        <v>7884</v>
      </c>
      <c r="I68" s="159">
        <f t="shared" si="14"/>
        <v>-0.19682151589242058</v>
      </c>
      <c r="J68" s="160">
        <f t="shared" si="15"/>
        <v>0.16489361702127669</v>
      </c>
      <c r="K68" s="159">
        <f>H68/H67</f>
        <v>0.40321178335805247</v>
      </c>
    </row>
    <row r="69" spans="2:11" x14ac:dyDescent="0.25">
      <c r="B69" s="162" t="s">
        <v>103</v>
      </c>
      <c r="C69" s="163">
        <v>3707</v>
      </c>
      <c r="D69" s="163">
        <v>2012</v>
      </c>
      <c r="E69" s="163">
        <v>3373</v>
      </c>
      <c r="F69" s="163">
        <v>286</v>
      </c>
      <c r="G69" s="163">
        <v>7748</v>
      </c>
      <c r="H69" s="163">
        <v>5350</v>
      </c>
      <c r="I69" s="164">
        <f t="shared" si="14"/>
        <v>-0.30949922560660814</v>
      </c>
      <c r="J69" s="165">
        <f t="shared" si="15"/>
        <v>0.44321553817102788</v>
      </c>
      <c r="K69" s="164">
        <f>H69/H67</f>
        <v>0.27361530199969314</v>
      </c>
    </row>
    <row r="70" spans="2:11" x14ac:dyDescent="0.25">
      <c r="B70" s="162" t="s">
        <v>100</v>
      </c>
      <c r="C70" s="163">
        <v>3061</v>
      </c>
      <c r="D70" s="163">
        <v>3763</v>
      </c>
      <c r="E70" s="163">
        <v>1644</v>
      </c>
      <c r="F70" s="163">
        <v>1095</v>
      </c>
      <c r="G70" s="163">
        <v>2068</v>
      </c>
      <c r="H70" s="163">
        <v>2534</v>
      </c>
      <c r="I70" s="164">
        <f t="shared" si="14"/>
        <v>0.22533849129593819</v>
      </c>
      <c r="J70" s="165">
        <f t="shared" si="15"/>
        <v>-0.17216595883698138</v>
      </c>
      <c r="K70" s="164">
        <f>H70/H67</f>
        <v>0.12959648135835933</v>
      </c>
    </row>
    <row r="71" spans="2:11" x14ac:dyDescent="0.25">
      <c r="B71" s="157" t="s">
        <v>107</v>
      </c>
      <c r="C71" s="158">
        <v>7387</v>
      </c>
      <c r="D71" s="158">
        <v>946</v>
      </c>
      <c r="E71" s="158">
        <v>4907</v>
      </c>
      <c r="F71" s="158">
        <v>11753</v>
      </c>
      <c r="G71" s="158">
        <v>8605</v>
      </c>
      <c r="H71" s="158">
        <v>11669</v>
      </c>
      <c r="I71" s="159">
        <f t="shared" si="14"/>
        <v>0.35607205113306217</v>
      </c>
      <c r="J71" s="160">
        <f t="shared" si="15"/>
        <v>0.5796669825368892</v>
      </c>
      <c r="K71" s="159">
        <f>H71/H67</f>
        <v>0.59678821664194748</v>
      </c>
    </row>
    <row r="72" spans="2:11" x14ac:dyDescent="0.25">
      <c r="B72" s="162" t="s">
        <v>110</v>
      </c>
      <c r="C72" s="163">
        <v>2707</v>
      </c>
      <c r="D72" s="163">
        <v>257</v>
      </c>
      <c r="E72" s="163">
        <v>2258</v>
      </c>
      <c r="F72" s="163">
        <v>5708</v>
      </c>
      <c r="G72" s="163">
        <v>3480</v>
      </c>
      <c r="H72" s="163">
        <v>5692</v>
      </c>
      <c r="I72" s="164">
        <f t="shared" si="14"/>
        <v>0.63563218390804588</v>
      </c>
      <c r="J72" s="165">
        <f t="shared" si="15"/>
        <v>1.1026967122275582</v>
      </c>
      <c r="K72" s="164">
        <f>H72/H67</f>
        <v>0.29110622410883241</v>
      </c>
    </row>
    <row r="73" spans="2:11" x14ac:dyDescent="0.25">
      <c r="B73" s="162" t="s">
        <v>113</v>
      </c>
      <c r="C73" s="163">
        <v>1326</v>
      </c>
      <c r="D73" s="163">
        <v>128</v>
      </c>
      <c r="E73" s="163">
        <v>578</v>
      </c>
      <c r="F73" s="163">
        <v>289</v>
      </c>
      <c r="G73" s="163">
        <v>835</v>
      </c>
      <c r="H73" s="163">
        <v>580</v>
      </c>
      <c r="I73" s="164">
        <f t="shared" si="14"/>
        <v>-0.30538922155688619</v>
      </c>
      <c r="J73" s="165">
        <f t="shared" si="15"/>
        <v>-0.56259426847662142</v>
      </c>
      <c r="K73" s="164">
        <f>H73/H67</f>
        <v>2.9662967319592903E-2</v>
      </c>
    </row>
    <row r="74" spans="2:11" x14ac:dyDescent="0.25">
      <c r="B74" s="162" t="s">
        <v>116</v>
      </c>
      <c r="C74" s="163">
        <v>762</v>
      </c>
      <c r="D74" s="163">
        <v>142</v>
      </c>
      <c r="E74" s="163">
        <v>438</v>
      </c>
      <c r="F74" s="163">
        <v>1556</v>
      </c>
      <c r="G74" s="163">
        <v>323</v>
      </c>
      <c r="H74" s="163">
        <v>1041</v>
      </c>
      <c r="I74" s="164">
        <f t="shared" si="14"/>
        <v>2.2229102167182662</v>
      </c>
      <c r="J74" s="165">
        <f t="shared" si="15"/>
        <v>0.36614173228346458</v>
      </c>
      <c r="K74" s="164">
        <f>H74/H67</f>
        <v>5.3239912033958982E-2</v>
      </c>
    </row>
    <row r="75" spans="2:11" x14ac:dyDescent="0.25">
      <c r="B75" s="162" t="s">
        <v>123</v>
      </c>
      <c r="C75" s="163">
        <v>64</v>
      </c>
      <c r="D75" s="163">
        <v>11</v>
      </c>
      <c r="E75" s="163">
        <v>432</v>
      </c>
      <c r="F75" s="163">
        <v>194</v>
      </c>
      <c r="G75" s="163">
        <v>319</v>
      </c>
      <c r="H75" s="163">
        <v>527</v>
      </c>
      <c r="I75" s="164">
        <f t="shared" si="14"/>
        <v>0.65203761755485901</v>
      </c>
      <c r="J75" s="165">
        <f t="shared" si="15"/>
        <v>7.234375</v>
      </c>
      <c r="K75" s="164">
        <f>H75/H67</f>
        <v>2.6952385823147344E-2</v>
      </c>
    </row>
    <row r="76" spans="2:11" x14ac:dyDescent="0.25">
      <c r="B76" s="162" t="s">
        <v>119</v>
      </c>
      <c r="C76" s="163">
        <v>125</v>
      </c>
      <c r="D76" s="163">
        <v>160</v>
      </c>
      <c r="E76" s="163">
        <v>108</v>
      </c>
      <c r="F76" s="163">
        <v>393</v>
      </c>
      <c r="G76" s="163">
        <v>58</v>
      </c>
      <c r="H76" s="163">
        <v>290</v>
      </c>
      <c r="I76" s="164">
        <f t="shared" si="14"/>
        <v>4</v>
      </c>
      <c r="J76" s="165">
        <f t="shared" si="15"/>
        <v>1.3199999999999998</v>
      </c>
      <c r="K76" s="164">
        <f>H76/H67</f>
        <v>1.4831483659796451E-2</v>
      </c>
    </row>
    <row r="77" spans="2:11" x14ac:dyDescent="0.25">
      <c r="B77" s="162" t="s">
        <v>128</v>
      </c>
      <c r="C77" s="163">
        <v>6</v>
      </c>
      <c r="D77" s="163">
        <v>0</v>
      </c>
      <c r="E77" s="163">
        <v>22</v>
      </c>
      <c r="F77" s="163">
        <v>14</v>
      </c>
      <c r="G77" s="163">
        <v>6</v>
      </c>
      <c r="H77" s="163">
        <v>33</v>
      </c>
      <c r="I77" s="164">
        <f t="shared" si="14"/>
        <v>4.5</v>
      </c>
      <c r="J77" s="165">
        <f t="shared" si="15"/>
        <v>4.5</v>
      </c>
      <c r="K77" s="164">
        <f>H77/H67</f>
        <v>1.6877205543906306E-3</v>
      </c>
    </row>
    <row r="78" spans="2:11" x14ac:dyDescent="0.25">
      <c r="B78" s="162" t="s">
        <v>131</v>
      </c>
      <c r="C78" s="163">
        <v>15</v>
      </c>
      <c r="D78" s="163">
        <v>9</v>
      </c>
      <c r="E78" s="163">
        <v>7</v>
      </c>
      <c r="F78" s="163">
        <v>13</v>
      </c>
      <c r="G78" s="163">
        <v>8</v>
      </c>
      <c r="H78" s="163">
        <v>47</v>
      </c>
      <c r="I78" s="164">
        <f t="shared" si="14"/>
        <v>4.875</v>
      </c>
      <c r="J78" s="165">
        <f t="shared" si="15"/>
        <v>2.1333333333333333</v>
      </c>
      <c r="K78" s="164">
        <f>H78/H67</f>
        <v>2.4037232138290798E-3</v>
      </c>
    </row>
    <row r="79" spans="2:11" x14ac:dyDescent="0.25">
      <c r="B79" s="168" t="s">
        <v>145</v>
      </c>
      <c r="C79" s="169">
        <f t="shared" ref="C79:H79" si="16">C71-SUM(C72:C78)</f>
        <v>2382</v>
      </c>
      <c r="D79" s="169">
        <f t="shared" si="16"/>
        <v>239</v>
      </c>
      <c r="E79" s="169">
        <f t="shared" si="16"/>
        <v>1064</v>
      </c>
      <c r="F79" s="169">
        <f t="shared" si="16"/>
        <v>3586</v>
      </c>
      <c r="G79" s="169">
        <f t="shared" si="16"/>
        <v>3576</v>
      </c>
      <c r="H79" s="169">
        <f t="shared" si="16"/>
        <v>3459</v>
      </c>
      <c r="I79" s="170">
        <f t="shared" si="14"/>
        <v>-3.2718120805369177E-2</v>
      </c>
      <c r="J79" s="171">
        <f t="shared" si="15"/>
        <v>0.45214105793450887</v>
      </c>
      <c r="K79" s="170">
        <f>H79/H67</f>
        <v>0.17690379992839975</v>
      </c>
    </row>
    <row r="80" spans="2:11" x14ac:dyDescent="0.25">
      <c r="B80" s="153" t="s">
        <v>48</v>
      </c>
      <c r="C80" s="174"/>
      <c r="D80" s="174"/>
      <c r="E80" s="174"/>
      <c r="F80" s="174"/>
      <c r="G80" s="174"/>
      <c r="H80" s="174"/>
      <c r="I80" s="175"/>
      <c r="J80" s="175"/>
      <c r="K80" s="175"/>
    </row>
    <row r="81" spans="2:11" x14ac:dyDescent="0.25">
      <c r="B81" s="154" t="s">
        <v>68</v>
      </c>
      <c r="C81" s="176">
        <v>81941</v>
      </c>
      <c r="D81" s="176">
        <v>19690</v>
      </c>
      <c r="E81" s="176">
        <v>55397</v>
      </c>
      <c r="F81" s="176">
        <v>71676</v>
      </c>
      <c r="G81" s="176">
        <v>83171</v>
      </c>
      <c r="H81" s="176">
        <v>91131</v>
      </c>
      <c r="I81" s="177">
        <f t="shared" ref="I81:I93" si="17">IFERROR(H81/G81-1,"-")</f>
        <v>9.5706436137596107E-2</v>
      </c>
      <c r="J81" s="177">
        <f t="shared" ref="J81:J93" si="18">IFERROR(H81/C81-1,"-")</f>
        <v>0.11215386680660466</v>
      </c>
      <c r="K81" s="177">
        <f>H81/H81</f>
        <v>1</v>
      </c>
    </row>
    <row r="82" spans="2:11" x14ac:dyDescent="0.25">
      <c r="B82" s="157" t="s">
        <v>97</v>
      </c>
      <c r="C82" s="158">
        <v>36909</v>
      </c>
      <c r="D82" s="158">
        <v>14508</v>
      </c>
      <c r="E82" s="158">
        <v>30530</v>
      </c>
      <c r="F82" s="158">
        <v>36680</v>
      </c>
      <c r="G82" s="158">
        <v>38459</v>
      </c>
      <c r="H82" s="158">
        <v>38667</v>
      </c>
      <c r="I82" s="159">
        <f t="shared" si="17"/>
        <v>5.4083569515588348E-3</v>
      </c>
      <c r="J82" s="160">
        <f t="shared" si="18"/>
        <v>4.7630659188815816E-2</v>
      </c>
      <c r="K82" s="159">
        <f>H82/H81</f>
        <v>0.42430128057411859</v>
      </c>
    </row>
    <row r="83" spans="2:11" x14ac:dyDescent="0.25">
      <c r="B83" s="162" t="s">
        <v>103</v>
      </c>
      <c r="C83" s="163">
        <v>7517</v>
      </c>
      <c r="D83" s="163">
        <v>3494</v>
      </c>
      <c r="E83" s="163">
        <v>8973</v>
      </c>
      <c r="F83" s="163">
        <v>8316</v>
      </c>
      <c r="G83" s="163">
        <v>11755</v>
      </c>
      <c r="H83" s="163">
        <v>8535</v>
      </c>
      <c r="I83" s="164">
        <f t="shared" si="17"/>
        <v>-0.27392598894087627</v>
      </c>
      <c r="J83" s="165">
        <f t="shared" si="18"/>
        <v>0.13542636690168952</v>
      </c>
      <c r="K83" s="164">
        <f>H83/H81</f>
        <v>9.3656384764789144E-2</v>
      </c>
    </row>
    <row r="84" spans="2:11" x14ac:dyDescent="0.25">
      <c r="B84" s="162" t="s">
        <v>100</v>
      </c>
      <c r="C84" s="163">
        <v>29392</v>
      </c>
      <c r="D84" s="163">
        <v>11014</v>
      </c>
      <c r="E84" s="163">
        <v>21557</v>
      </c>
      <c r="F84" s="163">
        <v>28364</v>
      </c>
      <c r="G84" s="163">
        <v>26704</v>
      </c>
      <c r="H84" s="163">
        <v>30132</v>
      </c>
      <c r="I84" s="164">
        <f t="shared" si="17"/>
        <v>0.12837028160575192</v>
      </c>
      <c r="J84" s="165">
        <f t="shared" si="18"/>
        <v>2.5176918889493693E-2</v>
      </c>
      <c r="K84" s="164">
        <f>H84/H81</f>
        <v>0.33064489580932943</v>
      </c>
    </row>
    <row r="85" spans="2:11" x14ac:dyDescent="0.25">
      <c r="B85" s="157" t="s">
        <v>107</v>
      </c>
      <c r="C85" s="158">
        <v>45032</v>
      </c>
      <c r="D85" s="158">
        <v>5182</v>
      </c>
      <c r="E85" s="158">
        <v>24867</v>
      </c>
      <c r="F85" s="158">
        <v>34996</v>
      </c>
      <c r="G85" s="158">
        <v>44712</v>
      </c>
      <c r="H85" s="158">
        <v>52464</v>
      </c>
      <c r="I85" s="159">
        <f t="shared" si="17"/>
        <v>0.17337627482555029</v>
      </c>
      <c r="J85" s="160">
        <f t="shared" si="18"/>
        <v>0.16503819506128981</v>
      </c>
      <c r="K85" s="159">
        <f>H85/H81</f>
        <v>0.57569871942588147</v>
      </c>
    </row>
    <row r="86" spans="2:11" x14ac:dyDescent="0.25">
      <c r="B86" s="162" t="s">
        <v>110</v>
      </c>
      <c r="C86" s="163">
        <v>9366</v>
      </c>
      <c r="D86" s="163">
        <v>830</v>
      </c>
      <c r="E86" s="163">
        <v>2422</v>
      </c>
      <c r="F86" s="163">
        <v>7553</v>
      </c>
      <c r="G86" s="163">
        <v>11321</v>
      </c>
      <c r="H86" s="163">
        <v>13030</v>
      </c>
      <c r="I86" s="164">
        <f t="shared" si="17"/>
        <v>0.15095839590142224</v>
      </c>
      <c r="J86" s="165">
        <f t="shared" si="18"/>
        <v>0.39120222079863343</v>
      </c>
      <c r="K86" s="164">
        <f>H86/H81</f>
        <v>0.14298098341947307</v>
      </c>
    </row>
    <row r="87" spans="2:11" x14ac:dyDescent="0.25">
      <c r="B87" s="162" t="s">
        <v>113</v>
      </c>
      <c r="C87" s="163">
        <v>15897</v>
      </c>
      <c r="D87" s="163">
        <v>769</v>
      </c>
      <c r="E87" s="163">
        <v>8104</v>
      </c>
      <c r="F87" s="163">
        <v>11169</v>
      </c>
      <c r="G87" s="163">
        <v>11398</v>
      </c>
      <c r="H87" s="163">
        <v>12402</v>
      </c>
      <c r="I87" s="164">
        <f t="shared" si="17"/>
        <v>8.8085629057729431E-2</v>
      </c>
      <c r="J87" s="165">
        <f t="shared" si="18"/>
        <v>-0.21985280241555005</v>
      </c>
      <c r="K87" s="164">
        <f>H87/H81</f>
        <v>0.13608980478651611</v>
      </c>
    </row>
    <row r="88" spans="2:11" x14ac:dyDescent="0.25">
      <c r="B88" s="162" t="s">
        <v>116</v>
      </c>
      <c r="C88" s="163">
        <v>2657</v>
      </c>
      <c r="D88" s="163">
        <v>276</v>
      </c>
      <c r="E88" s="163">
        <v>2405</v>
      </c>
      <c r="F88" s="163">
        <v>2802</v>
      </c>
      <c r="G88" s="163">
        <v>4299</v>
      </c>
      <c r="H88" s="163">
        <v>5249</v>
      </c>
      <c r="I88" s="164">
        <f t="shared" si="17"/>
        <v>0.22098162363340301</v>
      </c>
      <c r="J88" s="165">
        <f t="shared" si="18"/>
        <v>0.97553631915694394</v>
      </c>
      <c r="K88" s="164">
        <f>H88/H81</f>
        <v>5.7598402299985738E-2</v>
      </c>
    </row>
    <row r="89" spans="2:11" x14ac:dyDescent="0.25">
      <c r="B89" s="162" t="s">
        <v>123</v>
      </c>
      <c r="C89" s="163">
        <v>974</v>
      </c>
      <c r="D89" s="163">
        <v>75</v>
      </c>
      <c r="E89" s="163">
        <v>825</v>
      </c>
      <c r="F89" s="163">
        <v>1068</v>
      </c>
      <c r="G89" s="163">
        <v>1572</v>
      </c>
      <c r="H89" s="163">
        <v>2152</v>
      </c>
      <c r="I89" s="164">
        <f t="shared" si="17"/>
        <v>0.36895674300254444</v>
      </c>
      <c r="J89" s="165">
        <f t="shared" si="18"/>
        <v>1.2094455852156059</v>
      </c>
      <c r="K89" s="164">
        <f>H89/H81</f>
        <v>2.3614357353699621E-2</v>
      </c>
    </row>
    <row r="90" spans="2:11" x14ac:dyDescent="0.25">
      <c r="B90" s="162" t="s">
        <v>119</v>
      </c>
      <c r="C90" s="163">
        <v>691</v>
      </c>
      <c r="D90" s="163">
        <v>521</v>
      </c>
      <c r="E90" s="163">
        <v>961</v>
      </c>
      <c r="F90" s="163">
        <v>552</v>
      </c>
      <c r="G90" s="163">
        <v>787</v>
      </c>
      <c r="H90" s="163">
        <v>972</v>
      </c>
      <c r="I90" s="164">
        <f t="shared" si="17"/>
        <v>0.2350698856416773</v>
      </c>
      <c r="J90" s="165">
        <f t="shared" si="18"/>
        <v>0.40665701881331406</v>
      </c>
      <c r="K90" s="164">
        <f>H90/H81</f>
        <v>1.066596438094611E-2</v>
      </c>
    </row>
    <row r="91" spans="2:11" x14ac:dyDescent="0.25">
      <c r="B91" s="162" t="s">
        <v>128</v>
      </c>
      <c r="C91" s="163">
        <v>294</v>
      </c>
      <c r="D91" s="163">
        <v>21</v>
      </c>
      <c r="E91" s="163">
        <v>123</v>
      </c>
      <c r="F91" s="163">
        <v>258</v>
      </c>
      <c r="G91" s="163">
        <v>141</v>
      </c>
      <c r="H91" s="163">
        <v>224</v>
      </c>
      <c r="I91" s="164">
        <f t="shared" si="17"/>
        <v>0.58865248226950362</v>
      </c>
      <c r="J91" s="165">
        <f t="shared" si="18"/>
        <v>-0.23809523809523814</v>
      </c>
      <c r="K91" s="164">
        <f>H91/H81</f>
        <v>2.4580000219464287E-3</v>
      </c>
    </row>
    <row r="92" spans="2:11" x14ac:dyDescent="0.25">
      <c r="B92" s="162" t="s">
        <v>131</v>
      </c>
      <c r="C92" s="163">
        <v>215</v>
      </c>
      <c r="D92" s="163">
        <v>32</v>
      </c>
      <c r="E92" s="163">
        <v>85</v>
      </c>
      <c r="F92" s="163">
        <v>186</v>
      </c>
      <c r="G92" s="163">
        <v>123</v>
      </c>
      <c r="H92" s="163">
        <v>182</v>
      </c>
      <c r="I92" s="164">
        <f t="shared" si="17"/>
        <v>0.47967479674796754</v>
      </c>
      <c r="J92" s="165">
        <f t="shared" si="18"/>
        <v>-0.15348837209302324</v>
      </c>
      <c r="K92" s="164">
        <f>H92/H81</f>
        <v>1.9971250178314735E-3</v>
      </c>
    </row>
    <row r="93" spans="2:11" x14ac:dyDescent="0.25">
      <c r="B93" s="168" t="s">
        <v>145</v>
      </c>
      <c r="C93" s="169">
        <f t="shared" ref="C93:H93" si="19">C85-SUM(C86:C92)</f>
        <v>14938</v>
      </c>
      <c r="D93" s="169">
        <f t="shared" si="19"/>
        <v>2658</v>
      </c>
      <c r="E93" s="169">
        <f t="shared" si="19"/>
        <v>9942</v>
      </c>
      <c r="F93" s="169">
        <f t="shared" si="19"/>
        <v>11408</v>
      </c>
      <c r="G93" s="169">
        <f t="shared" si="19"/>
        <v>15071</v>
      </c>
      <c r="H93" s="169">
        <f t="shared" si="19"/>
        <v>18253</v>
      </c>
      <c r="I93" s="170">
        <f t="shared" si="17"/>
        <v>0.21113396589476485</v>
      </c>
      <c r="J93" s="171">
        <f t="shared" si="18"/>
        <v>0.22191725799973216</v>
      </c>
      <c r="K93" s="170">
        <f>H93/H81</f>
        <v>0.20029408214548289</v>
      </c>
    </row>
    <row r="94" spans="2:11" x14ac:dyDescent="0.25">
      <c r="B94" s="153" t="s">
        <v>49</v>
      </c>
      <c r="C94" s="174"/>
      <c r="D94" s="174"/>
      <c r="E94" s="174"/>
      <c r="F94" s="174"/>
      <c r="G94" s="174"/>
      <c r="H94" s="174"/>
      <c r="I94" s="175"/>
      <c r="J94" s="175"/>
      <c r="K94" s="175"/>
    </row>
    <row r="95" spans="2:11" x14ac:dyDescent="0.25">
      <c r="B95" s="154" t="s">
        <v>68</v>
      </c>
      <c r="C95" s="176">
        <v>3949</v>
      </c>
      <c r="D95" s="176">
        <v>1866</v>
      </c>
      <c r="E95" s="176">
        <v>3996</v>
      </c>
      <c r="F95" s="176">
        <v>4766</v>
      </c>
      <c r="G95" s="176">
        <v>4736</v>
      </c>
      <c r="H95" s="176">
        <v>5250</v>
      </c>
      <c r="I95" s="177">
        <f t="shared" ref="I95:I107" si="20">IFERROR(H95/G95-1,"-")</f>
        <v>0.10853040540540548</v>
      </c>
      <c r="J95" s="177">
        <f t="shared" ref="J95:J107" si="21">IFERROR(H95/C95-1,"-")</f>
        <v>0.32945049379589775</v>
      </c>
      <c r="K95" s="177">
        <f>H95/H95</f>
        <v>1</v>
      </c>
    </row>
    <row r="96" spans="2:11" x14ac:dyDescent="0.25">
      <c r="B96" s="157" t="s">
        <v>97</v>
      </c>
      <c r="C96" s="158">
        <v>2858</v>
      </c>
      <c r="D96" s="158">
        <v>1518</v>
      </c>
      <c r="E96" s="158">
        <v>3108</v>
      </c>
      <c r="F96" s="158">
        <v>3605</v>
      </c>
      <c r="G96" s="158">
        <v>3460</v>
      </c>
      <c r="H96" s="158">
        <v>4146</v>
      </c>
      <c r="I96" s="159">
        <f t="shared" si="20"/>
        <v>0.19826589595375732</v>
      </c>
      <c r="J96" s="160">
        <f t="shared" si="21"/>
        <v>0.45066480055983216</v>
      </c>
      <c r="K96" s="159">
        <f>H96/H95</f>
        <v>0.7897142857142857</v>
      </c>
    </row>
    <row r="97" spans="2:11" x14ac:dyDescent="0.25">
      <c r="B97" s="162" t="s">
        <v>103</v>
      </c>
      <c r="C97" s="163">
        <v>1437</v>
      </c>
      <c r="D97" s="163">
        <v>693</v>
      </c>
      <c r="E97" s="163">
        <v>1461</v>
      </c>
      <c r="F97" s="163">
        <v>1690</v>
      </c>
      <c r="G97" s="163">
        <v>945</v>
      </c>
      <c r="H97" s="163">
        <v>1760</v>
      </c>
      <c r="I97" s="164">
        <f t="shared" si="20"/>
        <v>0.86243386243386233</v>
      </c>
      <c r="J97" s="165">
        <f t="shared" si="21"/>
        <v>0.22477383437717458</v>
      </c>
      <c r="K97" s="164">
        <f>H97/H95</f>
        <v>0.33523809523809522</v>
      </c>
    </row>
    <row r="98" spans="2:11" x14ac:dyDescent="0.25">
      <c r="B98" s="162" t="s">
        <v>100</v>
      </c>
      <c r="C98" s="163">
        <v>1421</v>
      </c>
      <c r="D98" s="163">
        <v>825</v>
      </c>
      <c r="E98" s="163">
        <v>1647</v>
      </c>
      <c r="F98" s="163">
        <v>1915</v>
      </c>
      <c r="G98" s="163">
        <v>2515</v>
      </c>
      <c r="H98" s="163">
        <v>2386</v>
      </c>
      <c r="I98" s="164">
        <f t="shared" si="20"/>
        <v>-5.1292246520874718E-2</v>
      </c>
      <c r="J98" s="165">
        <f t="shared" si="21"/>
        <v>0.67909922589725547</v>
      </c>
      <c r="K98" s="164">
        <f>H98/H95</f>
        <v>0.45447619047619048</v>
      </c>
    </row>
    <row r="99" spans="2:11" x14ac:dyDescent="0.25">
      <c r="B99" s="157" t="s">
        <v>107</v>
      </c>
      <c r="C99" s="158">
        <v>1091</v>
      </c>
      <c r="D99" s="158">
        <v>348</v>
      </c>
      <c r="E99" s="158">
        <v>888</v>
      </c>
      <c r="F99" s="158">
        <v>1161</v>
      </c>
      <c r="G99" s="158">
        <v>1276</v>
      </c>
      <c r="H99" s="158">
        <v>1104</v>
      </c>
      <c r="I99" s="159">
        <f t="shared" si="20"/>
        <v>-0.13479623824451414</v>
      </c>
      <c r="J99" s="160">
        <f t="shared" si="21"/>
        <v>1.1915673693858819E-2</v>
      </c>
      <c r="K99" s="159">
        <f>H99/H95</f>
        <v>0.2102857142857143</v>
      </c>
    </row>
    <row r="100" spans="2:11" x14ac:dyDescent="0.25">
      <c r="B100" s="162" t="s">
        <v>110</v>
      </c>
      <c r="C100" s="163">
        <v>148</v>
      </c>
      <c r="D100" s="163">
        <v>26</v>
      </c>
      <c r="E100" s="163">
        <v>81</v>
      </c>
      <c r="F100" s="163">
        <v>179</v>
      </c>
      <c r="G100" s="163">
        <v>167</v>
      </c>
      <c r="H100" s="163">
        <v>134</v>
      </c>
      <c r="I100" s="164">
        <f t="shared" si="20"/>
        <v>-0.19760479041916168</v>
      </c>
      <c r="J100" s="165">
        <f t="shared" si="21"/>
        <v>-9.4594594594594628E-2</v>
      </c>
      <c r="K100" s="164">
        <f>H100/H95</f>
        <v>2.5523809523809525E-2</v>
      </c>
    </row>
    <row r="101" spans="2:11" x14ac:dyDescent="0.25">
      <c r="B101" s="162" t="s">
        <v>113</v>
      </c>
      <c r="C101" s="163">
        <v>194</v>
      </c>
      <c r="D101" s="163">
        <v>46</v>
      </c>
      <c r="E101" s="163">
        <v>227</v>
      </c>
      <c r="F101" s="163">
        <v>257</v>
      </c>
      <c r="G101" s="163">
        <v>257</v>
      </c>
      <c r="H101" s="163">
        <v>258</v>
      </c>
      <c r="I101" s="164">
        <f t="shared" si="20"/>
        <v>3.8910505836575737E-3</v>
      </c>
      <c r="J101" s="165">
        <f t="shared" si="21"/>
        <v>0.32989690721649478</v>
      </c>
      <c r="K101" s="164">
        <f>H101/H95</f>
        <v>4.9142857142857141E-2</v>
      </c>
    </row>
    <row r="102" spans="2:11" x14ac:dyDescent="0.25">
      <c r="B102" s="162" t="s">
        <v>116</v>
      </c>
      <c r="C102" s="163">
        <v>217</v>
      </c>
      <c r="D102" s="163">
        <v>61</v>
      </c>
      <c r="E102" s="163">
        <v>188</v>
      </c>
      <c r="F102" s="163">
        <v>162</v>
      </c>
      <c r="G102" s="163">
        <v>224</v>
      </c>
      <c r="H102" s="163">
        <v>166</v>
      </c>
      <c r="I102" s="164">
        <f t="shared" si="20"/>
        <v>-0.2589285714285714</v>
      </c>
      <c r="J102" s="165">
        <f t="shared" si="21"/>
        <v>-0.23502304147465436</v>
      </c>
      <c r="K102" s="164">
        <f>H102/H95</f>
        <v>3.1619047619047616E-2</v>
      </c>
    </row>
    <row r="103" spans="2:11" x14ac:dyDescent="0.25">
      <c r="B103" s="162" t="s">
        <v>123</v>
      </c>
      <c r="C103" s="163">
        <v>44</v>
      </c>
      <c r="D103" s="163">
        <v>6</v>
      </c>
      <c r="E103" s="163">
        <v>46</v>
      </c>
      <c r="F103" s="163">
        <v>73</v>
      </c>
      <c r="G103" s="163">
        <v>44</v>
      </c>
      <c r="H103" s="163">
        <v>36</v>
      </c>
      <c r="I103" s="164">
        <f t="shared" si="20"/>
        <v>-0.18181818181818177</v>
      </c>
      <c r="J103" s="165">
        <f t="shared" si="21"/>
        <v>-0.18181818181818177</v>
      </c>
      <c r="K103" s="164">
        <f>H103/H95</f>
        <v>6.8571428571428568E-3</v>
      </c>
    </row>
    <row r="104" spans="2:11" x14ac:dyDescent="0.25">
      <c r="B104" s="162" t="s">
        <v>119</v>
      </c>
      <c r="C104" s="163">
        <v>16</v>
      </c>
      <c r="D104" s="163">
        <v>41</v>
      </c>
      <c r="E104" s="163">
        <v>37</v>
      </c>
      <c r="F104" s="163">
        <v>34</v>
      </c>
      <c r="G104" s="163">
        <v>45</v>
      </c>
      <c r="H104" s="163">
        <v>46</v>
      </c>
      <c r="I104" s="164">
        <f t="shared" si="20"/>
        <v>2.2222222222222143E-2</v>
      </c>
      <c r="J104" s="165">
        <f t="shared" si="21"/>
        <v>1.875</v>
      </c>
      <c r="K104" s="164">
        <f>H104/H95</f>
        <v>8.7619047619047624E-3</v>
      </c>
    </row>
    <row r="105" spans="2:11" x14ac:dyDescent="0.25">
      <c r="B105" s="162" t="s">
        <v>128</v>
      </c>
      <c r="C105" s="163">
        <v>2</v>
      </c>
      <c r="D105" s="163">
        <v>1</v>
      </c>
      <c r="E105" s="163">
        <v>1</v>
      </c>
      <c r="F105" s="163">
        <v>9</v>
      </c>
      <c r="G105" s="163">
        <v>4</v>
      </c>
      <c r="H105" s="163">
        <v>13</v>
      </c>
      <c r="I105" s="164">
        <f t="shared" si="20"/>
        <v>2.25</v>
      </c>
      <c r="J105" s="165">
        <f t="shared" si="21"/>
        <v>5.5</v>
      </c>
      <c r="K105" s="164">
        <f>H105/H95</f>
        <v>2.476190476190476E-3</v>
      </c>
    </row>
    <row r="106" spans="2:11" x14ac:dyDescent="0.25">
      <c r="B106" s="162" t="s">
        <v>131</v>
      </c>
      <c r="C106" s="163">
        <v>0</v>
      </c>
      <c r="D106" s="163">
        <v>2</v>
      </c>
      <c r="E106" s="163">
        <v>10</v>
      </c>
      <c r="F106" s="163">
        <v>6</v>
      </c>
      <c r="G106" s="163">
        <v>14</v>
      </c>
      <c r="H106" s="163">
        <v>10</v>
      </c>
      <c r="I106" s="164">
        <f t="shared" si="20"/>
        <v>-0.2857142857142857</v>
      </c>
      <c r="J106" s="165" t="str">
        <f t="shared" si="21"/>
        <v>-</v>
      </c>
      <c r="K106" s="164">
        <f>H106/H95</f>
        <v>1.9047619047619048E-3</v>
      </c>
    </row>
    <row r="107" spans="2:11" x14ac:dyDescent="0.25">
      <c r="B107" s="168" t="s">
        <v>145</v>
      </c>
      <c r="C107" s="169">
        <f t="shared" ref="C107:H107" si="22">C99-SUM(C100:C106)</f>
        <v>470</v>
      </c>
      <c r="D107" s="169">
        <f t="shared" si="22"/>
        <v>165</v>
      </c>
      <c r="E107" s="169">
        <f t="shared" si="22"/>
        <v>298</v>
      </c>
      <c r="F107" s="169">
        <f t="shared" si="22"/>
        <v>441</v>
      </c>
      <c r="G107" s="169">
        <f t="shared" si="22"/>
        <v>521</v>
      </c>
      <c r="H107" s="169">
        <f t="shared" si="22"/>
        <v>441</v>
      </c>
      <c r="I107" s="170">
        <f t="shared" si="20"/>
        <v>-0.15355086372360849</v>
      </c>
      <c r="J107" s="171">
        <f t="shared" si="21"/>
        <v>-6.1702127659574502E-2</v>
      </c>
      <c r="K107" s="170">
        <f>H107/H95</f>
        <v>8.4000000000000005E-2</v>
      </c>
    </row>
    <row r="108" spans="2:11" x14ac:dyDescent="0.25">
      <c r="B108" s="153" t="s">
        <v>50</v>
      </c>
      <c r="C108" s="174"/>
      <c r="D108" s="174"/>
      <c r="E108" s="174"/>
      <c r="F108" s="174"/>
      <c r="G108" s="174"/>
      <c r="H108" s="174"/>
      <c r="I108" s="175"/>
      <c r="J108" s="175"/>
      <c r="K108" s="175"/>
    </row>
    <row r="109" spans="2:11" x14ac:dyDescent="0.25">
      <c r="B109" s="154" t="s">
        <v>68</v>
      </c>
      <c r="C109" s="176">
        <v>14009</v>
      </c>
      <c r="D109" s="176">
        <v>12835</v>
      </c>
      <c r="E109" s="176">
        <v>15344</v>
      </c>
      <c r="F109" s="176">
        <v>20526</v>
      </c>
      <c r="G109" s="176">
        <v>22179</v>
      </c>
      <c r="H109" s="176">
        <v>24127</v>
      </c>
      <c r="I109" s="177">
        <f t="shared" ref="I109:I121" si="23">IFERROR(H109/G109-1,"-")</f>
        <v>8.7830830966229234E-2</v>
      </c>
      <c r="J109" s="177">
        <f t="shared" ref="J109:J121" si="24">IFERROR(H109/C109-1,"-")</f>
        <v>0.72224998215432934</v>
      </c>
      <c r="K109" s="177">
        <f>H109/H109</f>
        <v>1</v>
      </c>
    </row>
    <row r="110" spans="2:11" x14ac:dyDescent="0.25">
      <c r="B110" s="157" t="s">
        <v>97</v>
      </c>
      <c r="C110" s="158">
        <v>3421</v>
      </c>
      <c r="D110" s="158">
        <v>9262</v>
      </c>
      <c r="E110" s="158">
        <v>6535</v>
      </c>
      <c r="F110" s="158">
        <v>6601</v>
      </c>
      <c r="G110" s="158">
        <v>5808</v>
      </c>
      <c r="H110" s="158">
        <v>6215</v>
      </c>
      <c r="I110" s="159">
        <f t="shared" si="23"/>
        <v>7.0075757575757569E-2</v>
      </c>
      <c r="J110" s="160">
        <f t="shared" si="24"/>
        <v>0.81672025723472674</v>
      </c>
      <c r="K110" s="159">
        <f>H110/H109</f>
        <v>0.25759522526629919</v>
      </c>
    </row>
    <row r="111" spans="2:11" x14ac:dyDescent="0.25">
      <c r="B111" s="162" t="s">
        <v>103</v>
      </c>
      <c r="C111" s="163">
        <v>1412</v>
      </c>
      <c r="D111" s="163">
        <v>298</v>
      </c>
      <c r="E111" s="163">
        <v>3410</v>
      </c>
      <c r="F111" s="163">
        <v>2043</v>
      </c>
      <c r="G111" s="163">
        <v>1628</v>
      </c>
      <c r="H111" s="163">
        <v>2250</v>
      </c>
      <c r="I111" s="164">
        <f t="shared" si="23"/>
        <v>0.38206388206388198</v>
      </c>
      <c r="J111" s="165">
        <f t="shared" si="24"/>
        <v>0.59348441926345608</v>
      </c>
      <c r="K111" s="164">
        <f>H111/H109</f>
        <v>9.3256517594396321E-2</v>
      </c>
    </row>
    <row r="112" spans="2:11" x14ac:dyDescent="0.25">
      <c r="B112" s="162" t="s">
        <v>100</v>
      </c>
      <c r="C112" s="163">
        <v>2009</v>
      </c>
      <c r="D112" s="163">
        <v>8964</v>
      </c>
      <c r="E112" s="163">
        <v>3125</v>
      </c>
      <c r="F112" s="163">
        <v>4558</v>
      </c>
      <c r="G112" s="163">
        <v>4180</v>
      </c>
      <c r="H112" s="163">
        <v>3965</v>
      </c>
      <c r="I112" s="164">
        <f t="shared" si="23"/>
        <v>-5.1435406698564612E-2</v>
      </c>
      <c r="J112" s="165">
        <f t="shared" si="24"/>
        <v>0.97361871577899461</v>
      </c>
      <c r="K112" s="164">
        <f>H112/H109</f>
        <v>0.16433870767190284</v>
      </c>
    </row>
    <row r="113" spans="2:11" x14ac:dyDescent="0.25">
      <c r="B113" s="157" t="s">
        <v>107</v>
      </c>
      <c r="C113" s="158">
        <v>10588</v>
      </c>
      <c r="D113" s="158">
        <v>3573</v>
      </c>
      <c r="E113" s="158">
        <v>8809</v>
      </c>
      <c r="F113" s="158">
        <v>13925</v>
      </c>
      <c r="G113" s="158">
        <v>16371</v>
      </c>
      <c r="H113" s="158">
        <v>17912</v>
      </c>
      <c r="I113" s="159">
        <f t="shared" si="23"/>
        <v>9.4129863783519729E-2</v>
      </c>
      <c r="J113" s="160">
        <f t="shared" si="24"/>
        <v>0.69172648281072924</v>
      </c>
      <c r="K113" s="159">
        <f>H113/H109</f>
        <v>0.74240477473370081</v>
      </c>
    </row>
    <row r="114" spans="2:11" x14ac:dyDescent="0.25">
      <c r="B114" s="162" t="s">
        <v>110</v>
      </c>
      <c r="C114" s="163">
        <v>5926</v>
      </c>
      <c r="D114" s="163">
        <v>929</v>
      </c>
      <c r="E114" s="163">
        <v>4493</v>
      </c>
      <c r="F114" s="163">
        <v>9251</v>
      </c>
      <c r="G114" s="163">
        <v>11562</v>
      </c>
      <c r="H114" s="163">
        <v>12021</v>
      </c>
      <c r="I114" s="164">
        <f t="shared" si="23"/>
        <v>3.9699014011416622E-2</v>
      </c>
      <c r="J114" s="165">
        <f t="shared" si="24"/>
        <v>1.028518393520081</v>
      </c>
      <c r="K114" s="164">
        <f>H114/H109</f>
        <v>0.49823848800099474</v>
      </c>
    </row>
    <row r="115" spans="2:11" x14ac:dyDescent="0.25">
      <c r="B115" s="162" t="s">
        <v>113</v>
      </c>
      <c r="C115" s="163">
        <v>1144</v>
      </c>
      <c r="D115" s="163">
        <v>242</v>
      </c>
      <c r="E115" s="163">
        <v>620</v>
      </c>
      <c r="F115" s="163">
        <v>491</v>
      </c>
      <c r="G115" s="163">
        <v>659</v>
      </c>
      <c r="H115" s="163">
        <v>606</v>
      </c>
      <c r="I115" s="164">
        <f t="shared" si="23"/>
        <v>-8.0424886191198808E-2</v>
      </c>
      <c r="J115" s="165">
        <f t="shared" si="24"/>
        <v>-0.47027972027972031</v>
      </c>
      <c r="K115" s="164">
        <f>H115/H109</f>
        <v>2.5117088738757409E-2</v>
      </c>
    </row>
    <row r="116" spans="2:11" x14ac:dyDescent="0.25">
      <c r="B116" s="162" t="s">
        <v>116</v>
      </c>
      <c r="C116" s="163">
        <v>1191</v>
      </c>
      <c r="D116" s="163">
        <v>249</v>
      </c>
      <c r="E116" s="163">
        <v>809</v>
      </c>
      <c r="F116" s="163">
        <v>997</v>
      </c>
      <c r="G116" s="163">
        <v>767</v>
      </c>
      <c r="H116" s="163">
        <v>1443</v>
      </c>
      <c r="I116" s="164">
        <f t="shared" si="23"/>
        <v>0.88135593220338992</v>
      </c>
      <c r="J116" s="165">
        <f t="shared" si="24"/>
        <v>0.21158690176322414</v>
      </c>
      <c r="K116" s="164">
        <f>H116/H109</f>
        <v>5.9808513283872843E-2</v>
      </c>
    </row>
    <row r="117" spans="2:11" x14ac:dyDescent="0.25">
      <c r="B117" s="162" t="s">
        <v>123</v>
      </c>
      <c r="C117" s="163">
        <v>128</v>
      </c>
      <c r="D117" s="163">
        <v>43</v>
      </c>
      <c r="E117" s="163">
        <v>633</v>
      </c>
      <c r="F117" s="163">
        <v>421</v>
      </c>
      <c r="G117" s="163">
        <v>453</v>
      </c>
      <c r="H117" s="163">
        <v>436</v>
      </c>
      <c r="I117" s="164">
        <f t="shared" si="23"/>
        <v>-3.7527593818984517E-2</v>
      </c>
      <c r="J117" s="165">
        <f t="shared" si="24"/>
        <v>2.40625</v>
      </c>
      <c r="K117" s="164">
        <f>H117/H109</f>
        <v>1.8071040742736355E-2</v>
      </c>
    </row>
    <row r="118" spans="2:11" x14ac:dyDescent="0.25">
      <c r="B118" s="162" t="s">
        <v>119</v>
      </c>
      <c r="C118" s="163">
        <v>322</v>
      </c>
      <c r="D118" s="163">
        <v>1240</v>
      </c>
      <c r="E118" s="163">
        <v>676</v>
      </c>
      <c r="F118" s="163">
        <v>518</v>
      </c>
      <c r="G118" s="163">
        <v>406</v>
      </c>
      <c r="H118" s="163">
        <v>400</v>
      </c>
      <c r="I118" s="164">
        <f t="shared" si="23"/>
        <v>-1.4778325123152691E-2</v>
      </c>
      <c r="J118" s="165">
        <f t="shared" si="24"/>
        <v>0.2422360248447204</v>
      </c>
      <c r="K118" s="164">
        <f>H118/H109</f>
        <v>1.6578936461226011E-2</v>
      </c>
    </row>
    <row r="119" spans="2:11" x14ac:dyDescent="0.25">
      <c r="B119" s="162" t="s">
        <v>128</v>
      </c>
      <c r="C119" s="163">
        <v>19</v>
      </c>
      <c r="D119" s="163">
        <v>16</v>
      </c>
      <c r="E119" s="163">
        <v>10</v>
      </c>
      <c r="F119" s="163">
        <v>19</v>
      </c>
      <c r="G119" s="163">
        <v>47</v>
      </c>
      <c r="H119" s="163">
        <v>13</v>
      </c>
      <c r="I119" s="164">
        <f t="shared" si="23"/>
        <v>-0.72340425531914887</v>
      </c>
      <c r="J119" s="165">
        <f t="shared" si="24"/>
        <v>-0.31578947368421051</v>
      </c>
      <c r="K119" s="164">
        <f>H119/H109</f>
        <v>5.3881543498984536E-4</v>
      </c>
    </row>
    <row r="120" spans="2:11" x14ac:dyDescent="0.25">
      <c r="B120" s="162" t="s">
        <v>131</v>
      </c>
      <c r="C120" s="163">
        <v>24</v>
      </c>
      <c r="D120" s="163">
        <v>8</v>
      </c>
      <c r="E120" s="163">
        <v>13</v>
      </c>
      <c r="F120" s="163">
        <v>8</v>
      </c>
      <c r="G120" s="163">
        <v>22</v>
      </c>
      <c r="H120" s="163">
        <v>4</v>
      </c>
      <c r="I120" s="164">
        <f t="shared" si="23"/>
        <v>-0.81818181818181812</v>
      </c>
      <c r="J120" s="165">
        <f t="shared" si="24"/>
        <v>-0.83333333333333337</v>
      </c>
      <c r="K120" s="164">
        <f>H120/H109</f>
        <v>1.6578936461226012E-4</v>
      </c>
    </row>
    <row r="121" spans="2:11" x14ac:dyDescent="0.25">
      <c r="B121" s="168" t="s">
        <v>145</v>
      </c>
      <c r="C121" s="169">
        <f t="shared" ref="C121:H121" si="25">C113-SUM(C114:C120)</f>
        <v>1834</v>
      </c>
      <c r="D121" s="169">
        <f t="shared" si="25"/>
        <v>846</v>
      </c>
      <c r="E121" s="169">
        <f t="shared" si="25"/>
        <v>1555</v>
      </c>
      <c r="F121" s="169">
        <f t="shared" si="25"/>
        <v>2220</v>
      </c>
      <c r="G121" s="169">
        <f t="shared" si="25"/>
        <v>2455</v>
      </c>
      <c r="H121" s="169">
        <f t="shared" si="25"/>
        <v>2989</v>
      </c>
      <c r="I121" s="170">
        <f t="shared" si="23"/>
        <v>0.2175152749490834</v>
      </c>
      <c r="J121" s="171">
        <f t="shared" si="24"/>
        <v>0.62977099236641232</v>
      </c>
      <c r="K121" s="170">
        <f>H121/H109</f>
        <v>0.12388610270651138</v>
      </c>
    </row>
    <row r="122" spans="2:11" x14ac:dyDescent="0.25">
      <c r="B122" s="153" t="s">
        <v>51</v>
      </c>
      <c r="C122" s="174"/>
      <c r="D122" s="174"/>
      <c r="E122" s="174"/>
      <c r="F122" s="174"/>
      <c r="G122" s="174"/>
      <c r="H122" s="174"/>
      <c r="I122" s="175"/>
      <c r="J122" s="175"/>
      <c r="K122" s="175"/>
    </row>
    <row r="123" spans="2:11" x14ac:dyDescent="0.25">
      <c r="B123" s="154" t="s">
        <v>68</v>
      </c>
      <c r="C123" s="176">
        <v>16545</v>
      </c>
      <c r="D123" s="176">
        <v>7643</v>
      </c>
      <c r="E123" s="176">
        <v>16992</v>
      </c>
      <c r="F123" s="176">
        <v>20549</v>
      </c>
      <c r="G123" s="176">
        <v>16671</v>
      </c>
      <c r="H123" s="176">
        <v>20174</v>
      </c>
      <c r="I123" s="177">
        <f t="shared" ref="I123:I135" si="26">IFERROR(H123/G123-1,"-")</f>
        <v>0.21012536740447474</v>
      </c>
      <c r="J123" s="177">
        <f t="shared" ref="J123:J135" si="27">IFERROR(H123/C123-1,"-")</f>
        <v>0.21934119069205193</v>
      </c>
      <c r="K123" s="177">
        <f>H123/H123</f>
        <v>1</v>
      </c>
    </row>
    <row r="124" spans="2:11" x14ac:dyDescent="0.25">
      <c r="B124" s="157" t="s">
        <v>97</v>
      </c>
      <c r="C124" s="158">
        <v>9542</v>
      </c>
      <c r="D124" s="158">
        <v>5334</v>
      </c>
      <c r="E124" s="158">
        <v>11386</v>
      </c>
      <c r="F124" s="158">
        <v>13102</v>
      </c>
      <c r="G124" s="158">
        <v>11658</v>
      </c>
      <c r="H124" s="158">
        <v>14592</v>
      </c>
      <c r="I124" s="159">
        <f t="shared" si="26"/>
        <v>0.2516726711271231</v>
      </c>
      <c r="J124" s="160">
        <f t="shared" si="27"/>
        <v>0.52923915321735482</v>
      </c>
      <c r="K124" s="159">
        <f>H124/H123</f>
        <v>0.72330722712402107</v>
      </c>
    </row>
    <row r="125" spans="2:11" x14ac:dyDescent="0.25">
      <c r="B125" s="162" t="s">
        <v>103</v>
      </c>
      <c r="C125" s="163">
        <v>4702</v>
      </c>
      <c r="D125" s="163">
        <v>1784</v>
      </c>
      <c r="E125" s="163">
        <v>5443</v>
      </c>
      <c r="F125" s="163">
        <v>6791</v>
      </c>
      <c r="G125" s="163">
        <v>4887</v>
      </c>
      <c r="H125" s="163">
        <v>8256</v>
      </c>
      <c r="I125" s="164">
        <f t="shared" si="26"/>
        <v>0.68937998772252906</v>
      </c>
      <c r="J125" s="165">
        <f t="shared" si="27"/>
        <v>0.75584857507443637</v>
      </c>
      <c r="K125" s="164">
        <f>H125/H123</f>
        <v>0.40923961534648556</v>
      </c>
    </row>
    <row r="126" spans="2:11" x14ac:dyDescent="0.25">
      <c r="B126" s="162" t="s">
        <v>100</v>
      </c>
      <c r="C126" s="163">
        <v>4840</v>
      </c>
      <c r="D126" s="163">
        <v>3550</v>
      </c>
      <c r="E126" s="163">
        <v>5943</v>
      </c>
      <c r="F126" s="163">
        <v>6311</v>
      </c>
      <c r="G126" s="163">
        <v>6771</v>
      </c>
      <c r="H126" s="163">
        <v>6336</v>
      </c>
      <c r="I126" s="164">
        <f t="shared" si="26"/>
        <v>-6.4244572441293779E-2</v>
      </c>
      <c r="J126" s="165">
        <f t="shared" si="27"/>
        <v>0.30909090909090908</v>
      </c>
      <c r="K126" s="164">
        <f>H126/H123</f>
        <v>0.31406761177753545</v>
      </c>
    </row>
    <row r="127" spans="2:11" x14ac:dyDescent="0.25">
      <c r="B127" s="157" t="s">
        <v>107</v>
      </c>
      <c r="C127" s="158">
        <v>7003</v>
      </c>
      <c r="D127" s="158">
        <v>2309</v>
      </c>
      <c r="E127" s="158">
        <v>5606</v>
      </c>
      <c r="F127" s="158">
        <v>7447</v>
      </c>
      <c r="G127" s="158">
        <v>5013</v>
      </c>
      <c r="H127" s="158">
        <v>5582</v>
      </c>
      <c r="I127" s="159">
        <f t="shared" si="26"/>
        <v>0.1135048872930382</v>
      </c>
      <c r="J127" s="160">
        <f t="shared" si="27"/>
        <v>-0.20291303726974153</v>
      </c>
      <c r="K127" s="159">
        <f>H127/H123</f>
        <v>0.27669277287597899</v>
      </c>
    </row>
    <row r="128" spans="2:11" x14ac:dyDescent="0.25">
      <c r="B128" s="162" t="s">
        <v>110</v>
      </c>
      <c r="C128" s="163">
        <v>969</v>
      </c>
      <c r="D128" s="163">
        <v>108</v>
      </c>
      <c r="E128" s="163">
        <v>315</v>
      </c>
      <c r="F128" s="163">
        <v>1108</v>
      </c>
      <c r="G128" s="163">
        <v>640</v>
      </c>
      <c r="H128" s="163">
        <v>666</v>
      </c>
      <c r="I128" s="164">
        <f t="shared" si="26"/>
        <v>4.0624999999999911E-2</v>
      </c>
      <c r="J128" s="165">
        <f t="shared" si="27"/>
        <v>-0.31269349845201233</v>
      </c>
      <c r="K128" s="164">
        <f>H128/H123</f>
        <v>3.3012788737979575E-2</v>
      </c>
    </row>
    <row r="129" spans="2:11" x14ac:dyDescent="0.25">
      <c r="B129" s="162" t="s">
        <v>113</v>
      </c>
      <c r="C129" s="163">
        <v>415</v>
      </c>
      <c r="D129" s="163">
        <v>126</v>
      </c>
      <c r="E129" s="163">
        <v>516</v>
      </c>
      <c r="F129" s="163">
        <v>741</v>
      </c>
      <c r="G129" s="163">
        <v>618</v>
      </c>
      <c r="H129" s="163">
        <v>600</v>
      </c>
      <c r="I129" s="164">
        <f t="shared" si="26"/>
        <v>-2.9126213592232997E-2</v>
      </c>
      <c r="J129" s="165">
        <f t="shared" si="27"/>
        <v>0.44578313253012047</v>
      </c>
      <c r="K129" s="164">
        <f>H129/H123</f>
        <v>2.9741251115296918E-2</v>
      </c>
    </row>
    <row r="130" spans="2:11" x14ac:dyDescent="0.25">
      <c r="B130" s="162" t="s">
        <v>116</v>
      </c>
      <c r="C130" s="163">
        <v>513</v>
      </c>
      <c r="D130" s="163">
        <v>110</v>
      </c>
      <c r="E130" s="163">
        <v>582</v>
      </c>
      <c r="F130" s="163">
        <v>608</v>
      </c>
      <c r="G130" s="163">
        <v>584</v>
      </c>
      <c r="H130" s="163">
        <v>657</v>
      </c>
      <c r="I130" s="164">
        <f t="shared" si="26"/>
        <v>0.125</v>
      </c>
      <c r="J130" s="165">
        <f t="shared" si="27"/>
        <v>0.2807017543859649</v>
      </c>
      <c r="K130" s="164">
        <f>H130/H123</f>
        <v>3.2566669971250121E-2</v>
      </c>
    </row>
    <row r="131" spans="2:11" x14ac:dyDescent="0.25">
      <c r="B131" s="162" t="s">
        <v>123</v>
      </c>
      <c r="C131" s="163">
        <v>127</v>
      </c>
      <c r="D131" s="163">
        <v>20</v>
      </c>
      <c r="E131" s="163">
        <v>124</v>
      </c>
      <c r="F131" s="163">
        <v>212</v>
      </c>
      <c r="G131" s="163">
        <v>163</v>
      </c>
      <c r="H131" s="163">
        <v>112</v>
      </c>
      <c r="I131" s="164">
        <f t="shared" si="26"/>
        <v>-0.31288343558282206</v>
      </c>
      <c r="J131" s="165">
        <f t="shared" si="27"/>
        <v>-0.11811023622047245</v>
      </c>
      <c r="K131" s="164">
        <f>H131/H123</f>
        <v>5.5517002081887576E-3</v>
      </c>
    </row>
    <row r="132" spans="2:11" x14ac:dyDescent="0.25">
      <c r="B132" s="162" t="s">
        <v>119</v>
      </c>
      <c r="C132" s="163">
        <v>114</v>
      </c>
      <c r="D132" s="163">
        <v>78</v>
      </c>
      <c r="E132" s="163">
        <v>100</v>
      </c>
      <c r="F132" s="163">
        <v>107</v>
      </c>
      <c r="G132" s="163">
        <v>105</v>
      </c>
      <c r="H132" s="163">
        <v>147</v>
      </c>
      <c r="I132" s="164">
        <f t="shared" si="26"/>
        <v>0.39999999999999991</v>
      </c>
      <c r="J132" s="165">
        <f t="shared" si="27"/>
        <v>0.28947368421052633</v>
      </c>
      <c r="K132" s="164">
        <f>H132/H123</f>
        <v>7.2866065232477448E-3</v>
      </c>
    </row>
    <row r="133" spans="2:11" x14ac:dyDescent="0.25">
      <c r="B133" s="162" t="s">
        <v>128</v>
      </c>
      <c r="C133" s="163">
        <v>62</v>
      </c>
      <c r="D133" s="163">
        <v>0</v>
      </c>
      <c r="E133" s="163">
        <v>20</v>
      </c>
      <c r="F133" s="163">
        <v>32</v>
      </c>
      <c r="G133" s="163">
        <v>32</v>
      </c>
      <c r="H133" s="163">
        <v>24</v>
      </c>
      <c r="I133" s="164">
        <f t="shared" si="26"/>
        <v>-0.25</v>
      </c>
      <c r="J133" s="165">
        <f t="shared" si="27"/>
        <v>-0.61290322580645162</v>
      </c>
      <c r="K133" s="164">
        <f>H133/H123</f>
        <v>1.1896500446118767E-3</v>
      </c>
    </row>
    <row r="134" spans="2:11" x14ac:dyDescent="0.25">
      <c r="B134" s="162" t="s">
        <v>131</v>
      </c>
      <c r="C134" s="163">
        <v>39</v>
      </c>
      <c r="D134" s="163">
        <v>30</v>
      </c>
      <c r="E134" s="163">
        <v>36</v>
      </c>
      <c r="F134" s="163">
        <v>34</v>
      </c>
      <c r="G134" s="163">
        <v>44</v>
      </c>
      <c r="H134" s="163">
        <v>24</v>
      </c>
      <c r="I134" s="164">
        <f t="shared" si="26"/>
        <v>-0.45454545454545459</v>
      </c>
      <c r="J134" s="165">
        <f t="shared" si="27"/>
        <v>-0.38461538461538458</v>
      </c>
      <c r="K134" s="164">
        <f>H134/H123</f>
        <v>1.1896500446118767E-3</v>
      </c>
    </row>
    <row r="135" spans="2:11" x14ac:dyDescent="0.25">
      <c r="B135" s="168" t="s">
        <v>145</v>
      </c>
      <c r="C135" s="169">
        <f t="shared" ref="C135:H135" si="28">C127-SUM(C128:C134)</f>
        <v>4764</v>
      </c>
      <c r="D135" s="169">
        <f t="shared" si="28"/>
        <v>1837</v>
      </c>
      <c r="E135" s="169">
        <f t="shared" si="28"/>
        <v>3913</v>
      </c>
      <c r="F135" s="169">
        <f t="shared" si="28"/>
        <v>4605</v>
      </c>
      <c r="G135" s="169">
        <f t="shared" si="28"/>
        <v>2827</v>
      </c>
      <c r="H135" s="169">
        <f t="shared" si="28"/>
        <v>3352</v>
      </c>
      <c r="I135" s="170">
        <f t="shared" si="26"/>
        <v>0.18570923240183945</v>
      </c>
      <c r="J135" s="171">
        <f t="shared" si="27"/>
        <v>-0.29638958858102438</v>
      </c>
      <c r="K135" s="170">
        <f>H135/H123</f>
        <v>0.16615445623079211</v>
      </c>
    </row>
    <row r="136" spans="2:11" x14ac:dyDescent="0.25">
      <c r="B136" s="153" t="s">
        <v>52</v>
      </c>
      <c r="C136" s="174"/>
      <c r="D136" s="174"/>
      <c r="E136" s="174"/>
      <c r="F136" s="174"/>
      <c r="G136" s="174"/>
      <c r="H136" s="174"/>
      <c r="I136" s="175"/>
      <c r="J136" s="175"/>
      <c r="K136" s="175"/>
    </row>
    <row r="137" spans="2:11" x14ac:dyDescent="0.25">
      <c r="B137" s="154" t="s">
        <v>68</v>
      </c>
      <c r="C137" s="176">
        <v>26444</v>
      </c>
      <c r="D137" s="176">
        <v>6596</v>
      </c>
      <c r="E137" s="176">
        <v>17890</v>
      </c>
      <c r="F137" s="176">
        <v>24264</v>
      </c>
      <c r="G137" s="176">
        <v>26447</v>
      </c>
      <c r="H137" s="176">
        <v>25421</v>
      </c>
      <c r="I137" s="177">
        <f t="shared" ref="I137:I149" si="29">IFERROR(H137/G137-1,"-")</f>
        <v>-3.8794570272620676E-2</v>
      </c>
      <c r="J137" s="177">
        <f t="shared" ref="J137:J149" si="30">IFERROR(H137/C137-1,"-")</f>
        <v>-3.8685524126455872E-2</v>
      </c>
      <c r="K137" s="177">
        <f>H137/H137</f>
        <v>1</v>
      </c>
    </row>
    <row r="138" spans="2:11" x14ac:dyDescent="0.25">
      <c r="B138" s="157" t="s">
        <v>97</v>
      </c>
      <c r="C138" s="158">
        <v>6360</v>
      </c>
      <c r="D138" s="158">
        <v>4187</v>
      </c>
      <c r="E138" s="158">
        <v>5654</v>
      </c>
      <c r="F138" s="158">
        <v>3786</v>
      </c>
      <c r="G138" s="158">
        <v>3753</v>
      </c>
      <c r="H138" s="158">
        <v>3212</v>
      </c>
      <c r="I138" s="159">
        <f t="shared" si="29"/>
        <v>-0.14415134559019449</v>
      </c>
      <c r="J138" s="160">
        <f t="shared" si="30"/>
        <v>-0.4949685534591195</v>
      </c>
      <c r="K138" s="159">
        <f>H138/H137</f>
        <v>0.12635222847252273</v>
      </c>
    </row>
    <row r="139" spans="2:11" x14ac:dyDescent="0.25">
      <c r="B139" s="162" t="s">
        <v>103</v>
      </c>
      <c r="C139" s="163">
        <v>2001</v>
      </c>
      <c r="D139" s="163">
        <v>2459</v>
      </c>
      <c r="E139" s="163">
        <v>4018</v>
      </c>
      <c r="F139" s="163">
        <v>2710</v>
      </c>
      <c r="G139" s="163">
        <v>2511</v>
      </c>
      <c r="H139" s="163">
        <v>1803</v>
      </c>
      <c r="I139" s="164">
        <f t="shared" si="29"/>
        <v>-0.28195937873357224</v>
      </c>
      <c r="J139" s="165">
        <f t="shared" si="30"/>
        <v>-9.8950524737631218E-2</v>
      </c>
      <c r="K139" s="164">
        <f>H139/H137</f>
        <v>7.0925612682427919E-2</v>
      </c>
    </row>
    <row r="140" spans="2:11" x14ac:dyDescent="0.25">
      <c r="B140" s="162" t="s">
        <v>100</v>
      </c>
      <c r="C140" s="163">
        <v>4359</v>
      </c>
      <c r="D140" s="163">
        <v>1728</v>
      </c>
      <c r="E140" s="163">
        <v>1636</v>
      </c>
      <c r="F140" s="163">
        <v>1076</v>
      </c>
      <c r="G140" s="163">
        <v>1242</v>
      </c>
      <c r="H140" s="163">
        <v>1409</v>
      </c>
      <c r="I140" s="164">
        <f t="shared" si="29"/>
        <v>0.1344605475040257</v>
      </c>
      <c r="J140" s="165">
        <f t="shared" si="30"/>
        <v>-0.67676072493691208</v>
      </c>
      <c r="K140" s="164">
        <f>H140/H137</f>
        <v>5.5426615790094801E-2</v>
      </c>
    </row>
    <row r="141" spans="2:11" x14ac:dyDescent="0.25">
      <c r="B141" s="157" t="s">
        <v>107</v>
      </c>
      <c r="C141" s="158">
        <v>20084</v>
      </c>
      <c r="D141" s="158">
        <v>2409</v>
      </c>
      <c r="E141" s="158">
        <v>12236</v>
      </c>
      <c r="F141" s="158">
        <v>20478</v>
      </c>
      <c r="G141" s="158">
        <v>22694</v>
      </c>
      <c r="H141" s="158">
        <v>22209</v>
      </c>
      <c r="I141" s="159">
        <f t="shared" si="29"/>
        <v>-2.1371287564995178E-2</v>
      </c>
      <c r="J141" s="160">
        <f t="shared" si="30"/>
        <v>0.10580561641107344</v>
      </c>
      <c r="K141" s="159">
        <f>H141/H137</f>
        <v>0.8736477715274773</v>
      </c>
    </row>
    <row r="142" spans="2:11" x14ac:dyDescent="0.25">
      <c r="B142" s="162" t="s">
        <v>110</v>
      </c>
      <c r="C142" s="163">
        <v>10959</v>
      </c>
      <c r="D142" s="163">
        <v>277</v>
      </c>
      <c r="E142" s="163">
        <v>3384</v>
      </c>
      <c r="F142" s="163">
        <v>10235</v>
      </c>
      <c r="G142" s="163">
        <v>11415</v>
      </c>
      <c r="H142" s="163">
        <v>11236</v>
      </c>
      <c r="I142" s="164">
        <f t="shared" si="29"/>
        <v>-1.5681121331581283E-2</v>
      </c>
      <c r="J142" s="165">
        <f t="shared" si="30"/>
        <v>2.5276028834747777E-2</v>
      </c>
      <c r="K142" s="164">
        <f>H142/H137</f>
        <v>0.44199677432044371</v>
      </c>
    </row>
    <row r="143" spans="2:11" x14ac:dyDescent="0.25">
      <c r="B143" s="162" t="s">
        <v>113</v>
      </c>
      <c r="C143" s="163">
        <v>1672</v>
      </c>
      <c r="D143" s="163">
        <v>263</v>
      </c>
      <c r="E143" s="163">
        <v>962</v>
      </c>
      <c r="F143" s="163">
        <v>1370</v>
      </c>
      <c r="G143" s="163">
        <v>1837</v>
      </c>
      <c r="H143" s="163">
        <v>1470</v>
      </c>
      <c r="I143" s="164">
        <f t="shared" si="29"/>
        <v>-0.19978225367446922</v>
      </c>
      <c r="J143" s="165">
        <f t="shared" si="30"/>
        <v>-0.12081339712918659</v>
      </c>
      <c r="K143" s="164">
        <f>H143/H137</f>
        <v>5.7826206679516934E-2</v>
      </c>
    </row>
    <row r="144" spans="2:11" x14ac:dyDescent="0.25">
      <c r="B144" s="162" t="s">
        <v>116</v>
      </c>
      <c r="C144" s="163">
        <v>1754</v>
      </c>
      <c r="D144" s="163">
        <v>346</v>
      </c>
      <c r="E144" s="163">
        <v>1404</v>
      </c>
      <c r="F144" s="163">
        <v>1920</v>
      </c>
      <c r="G144" s="163">
        <v>2346</v>
      </c>
      <c r="H144" s="163">
        <v>1937</v>
      </c>
      <c r="I144" s="164">
        <f t="shared" si="29"/>
        <v>-0.17433930093776639</v>
      </c>
      <c r="J144" s="165">
        <f t="shared" si="30"/>
        <v>0.10433295324971503</v>
      </c>
      <c r="K144" s="164">
        <f>H144/H137</f>
        <v>7.6196845128043741E-2</v>
      </c>
    </row>
    <row r="145" spans="2:11" x14ac:dyDescent="0.25">
      <c r="B145" s="162" t="s">
        <v>123</v>
      </c>
      <c r="C145" s="163">
        <v>393</v>
      </c>
      <c r="D145" s="163">
        <v>12</v>
      </c>
      <c r="E145" s="163">
        <v>724</v>
      </c>
      <c r="F145" s="163">
        <v>961</v>
      </c>
      <c r="G145" s="163">
        <v>1021</v>
      </c>
      <c r="H145" s="163">
        <v>533</v>
      </c>
      <c r="I145" s="164">
        <f t="shared" si="29"/>
        <v>-0.47796278158667971</v>
      </c>
      <c r="J145" s="165">
        <f t="shared" si="30"/>
        <v>0.35623409669211203</v>
      </c>
      <c r="K145" s="164">
        <f>H145/H137</f>
        <v>2.0966917115770426E-2</v>
      </c>
    </row>
    <row r="146" spans="2:11" x14ac:dyDescent="0.25">
      <c r="B146" s="162" t="s">
        <v>119</v>
      </c>
      <c r="C146" s="163">
        <v>448</v>
      </c>
      <c r="D146" s="163">
        <v>182</v>
      </c>
      <c r="E146" s="163">
        <v>592</v>
      </c>
      <c r="F146" s="163">
        <v>363</v>
      </c>
      <c r="G146" s="163">
        <v>402</v>
      </c>
      <c r="H146" s="163">
        <v>269</v>
      </c>
      <c r="I146" s="164">
        <f t="shared" si="29"/>
        <v>-0.3308457711442786</v>
      </c>
      <c r="J146" s="165">
        <f t="shared" si="30"/>
        <v>-0.3995535714285714</v>
      </c>
      <c r="K146" s="164">
        <f>H146/H137</f>
        <v>1.0581802446795956E-2</v>
      </c>
    </row>
    <row r="147" spans="2:11" x14ac:dyDescent="0.25">
      <c r="B147" s="162" t="s">
        <v>128</v>
      </c>
      <c r="C147" s="163">
        <v>9</v>
      </c>
      <c r="D147" s="163">
        <v>2</v>
      </c>
      <c r="E147" s="163">
        <v>3</v>
      </c>
      <c r="F147" s="163">
        <v>22</v>
      </c>
      <c r="G147" s="163">
        <v>12</v>
      </c>
      <c r="H147" s="163">
        <v>12</v>
      </c>
      <c r="I147" s="164">
        <f t="shared" si="29"/>
        <v>0</v>
      </c>
      <c r="J147" s="165">
        <f t="shared" si="30"/>
        <v>0.33333333333333326</v>
      </c>
      <c r="K147" s="164">
        <f>H147/H137</f>
        <v>4.7205066677156679E-4</v>
      </c>
    </row>
    <row r="148" spans="2:11" x14ac:dyDescent="0.25">
      <c r="B148" s="162" t="s">
        <v>131</v>
      </c>
      <c r="C148" s="163">
        <v>30</v>
      </c>
      <c r="D148" s="163">
        <v>0</v>
      </c>
      <c r="E148" s="163">
        <v>0</v>
      </c>
      <c r="F148" s="163">
        <v>3</v>
      </c>
      <c r="G148" s="163">
        <v>11</v>
      </c>
      <c r="H148" s="163">
        <v>12</v>
      </c>
      <c r="I148" s="164">
        <f t="shared" si="29"/>
        <v>9.0909090909090828E-2</v>
      </c>
      <c r="J148" s="165">
        <f t="shared" si="30"/>
        <v>-0.6</v>
      </c>
      <c r="K148" s="164">
        <f>H148/H137</f>
        <v>4.7205066677156679E-4</v>
      </c>
    </row>
    <row r="149" spans="2:11" x14ac:dyDescent="0.25">
      <c r="B149" s="168" t="s">
        <v>145</v>
      </c>
      <c r="C149" s="169">
        <f t="shared" ref="C149:H149" si="31">C141-SUM(C142:C148)</f>
        <v>4819</v>
      </c>
      <c r="D149" s="169">
        <f t="shared" si="31"/>
        <v>1327</v>
      </c>
      <c r="E149" s="169">
        <f t="shared" si="31"/>
        <v>5167</v>
      </c>
      <c r="F149" s="169">
        <f t="shared" si="31"/>
        <v>5604</v>
      </c>
      <c r="G149" s="169">
        <f t="shared" si="31"/>
        <v>5650</v>
      </c>
      <c r="H149" s="169">
        <f t="shared" si="31"/>
        <v>6740</v>
      </c>
      <c r="I149" s="170">
        <f t="shared" si="29"/>
        <v>0.19292035398230079</v>
      </c>
      <c r="J149" s="171">
        <f t="shared" si="30"/>
        <v>0.39863042124922177</v>
      </c>
      <c r="K149" s="170">
        <f>H149/H137</f>
        <v>0.26513512450336335</v>
      </c>
    </row>
    <row r="150" spans="2:11" x14ac:dyDescent="0.25">
      <c r="B150" s="153" t="s">
        <v>53</v>
      </c>
      <c r="C150" s="174"/>
      <c r="D150" s="174"/>
      <c r="E150" s="174"/>
      <c r="F150" s="174"/>
      <c r="G150" s="174"/>
      <c r="H150" s="174"/>
      <c r="I150" s="175"/>
      <c r="J150" s="175"/>
      <c r="K150" s="175"/>
    </row>
    <row r="151" spans="2:11" x14ac:dyDescent="0.25">
      <c r="B151" s="154" t="s">
        <v>68</v>
      </c>
      <c r="C151" s="176">
        <v>9128</v>
      </c>
      <c r="D151" s="176">
        <v>4062</v>
      </c>
      <c r="E151" s="176">
        <v>8589</v>
      </c>
      <c r="F151" s="176">
        <v>10300</v>
      </c>
      <c r="G151" s="176">
        <v>11494</v>
      </c>
      <c r="H151" s="176">
        <v>12467</v>
      </c>
      <c r="I151" s="177">
        <f t="shared" ref="I151:I163" si="32">IFERROR(H151/G151-1,"-")</f>
        <v>8.4652862362972092E-2</v>
      </c>
      <c r="J151" s="177">
        <f t="shared" ref="J151:J163" si="33">IFERROR(H151/C151-1,"-")</f>
        <v>0.36579754601226999</v>
      </c>
      <c r="K151" s="177">
        <f>H151/H151</f>
        <v>1</v>
      </c>
    </row>
    <row r="152" spans="2:11" x14ac:dyDescent="0.25">
      <c r="B152" s="157" t="s">
        <v>97</v>
      </c>
      <c r="C152" s="158">
        <v>3146</v>
      </c>
      <c r="D152" s="158">
        <v>3234</v>
      </c>
      <c r="E152" s="158">
        <v>4764</v>
      </c>
      <c r="F152" s="158">
        <v>5825</v>
      </c>
      <c r="G152" s="158">
        <v>5944</v>
      </c>
      <c r="H152" s="158">
        <v>5979</v>
      </c>
      <c r="I152" s="159">
        <f t="shared" si="32"/>
        <v>5.8882907133244178E-3</v>
      </c>
      <c r="J152" s="160">
        <f t="shared" si="33"/>
        <v>0.90050858232676423</v>
      </c>
      <c r="K152" s="159">
        <f>H152/H151</f>
        <v>0.47958610732333362</v>
      </c>
    </row>
    <row r="153" spans="2:11" x14ac:dyDescent="0.25">
      <c r="B153" s="162" t="s">
        <v>103</v>
      </c>
      <c r="C153" s="163">
        <v>1159</v>
      </c>
      <c r="D153" s="163">
        <v>2095</v>
      </c>
      <c r="E153" s="163">
        <v>3633</v>
      </c>
      <c r="F153" s="163">
        <v>4633</v>
      </c>
      <c r="G153" s="163">
        <v>4708</v>
      </c>
      <c r="H153" s="163">
        <v>4154</v>
      </c>
      <c r="I153" s="164">
        <f t="shared" si="32"/>
        <v>-0.11767204757858962</v>
      </c>
      <c r="J153" s="165">
        <f t="shared" si="33"/>
        <v>2.5841242450388267</v>
      </c>
      <c r="K153" s="164">
        <f>H153/H151</f>
        <v>0.33319964706826022</v>
      </c>
    </row>
    <row r="154" spans="2:11" x14ac:dyDescent="0.25">
      <c r="B154" s="162" t="s">
        <v>100</v>
      </c>
      <c r="C154" s="163">
        <v>1987</v>
      </c>
      <c r="D154" s="163">
        <v>1139</v>
      </c>
      <c r="E154" s="163">
        <v>1131</v>
      </c>
      <c r="F154" s="163">
        <v>1192</v>
      </c>
      <c r="G154" s="163">
        <v>1236</v>
      </c>
      <c r="H154" s="163">
        <v>1825</v>
      </c>
      <c r="I154" s="164">
        <f t="shared" si="32"/>
        <v>0.47653721682847894</v>
      </c>
      <c r="J154" s="165">
        <f t="shared" si="33"/>
        <v>-8.1529944640161056E-2</v>
      </c>
      <c r="K154" s="164">
        <f>H154/H151</f>
        <v>0.1463864602550734</v>
      </c>
    </row>
    <row r="155" spans="2:11" x14ac:dyDescent="0.25">
      <c r="B155" s="157" t="s">
        <v>107</v>
      </c>
      <c r="C155" s="158">
        <v>5982</v>
      </c>
      <c r="D155" s="158">
        <v>828</v>
      </c>
      <c r="E155" s="158">
        <v>3825</v>
      </c>
      <c r="F155" s="158">
        <v>4475</v>
      </c>
      <c r="G155" s="158">
        <v>5550</v>
      </c>
      <c r="H155" s="158">
        <v>6488</v>
      </c>
      <c r="I155" s="159">
        <f t="shared" si="32"/>
        <v>0.16900900900900906</v>
      </c>
      <c r="J155" s="160">
        <f t="shared" si="33"/>
        <v>8.4587094617184944E-2</v>
      </c>
      <c r="K155" s="159">
        <f>H155/H151</f>
        <v>0.52041389267666638</v>
      </c>
    </row>
    <row r="156" spans="2:11" x14ac:dyDescent="0.25">
      <c r="B156" s="162" t="s">
        <v>110</v>
      </c>
      <c r="C156" s="163">
        <v>1622</v>
      </c>
      <c r="D156" s="163">
        <v>25</v>
      </c>
      <c r="E156" s="163">
        <v>766</v>
      </c>
      <c r="F156" s="163">
        <v>1725</v>
      </c>
      <c r="G156" s="163">
        <v>1527</v>
      </c>
      <c r="H156" s="163">
        <v>1789</v>
      </c>
      <c r="I156" s="164">
        <f t="shared" si="32"/>
        <v>0.17157825802226578</v>
      </c>
      <c r="J156" s="165">
        <f t="shared" si="33"/>
        <v>0.1029593094944512</v>
      </c>
      <c r="K156" s="164">
        <f>H156/H151</f>
        <v>0.14349883692949386</v>
      </c>
    </row>
    <row r="157" spans="2:11" x14ac:dyDescent="0.25">
      <c r="B157" s="162" t="s">
        <v>113</v>
      </c>
      <c r="C157" s="163">
        <v>1568</v>
      </c>
      <c r="D157" s="163">
        <v>122</v>
      </c>
      <c r="E157" s="163">
        <v>931</v>
      </c>
      <c r="F157" s="163">
        <v>786</v>
      </c>
      <c r="G157" s="163">
        <v>987</v>
      </c>
      <c r="H157" s="163">
        <v>875</v>
      </c>
      <c r="I157" s="164">
        <f t="shared" si="32"/>
        <v>-0.11347517730496459</v>
      </c>
      <c r="J157" s="165">
        <f t="shared" si="33"/>
        <v>-0.4419642857142857</v>
      </c>
      <c r="K157" s="164">
        <f>H157/H151</f>
        <v>7.0185289163391354E-2</v>
      </c>
    </row>
    <row r="158" spans="2:11" x14ac:dyDescent="0.25">
      <c r="B158" s="162" t="s">
        <v>116</v>
      </c>
      <c r="C158" s="163">
        <v>886</v>
      </c>
      <c r="D158" s="163">
        <v>56</v>
      </c>
      <c r="E158" s="163">
        <v>542</v>
      </c>
      <c r="F158" s="163">
        <v>630</v>
      </c>
      <c r="G158" s="163">
        <v>1092</v>
      </c>
      <c r="H158" s="163">
        <v>1312</v>
      </c>
      <c r="I158" s="164">
        <f t="shared" si="32"/>
        <v>0.20146520146520142</v>
      </c>
      <c r="J158" s="165">
        <f t="shared" si="33"/>
        <v>0.4808126410835214</v>
      </c>
      <c r="K158" s="164">
        <f>H158/H151</f>
        <v>0.1052378278655651</v>
      </c>
    </row>
    <row r="159" spans="2:11" x14ac:dyDescent="0.25">
      <c r="B159" s="162" t="s">
        <v>123</v>
      </c>
      <c r="C159" s="163">
        <v>101</v>
      </c>
      <c r="D159" s="163">
        <v>10</v>
      </c>
      <c r="E159" s="163">
        <v>90</v>
      </c>
      <c r="F159" s="163">
        <v>111</v>
      </c>
      <c r="G159" s="163">
        <v>168</v>
      </c>
      <c r="H159" s="163">
        <v>245</v>
      </c>
      <c r="I159" s="164">
        <f t="shared" si="32"/>
        <v>0.45833333333333326</v>
      </c>
      <c r="J159" s="165">
        <f t="shared" si="33"/>
        <v>1.4257425742574257</v>
      </c>
      <c r="K159" s="164">
        <f>H159/H151</f>
        <v>1.9651880965749578E-2</v>
      </c>
    </row>
    <row r="160" spans="2:11" x14ac:dyDescent="0.25">
      <c r="B160" s="162" t="s">
        <v>119</v>
      </c>
      <c r="C160" s="163">
        <v>426</v>
      </c>
      <c r="D160" s="163">
        <v>274</v>
      </c>
      <c r="E160" s="163">
        <v>217</v>
      </c>
      <c r="F160" s="163">
        <v>302</v>
      </c>
      <c r="G160" s="163">
        <v>285</v>
      </c>
      <c r="H160" s="163">
        <v>452</v>
      </c>
      <c r="I160" s="164">
        <f t="shared" si="32"/>
        <v>0.5859649122807018</v>
      </c>
      <c r="J160" s="165">
        <f t="shared" si="33"/>
        <v>6.1032863849765251E-2</v>
      </c>
      <c r="K160" s="164">
        <f>H160/H151</f>
        <v>3.6255715087831875E-2</v>
      </c>
    </row>
    <row r="161" spans="2:11" x14ac:dyDescent="0.25">
      <c r="B161" s="162" t="s">
        <v>128</v>
      </c>
      <c r="C161" s="163">
        <v>14</v>
      </c>
      <c r="D161" s="163">
        <v>3</v>
      </c>
      <c r="E161" s="163">
        <v>7</v>
      </c>
      <c r="F161" s="163">
        <v>11</v>
      </c>
      <c r="G161" s="163">
        <v>13</v>
      </c>
      <c r="H161" s="163">
        <v>15</v>
      </c>
      <c r="I161" s="164">
        <f t="shared" si="32"/>
        <v>0.15384615384615374</v>
      </c>
      <c r="J161" s="165">
        <f t="shared" si="33"/>
        <v>7.1428571428571397E-2</v>
      </c>
      <c r="K161" s="164">
        <f>H161/H151</f>
        <v>1.2031763856581374E-3</v>
      </c>
    </row>
    <row r="162" spans="2:11" x14ac:dyDescent="0.25">
      <c r="B162" s="162" t="s">
        <v>131</v>
      </c>
      <c r="C162" s="163">
        <v>10</v>
      </c>
      <c r="D162" s="163">
        <v>0</v>
      </c>
      <c r="E162" s="163">
        <v>10</v>
      </c>
      <c r="F162" s="163">
        <v>6</v>
      </c>
      <c r="G162" s="163">
        <v>23</v>
      </c>
      <c r="H162" s="163">
        <v>7</v>
      </c>
      <c r="I162" s="164">
        <f t="shared" si="32"/>
        <v>-0.69565217391304346</v>
      </c>
      <c r="J162" s="165">
        <f t="shared" si="33"/>
        <v>-0.30000000000000004</v>
      </c>
      <c r="K162" s="164">
        <f>H162/H151</f>
        <v>5.6148231330713087E-4</v>
      </c>
    </row>
    <row r="163" spans="2:11" x14ac:dyDescent="0.25">
      <c r="B163" s="168" t="s">
        <v>145</v>
      </c>
      <c r="C163" s="169">
        <f t="shared" ref="C163:H163" si="34">C155-SUM(C156:C162)</f>
        <v>1355</v>
      </c>
      <c r="D163" s="169">
        <f t="shared" si="34"/>
        <v>338</v>
      </c>
      <c r="E163" s="169">
        <f t="shared" si="34"/>
        <v>1262</v>
      </c>
      <c r="F163" s="169">
        <f t="shared" si="34"/>
        <v>904</v>
      </c>
      <c r="G163" s="169">
        <f t="shared" si="34"/>
        <v>1455</v>
      </c>
      <c r="H163" s="169">
        <f t="shared" si="34"/>
        <v>1793</v>
      </c>
      <c r="I163" s="170">
        <f t="shared" si="32"/>
        <v>0.23230240549828185</v>
      </c>
      <c r="J163" s="171">
        <f t="shared" si="33"/>
        <v>0.32324723247232479</v>
      </c>
      <c r="K163" s="170">
        <f>H163/H151</f>
        <v>0.14381968396566935</v>
      </c>
    </row>
    <row r="164" spans="2:11" x14ac:dyDescent="0.25">
      <c r="C164" s="79"/>
      <c r="D164" s="79"/>
      <c r="E164" s="79"/>
      <c r="F164" s="79"/>
      <c r="G164" s="79"/>
      <c r="H164" s="79"/>
      <c r="I164" s="79"/>
    </row>
    <row r="165" spans="2:11" x14ac:dyDescent="0.25">
      <c r="B165" s="105" t="s">
        <v>55</v>
      </c>
      <c r="C165" s="105"/>
      <c r="D165" s="105"/>
      <c r="E165" s="105"/>
      <c r="F165" s="105"/>
      <c r="G165" s="105"/>
      <c r="H165" s="105"/>
      <c r="I165" s="105"/>
      <c r="J165" s="105"/>
      <c r="K165" s="105"/>
    </row>
  </sheetData>
  <mergeCells count="3">
    <mergeCell ref="B6:K6"/>
    <mergeCell ref="N6:V6"/>
    <mergeCell ref="C8:K8"/>
  </mergeCells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4B1B99-3A6A-461C-8835-583F2777D71A}">
  <sheetPr>
    <tabColor theme="7" tint="0.79998168889431442"/>
    <pageSetUpPr fitToPage="1"/>
  </sheetPr>
  <dimension ref="A1:AA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  <col min="16" max="27" width="0" hidden="1" customWidth="1"/>
  </cols>
  <sheetData>
    <row r="1" spans="1:27" ht="42.75" customHeight="1" x14ac:dyDescent="0.25"/>
    <row r="4" spans="1:27" ht="42" customHeight="1" thickBot="1" x14ac:dyDescent="0.3">
      <c r="B4" s="270" t="str">
        <f>CONCATENATE("Viajeros entrados en los establecimientos alojativos de Tenerife según lugar de residencia y municipio de alojamiento (hotel + apartamento)")</f>
        <v>Viajeros entrados en los establecimientos alojativos de Tenerife según lugar de residencia y municipio de alojamiento (hotel + apartamento)</v>
      </c>
      <c r="C4" s="270"/>
      <c r="D4" s="270"/>
      <c r="E4" s="270"/>
      <c r="F4" s="270"/>
      <c r="G4" s="270"/>
      <c r="H4" s="270"/>
      <c r="I4" s="270"/>
      <c r="J4" s="270"/>
      <c r="K4" s="142"/>
      <c r="L4" s="142"/>
      <c r="M4" s="142"/>
      <c r="P4" s="141" t="s">
        <v>260</v>
      </c>
      <c r="Q4" s="142"/>
      <c r="R4" s="142"/>
      <c r="S4" s="142"/>
      <c r="T4" s="142"/>
      <c r="U4" s="142"/>
      <c r="V4" s="142"/>
      <c r="W4" s="142"/>
      <c r="X4" s="142"/>
      <c r="Y4" s="142"/>
      <c r="Z4" s="142"/>
      <c r="AA4" s="142"/>
    </row>
    <row r="5" spans="1:27" ht="6" customHeight="1" x14ac:dyDescent="0.25"/>
    <row r="6" spans="1:27" ht="15.75" x14ac:dyDescent="0.25">
      <c r="B6" s="143"/>
      <c r="C6" s="302" t="s">
        <v>43</v>
      </c>
      <c r="D6" s="303"/>
      <c r="E6" s="303"/>
      <c r="F6" s="303"/>
      <c r="G6" s="303"/>
      <c r="H6" s="303"/>
      <c r="I6" s="303"/>
      <c r="J6" s="303"/>
      <c r="K6" s="303"/>
      <c r="L6" s="303"/>
      <c r="M6" s="303"/>
      <c r="P6" s="143"/>
      <c r="Q6" s="302" t="s">
        <v>43</v>
      </c>
      <c r="R6" s="303"/>
      <c r="S6" s="303"/>
      <c r="T6" s="303"/>
      <c r="U6" s="303"/>
      <c r="V6" s="303"/>
      <c r="W6" s="303"/>
      <c r="X6" s="303"/>
      <c r="Y6" s="303"/>
      <c r="Z6" s="303"/>
      <c r="AA6" s="303"/>
    </row>
    <row r="7" spans="1:27" s="144" customFormat="1" ht="72" customHeight="1" x14ac:dyDescent="0.25">
      <c r="B7" s="145"/>
      <c r="C7" s="172" t="s">
        <v>261</v>
      </c>
      <c r="D7" s="172" t="s">
        <v>262</v>
      </c>
      <c r="E7" s="172" t="s">
        <v>263</v>
      </c>
      <c r="F7" s="172" t="s">
        <v>264</v>
      </c>
      <c r="G7" s="172" t="s">
        <v>265</v>
      </c>
      <c r="H7" s="172" t="s">
        <v>266</v>
      </c>
      <c r="I7" s="173" t="str">
        <f>CONCATENATE("var. ",RIGHT(H7,2),"/",RIGHT(G7,2))</f>
        <v>var. 24/23</v>
      </c>
      <c r="J7" s="173" t="str">
        <f>CONCATENATE("var. ",RIGHT(H7,2),"/",RIGHT(D7,2))</f>
        <v>var. 24/19</v>
      </c>
      <c r="K7" s="172" t="str">
        <f>CONCATENATE("dif. ",RIGHT(H7,2),"/",RIGHT(G7,2))</f>
        <v>dif. 24/23</v>
      </c>
      <c r="L7" s="172" t="str">
        <f>CONCATENATE("dif. ",RIGHT(H7,2),"/",RIGHT(D7,2))</f>
        <v>dif. 24/19</v>
      </c>
      <c r="M7" s="173" t="str">
        <f>CONCATENATE("Cuota s/ total lugares de residencia ",RIGHT(H7,4))</f>
        <v>Cuota s/ total lugares de residencia 2024</v>
      </c>
      <c r="P7" s="145"/>
      <c r="Q7" s="172" t="s">
        <v>261</v>
      </c>
      <c r="R7" s="172" t="s">
        <v>262</v>
      </c>
      <c r="S7" s="172" t="s">
        <v>263</v>
      </c>
      <c r="T7" s="172" t="s">
        <v>264</v>
      </c>
      <c r="U7" s="172" t="s">
        <v>265</v>
      </c>
      <c r="V7" s="172" t="s">
        <v>266</v>
      </c>
      <c r="W7" s="173" t="str">
        <f>CONCATENATE("var. ",RIGHT(V7,2),"/",RIGHT(U7,2))</f>
        <v>var. 24/23</v>
      </c>
      <c r="X7" s="173" t="str">
        <f>CONCATENATE("var. ",RIGHT(V7,2),"/",RIGHT(R7,2))</f>
        <v>var. 24/19</v>
      </c>
      <c r="Y7" s="172" t="str">
        <f>CONCATENATE("dif. ",RIGHT(V7,2),"/",RIGHT(U7,2))</f>
        <v>dif. 24/23</v>
      </c>
      <c r="Z7" s="172" t="str">
        <f>CONCATENATE("dif. ",RIGHT(V7,2),"/",RIGHT(R7,2))</f>
        <v>dif. 24/19</v>
      </c>
      <c r="AA7" s="173" t="str">
        <f>CONCATENATE("Cuota s/ total lugares de residencia ",RIGHT(V7,4))</f>
        <v>Cuota s/ total lugares de residencia 2024</v>
      </c>
    </row>
    <row r="8" spans="1:27" x14ac:dyDescent="0.25">
      <c r="A8" s="1"/>
      <c r="B8" s="150" t="s">
        <v>43</v>
      </c>
      <c r="C8" s="151"/>
      <c r="D8" s="151"/>
      <c r="E8" s="151"/>
      <c r="F8" s="151"/>
      <c r="G8" s="151"/>
      <c r="H8" s="152"/>
      <c r="I8" s="152"/>
      <c r="J8" s="152"/>
      <c r="K8" s="152"/>
      <c r="L8" s="151"/>
      <c r="M8" s="151"/>
      <c r="P8" s="153" t="s">
        <v>49</v>
      </c>
      <c r="Q8" s="151"/>
      <c r="R8" s="151"/>
      <c r="S8" s="151"/>
      <c r="T8" s="151"/>
      <c r="U8" s="151"/>
      <c r="V8" s="152"/>
      <c r="W8" s="152"/>
      <c r="X8" s="152"/>
      <c r="Y8" s="152"/>
      <c r="Z8" s="151"/>
      <c r="AA8" s="151"/>
    </row>
    <row r="9" spans="1:27" x14ac:dyDescent="0.25">
      <c r="A9" s="1" t="s">
        <v>96</v>
      </c>
      <c r="B9" s="154" t="s">
        <v>68</v>
      </c>
      <c r="C9" s="176">
        <v>3637977</v>
      </c>
      <c r="D9" s="176">
        <v>3620829</v>
      </c>
      <c r="E9" s="176">
        <v>1311192</v>
      </c>
      <c r="F9" s="176">
        <v>3492085</v>
      </c>
      <c r="G9" s="176">
        <v>3849133</v>
      </c>
      <c r="H9" s="176">
        <v>4095618</v>
      </c>
      <c r="I9" s="177">
        <f>IFERROR(H9/G9-1,"-")</f>
        <v>6.4036498608907477E-2</v>
      </c>
      <c r="J9" s="177">
        <f>IFERROR(H9/D9-1,"-")</f>
        <v>0.13112715347783621</v>
      </c>
      <c r="K9" s="176">
        <f>H9-G9</f>
        <v>246485</v>
      </c>
      <c r="L9" s="176">
        <f>H9-D9</f>
        <v>474789</v>
      </c>
      <c r="M9" s="177">
        <f t="shared" ref="M9:M21" si="0">H9/H$9</f>
        <v>1</v>
      </c>
      <c r="P9" s="154" t="s">
        <v>68</v>
      </c>
      <c r="Q9" s="176">
        <v>38635</v>
      </c>
      <c r="R9" s="176">
        <v>39423</v>
      </c>
      <c r="S9" s="176">
        <v>17295</v>
      </c>
      <c r="T9" s="176">
        <v>37456</v>
      </c>
      <c r="U9" s="176">
        <v>44189</v>
      </c>
      <c r="V9" s="176">
        <v>41777</v>
      </c>
      <c r="W9" s="177">
        <f>IFERROR(V9/U9-1,"-")</f>
        <v>-5.4583719930299424E-2</v>
      </c>
      <c r="X9" s="177">
        <f>IFERROR(V9/R9-1,"-")</f>
        <v>5.9711336022119088E-2</v>
      </c>
      <c r="Y9" s="176">
        <f>V9-U9</f>
        <v>-2412</v>
      </c>
      <c r="Z9" s="176">
        <f>V9-R9</f>
        <v>2354</v>
      </c>
      <c r="AA9" s="177">
        <f t="shared" ref="AA9:AA21" si="1">V9/V$9</f>
        <v>1</v>
      </c>
    </row>
    <row r="10" spans="1:27" x14ac:dyDescent="0.25">
      <c r="A10" s="161" t="s">
        <v>103</v>
      </c>
      <c r="B10" s="157" t="s">
        <v>97</v>
      </c>
      <c r="C10" s="158">
        <v>822209</v>
      </c>
      <c r="D10" s="158">
        <v>824041</v>
      </c>
      <c r="E10" s="158">
        <v>355635</v>
      </c>
      <c r="F10" s="158">
        <v>802083</v>
      </c>
      <c r="G10" s="158">
        <v>830806</v>
      </c>
      <c r="H10" s="158">
        <v>834904</v>
      </c>
      <c r="I10" s="160">
        <f>IFERROR(H10/G10-1,"-")</f>
        <v>4.9325594663496286E-3</v>
      </c>
      <c r="J10" s="159">
        <f t="shared" ref="J10:J21" si="2">IFERROR(H10/D10-1,"-")</f>
        <v>1.3182596497018917E-2</v>
      </c>
      <c r="K10" s="158">
        <f t="shared" ref="K10:K20" si="3">H10-G10</f>
        <v>4098</v>
      </c>
      <c r="L10" s="158">
        <f t="shared" ref="L10:L21" si="4">H10-D10</f>
        <v>10863</v>
      </c>
      <c r="M10" s="159">
        <f t="shared" si="0"/>
        <v>0.2038529960557845</v>
      </c>
      <c r="P10" s="157" t="s">
        <v>97</v>
      </c>
      <c r="Q10" s="158">
        <v>24706</v>
      </c>
      <c r="R10" s="158">
        <v>26258</v>
      </c>
      <c r="S10" s="158">
        <v>11031</v>
      </c>
      <c r="T10" s="158">
        <v>24786</v>
      </c>
      <c r="U10" s="158">
        <v>29860</v>
      </c>
      <c r="V10" s="158">
        <v>26153</v>
      </c>
      <c r="W10" s="160">
        <f>IFERROR(V10/U10-1,"-")</f>
        <v>-0.12414601473543196</v>
      </c>
      <c r="X10" s="159">
        <f t="shared" ref="X10:X21" si="5">IFERROR(V10/R10-1,"-")</f>
        <v>-3.9987813237870595E-3</v>
      </c>
      <c r="Y10" s="157">
        <f t="shared" ref="Y10:Y20" si="6">V10-U10</f>
        <v>-3707</v>
      </c>
      <c r="Z10" s="158">
        <f t="shared" ref="Z10:Z21" si="7">V10-R10</f>
        <v>-105</v>
      </c>
      <c r="AA10" s="159">
        <f t="shared" si="1"/>
        <v>0.62601431409627306</v>
      </c>
    </row>
    <row r="11" spans="1:27" x14ac:dyDescent="0.25">
      <c r="A11" s="161" t="s">
        <v>100</v>
      </c>
      <c r="B11" s="162" t="s">
        <v>103</v>
      </c>
      <c r="C11" s="163">
        <v>340647</v>
      </c>
      <c r="D11" s="163">
        <v>328320</v>
      </c>
      <c r="E11" s="163">
        <v>151426</v>
      </c>
      <c r="F11" s="163">
        <v>341997</v>
      </c>
      <c r="G11" s="163">
        <v>348792</v>
      </c>
      <c r="H11" s="163">
        <v>338193</v>
      </c>
      <c r="I11" s="165">
        <f>IFERROR(H11/G11-1,"-")</f>
        <v>-3.0387738250877261E-2</v>
      </c>
      <c r="J11" s="164">
        <f t="shared" si="2"/>
        <v>3.0071271929824617E-2</v>
      </c>
      <c r="K11" s="163">
        <f t="shared" si="3"/>
        <v>-10599</v>
      </c>
      <c r="L11" s="163">
        <f t="shared" si="4"/>
        <v>9873</v>
      </c>
      <c r="M11" s="164">
        <f t="shared" si="0"/>
        <v>8.2574351416562775E-2</v>
      </c>
      <c r="P11" s="162" t="s">
        <v>103</v>
      </c>
      <c r="Q11" s="163">
        <v>12054</v>
      </c>
      <c r="R11" s="163">
        <v>12910</v>
      </c>
      <c r="S11" s="163">
        <v>5930</v>
      </c>
      <c r="T11" s="163">
        <v>11891</v>
      </c>
      <c r="U11" s="163">
        <v>9535</v>
      </c>
      <c r="V11" s="163">
        <v>8202</v>
      </c>
      <c r="W11" s="165">
        <f>IFERROR(V11/U11-1,"-")</f>
        <v>-0.13980073413738858</v>
      </c>
      <c r="X11" s="164">
        <f t="shared" si="5"/>
        <v>-0.36467854376452358</v>
      </c>
      <c r="Y11" s="162">
        <f t="shared" si="6"/>
        <v>-1333</v>
      </c>
      <c r="Z11" s="163">
        <f t="shared" si="7"/>
        <v>-4708</v>
      </c>
      <c r="AA11" s="164">
        <f>V11/V$9</f>
        <v>0.19632812312995188</v>
      </c>
    </row>
    <row r="12" spans="1:27" x14ac:dyDescent="0.25">
      <c r="A12" s="1"/>
      <c r="B12" s="162" t="s">
        <v>100</v>
      </c>
      <c r="C12" s="163">
        <v>481562</v>
      </c>
      <c r="D12" s="163">
        <v>495721</v>
      </c>
      <c r="E12" s="163">
        <v>204209</v>
      </c>
      <c r="F12" s="163">
        <v>460086</v>
      </c>
      <c r="G12" s="163">
        <v>482014</v>
      </c>
      <c r="H12" s="163">
        <v>496711</v>
      </c>
      <c r="I12" s="165">
        <f>IFERROR(H12/G12-1,"-")</f>
        <v>3.0490815619463429E-2</v>
      </c>
      <c r="J12" s="164">
        <f t="shared" si="2"/>
        <v>1.9970911056823581E-3</v>
      </c>
      <c r="K12" s="163">
        <f t="shared" si="3"/>
        <v>14697</v>
      </c>
      <c r="L12" s="163">
        <f t="shared" si="4"/>
        <v>990</v>
      </c>
      <c r="M12" s="164">
        <f t="shared" si="0"/>
        <v>0.12127864463922172</v>
      </c>
      <c r="P12" s="162" t="s">
        <v>100</v>
      </c>
      <c r="Q12" s="163">
        <v>12652</v>
      </c>
      <c r="R12" s="163">
        <v>13348</v>
      </c>
      <c r="S12" s="163">
        <v>5101</v>
      </c>
      <c r="T12" s="163">
        <v>12895</v>
      </c>
      <c r="U12" s="163">
        <v>20325</v>
      </c>
      <c r="V12" s="163">
        <v>17951</v>
      </c>
      <c r="W12" s="165">
        <f>IFERROR(V12/U12-1,"-")</f>
        <v>-0.11680196801968024</v>
      </c>
      <c r="X12" s="164">
        <f t="shared" si="5"/>
        <v>0.34484566976326048</v>
      </c>
      <c r="Y12" s="162">
        <f t="shared" si="6"/>
        <v>-2374</v>
      </c>
      <c r="Z12" s="163">
        <f t="shared" si="7"/>
        <v>4603</v>
      </c>
      <c r="AA12" s="164">
        <f t="shared" si="1"/>
        <v>0.42968619096632116</v>
      </c>
    </row>
    <row r="13" spans="1:27" s="56" customFormat="1" x14ac:dyDescent="0.25">
      <c r="B13" s="157" t="s">
        <v>107</v>
      </c>
      <c r="C13" s="158">
        <v>2815768</v>
      </c>
      <c r="D13" s="158">
        <v>2796788</v>
      </c>
      <c r="E13" s="158">
        <v>955557</v>
      </c>
      <c r="F13" s="158">
        <v>2690002</v>
      </c>
      <c r="G13" s="158">
        <v>3018327</v>
      </c>
      <c r="H13" s="158">
        <v>3260714</v>
      </c>
      <c r="I13" s="160">
        <f>IFERROR(H13/G13-1,"-")</f>
        <v>8.030508291513816E-2</v>
      </c>
      <c r="J13" s="159">
        <f t="shared" si="2"/>
        <v>0.16587814306983573</v>
      </c>
      <c r="K13" s="158">
        <f t="shared" si="3"/>
        <v>242387</v>
      </c>
      <c r="L13" s="158">
        <f t="shared" si="4"/>
        <v>463926</v>
      </c>
      <c r="M13" s="159">
        <f t="shared" si="0"/>
        <v>0.79614700394421545</v>
      </c>
      <c r="P13" s="157" t="s">
        <v>107</v>
      </c>
      <c r="Q13" s="158">
        <v>13929</v>
      </c>
      <c r="R13" s="158">
        <v>13165</v>
      </c>
      <c r="S13" s="158">
        <v>6264</v>
      </c>
      <c r="T13" s="158">
        <v>12670</v>
      </c>
      <c r="U13" s="158">
        <v>14329</v>
      </c>
      <c r="V13" s="158">
        <v>15624</v>
      </c>
      <c r="W13" s="160">
        <f>IFERROR(V13/U13-1,"-")</f>
        <v>9.0376160234489467E-2</v>
      </c>
      <c r="X13" s="159">
        <f t="shared" si="5"/>
        <v>0.18678313710596273</v>
      </c>
      <c r="Y13" s="157">
        <f t="shared" si="6"/>
        <v>1295</v>
      </c>
      <c r="Z13" s="158">
        <f t="shared" si="7"/>
        <v>2459</v>
      </c>
      <c r="AA13" s="159">
        <f t="shared" si="1"/>
        <v>0.37398568590372694</v>
      </c>
    </row>
    <row r="14" spans="1:27" s="56" customFormat="1" x14ac:dyDescent="0.25">
      <c r="B14" s="162" t="s">
        <v>110</v>
      </c>
      <c r="C14" s="163">
        <v>1259240</v>
      </c>
      <c r="D14" s="163">
        <v>1307720</v>
      </c>
      <c r="E14" s="163">
        <v>368680</v>
      </c>
      <c r="F14" s="163">
        <v>1262054</v>
      </c>
      <c r="G14" s="163">
        <v>1438371</v>
      </c>
      <c r="H14" s="163">
        <v>1561349</v>
      </c>
      <c r="I14" s="165">
        <f t="shared" ref="I14:I21" si="8">IFERROR(H14/G14-1,"-")</f>
        <v>8.5498108624270097E-2</v>
      </c>
      <c r="J14" s="164">
        <f t="shared" si="2"/>
        <v>0.19394748111216464</v>
      </c>
      <c r="K14" s="163">
        <f t="shared" si="3"/>
        <v>122978</v>
      </c>
      <c r="L14" s="163">
        <f t="shared" si="4"/>
        <v>253629</v>
      </c>
      <c r="M14" s="164">
        <f t="shared" si="0"/>
        <v>0.3812242743341786</v>
      </c>
      <c r="P14" s="162" t="s">
        <v>110</v>
      </c>
      <c r="Q14" s="163">
        <v>1655</v>
      </c>
      <c r="R14" s="163">
        <v>1768</v>
      </c>
      <c r="S14" s="163">
        <v>1042</v>
      </c>
      <c r="T14" s="163">
        <v>1661</v>
      </c>
      <c r="U14" s="163">
        <v>2018</v>
      </c>
      <c r="V14" s="163">
        <v>2246</v>
      </c>
      <c r="W14" s="165">
        <f t="shared" ref="W14:W21" si="9">IFERROR(V14/U14-1,"-")</f>
        <v>0.11298315163528239</v>
      </c>
      <c r="X14" s="164">
        <f t="shared" si="5"/>
        <v>0.27036199095022617</v>
      </c>
      <c r="Y14" s="162">
        <f t="shared" si="6"/>
        <v>228</v>
      </c>
      <c r="Z14" s="163">
        <f t="shared" si="7"/>
        <v>478</v>
      </c>
      <c r="AA14" s="164">
        <f t="shared" si="1"/>
        <v>5.3761639179452807E-2</v>
      </c>
    </row>
    <row r="15" spans="1:27" x14ac:dyDescent="0.25">
      <c r="A15" s="1"/>
      <c r="B15" s="162" t="s">
        <v>113</v>
      </c>
      <c r="C15" s="163">
        <v>425592</v>
      </c>
      <c r="D15" s="163">
        <v>362204</v>
      </c>
      <c r="E15" s="163">
        <v>121788</v>
      </c>
      <c r="F15" s="163">
        <v>266922</v>
      </c>
      <c r="G15" s="163">
        <v>303364</v>
      </c>
      <c r="H15" s="163">
        <v>315820</v>
      </c>
      <c r="I15" s="165">
        <f t="shared" si="8"/>
        <v>4.1059585184794578E-2</v>
      </c>
      <c r="J15" s="164">
        <f t="shared" si="2"/>
        <v>-0.12806043003390355</v>
      </c>
      <c r="K15" s="163">
        <f t="shared" si="3"/>
        <v>12456</v>
      </c>
      <c r="L15" s="163">
        <f t="shared" si="4"/>
        <v>-46384</v>
      </c>
      <c r="M15" s="164">
        <f t="shared" si="0"/>
        <v>7.7111683755662755E-2</v>
      </c>
      <c r="P15" s="162" t="s">
        <v>113</v>
      </c>
      <c r="Q15" s="163">
        <v>3049</v>
      </c>
      <c r="R15" s="163">
        <v>2593</v>
      </c>
      <c r="S15" s="163">
        <v>1199</v>
      </c>
      <c r="T15" s="163">
        <v>2396</v>
      </c>
      <c r="U15" s="163">
        <v>2589</v>
      </c>
      <c r="V15" s="163">
        <v>3010</v>
      </c>
      <c r="W15" s="165">
        <f t="shared" si="9"/>
        <v>0.16261104673619164</v>
      </c>
      <c r="X15" s="164">
        <f t="shared" si="5"/>
        <v>0.16081758580794436</v>
      </c>
      <c r="Y15" s="162">
        <f t="shared" si="6"/>
        <v>421</v>
      </c>
      <c r="Z15" s="163">
        <f t="shared" si="7"/>
        <v>417</v>
      </c>
      <c r="AA15" s="164">
        <f t="shared" si="1"/>
        <v>7.2049213682169613E-2</v>
      </c>
    </row>
    <row r="16" spans="1:27" x14ac:dyDescent="0.25">
      <c r="A16" s="1"/>
      <c r="B16" s="162" t="s">
        <v>116</v>
      </c>
      <c r="C16" s="163">
        <v>125151</v>
      </c>
      <c r="D16" s="163">
        <v>127393</v>
      </c>
      <c r="E16" s="163">
        <v>46683</v>
      </c>
      <c r="F16" s="163">
        <v>143090</v>
      </c>
      <c r="G16" s="163">
        <v>161004</v>
      </c>
      <c r="H16" s="163">
        <v>174252</v>
      </c>
      <c r="I16" s="165">
        <f t="shared" si="8"/>
        <v>8.2283669970932394E-2</v>
      </c>
      <c r="J16" s="164">
        <f t="shared" si="2"/>
        <v>0.36783025754947296</v>
      </c>
      <c r="K16" s="163">
        <f t="shared" si="3"/>
        <v>13248</v>
      </c>
      <c r="L16" s="163">
        <f t="shared" si="4"/>
        <v>46859</v>
      </c>
      <c r="M16" s="164">
        <f t="shared" si="0"/>
        <v>4.2545960096864503E-2</v>
      </c>
      <c r="P16" s="162" t="s">
        <v>116</v>
      </c>
      <c r="Q16" s="163">
        <v>3051</v>
      </c>
      <c r="R16" s="163">
        <v>2809</v>
      </c>
      <c r="S16" s="163">
        <v>1494</v>
      </c>
      <c r="T16" s="163">
        <v>2543</v>
      </c>
      <c r="U16" s="163">
        <v>2839</v>
      </c>
      <c r="V16" s="163">
        <v>2752</v>
      </c>
      <c r="W16" s="165">
        <f t="shared" si="9"/>
        <v>-3.0644593166607947E-2</v>
      </c>
      <c r="X16" s="164">
        <f t="shared" si="5"/>
        <v>-2.0291918832324618E-2</v>
      </c>
      <c r="Y16" s="162">
        <f t="shared" si="6"/>
        <v>-87</v>
      </c>
      <c r="Z16" s="163">
        <f t="shared" si="7"/>
        <v>-57</v>
      </c>
      <c r="AA16" s="164">
        <f t="shared" si="1"/>
        <v>6.5873566795126501E-2</v>
      </c>
    </row>
    <row r="17" spans="1:27" x14ac:dyDescent="0.25">
      <c r="A17" s="1"/>
      <c r="B17" s="162" t="s">
        <v>123</v>
      </c>
      <c r="C17" s="163">
        <v>112172</v>
      </c>
      <c r="D17" s="163">
        <v>104476</v>
      </c>
      <c r="E17" s="163">
        <v>36153</v>
      </c>
      <c r="F17" s="163">
        <v>132833</v>
      </c>
      <c r="G17" s="163">
        <v>122542</v>
      </c>
      <c r="H17" s="163">
        <v>129946</v>
      </c>
      <c r="I17" s="165">
        <f t="shared" si="8"/>
        <v>6.0420100863377346E-2</v>
      </c>
      <c r="J17" s="164">
        <f t="shared" si="2"/>
        <v>0.24378804701558243</v>
      </c>
      <c r="K17" s="163">
        <f t="shared" si="3"/>
        <v>7404</v>
      </c>
      <c r="L17" s="163">
        <f t="shared" si="4"/>
        <v>25470</v>
      </c>
      <c r="M17" s="164">
        <f t="shared" si="0"/>
        <v>3.1728056669347582E-2</v>
      </c>
      <c r="P17" s="162" t="s">
        <v>123</v>
      </c>
      <c r="Q17" s="163">
        <v>392</v>
      </c>
      <c r="R17" s="163">
        <v>442</v>
      </c>
      <c r="S17" s="163">
        <v>280</v>
      </c>
      <c r="T17" s="163">
        <v>886</v>
      </c>
      <c r="U17" s="163">
        <v>646</v>
      </c>
      <c r="V17" s="163">
        <v>701</v>
      </c>
      <c r="W17" s="165">
        <f t="shared" si="9"/>
        <v>8.5139318885449011E-2</v>
      </c>
      <c r="X17" s="164">
        <f t="shared" si="5"/>
        <v>0.58597285067873295</v>
      </c>
      <c r="Y17" s="162">
        <f t="shared" si="6"/>
        <v>55</v>
      </c>
      <c r="Z17" s="163">
        <f t="shared" si="7"/>
        <v>259</v>
      </c>
      <c r="AA17" s="164">
        <f t="shared" si="1"/>
        <v>1.6779567704717908E-2</v>
      </c>
    </row>
    <row r="18" spans="1:27" x14ac:dyDescent="0.25">
      <c r="A18" s="1"/>
      <c r="B18" s="162" t="s">
        <v>119</v>
      </c>
      <c r="C18" s="163">
        <v>100492</v>
      </c>
      <c r="D18" s="163">
        <v>98574</v>
      </c>
      <c r="E18" s="163">
        <v>47605</v>
      </c>
      <c r="F18" s="163">
        <v>106439</v>
      </c>
      <c r="G18" s="163">
        <v>108990</v>
      </c>
      <c r="H18" s="163">
        <v>115024</v>
      </c>
      <c r="I18" s="165">
        <f t="shared" si="8"/>
        <v>5.5362877328195337E-2</v>
      </c>
      <c r="J18" s="164">
        <f t="shared" si="2"/>
        <v>0.16687970458741663</v>
      </c>
      <c r="K18" s="163">
        <f t="shared" si="3"/>
        <v>6034</v>
      </c>
      <c r="L18" s="163">
        <f t="shared" si="4"/>
        <v>16450</v>
      </c>
      <c r="M18" s="164">
        <f t="shared" si="0"/>
        <v>2.8084650472773583E-2</v>
      </c>
      <c r="P18" s="162" t="s">
        <v>119</v>
      </c>
      <c r="Q18" s="163">
        <v>331</v>
      </c>
      <c r="R18" s="163">
        <v>373</v>
      </c>
      <c r="S18" s="163">
        <v>217</v>
      </c>
      <c r="T18" s="163">
        <v>523</v>
      </c>
      <c r="U18" s="163">
        <v>426</v>
      </c>
      <c r="V18" s="163">
        <v>639</v>
      </c>
      <c r="W18" s="165">
        <f t="shared" si="9"/>
        <v>0.5</v>
      </c>
      <c r="X18" s="164">
        <f t="shared" si="5"/>
        <v>0.71313672922252014</v>
      </c>
      <c r="Y18" s="162">
        <f t="shared" si="6"/>
        <v>213</v>
      </c>
      <c r="Z18" s="163">
        <f t="shared" si="7"/>
        <v>266</v>
      </c>
      <c r="AA18" s="164">
        <f t="shared" si="1"/>
        <v>1.5295497522560261E-2</v>
      </c>
    </row>
    <row r="19" spans="1:27" x14ac:dyDescent="0.25">
      <c r="A19" s="161" t="s">
        <v>144</v>
      </c>
      <c r="B19" s="162" t="s">
        <v>128</v>
      </c>
      <c r="C19" s="163">
        <v>45583</v>
      </c>
      <c r="D19" s="163">
        <v>51496</v>
      </c>
      <c r="E19" s="163">
        <v>28519</v>
      </c>
      <c r="F19" s="163">
        <v>37941</v>
      </c>
      <c r="G19" s="163">
        <v>46327</v>
      </c>
      <c r="H19" s="163">
        <v>42252</v>
      </c>
      <c r="I19" s="165">
        <f t="shared" si="8"/>
        <v>-8.7961663824551506E-2</v>
      </c>
      <c r="J19" s="164">
        <f t="shared" si="2"/>
        <v>-0.17950908808451138</v>
      </c>
      <c r="K19" s="163">
        <f t="shared" si="3"/>
        <v>-4075</v>
      </c>
      <c r="L19" s="163">
        <f t="shared" si="4"/>
        <v>-9244</v>
      </c>
      <c r="M19" s="164">
        <f t="shared" si="0"/>
        <v>1.0316391811931679E-2</v>
      </c>
      <c r="P19" s="162" t="s">
        <v>128</v>
      </c>
      <c r="Q19" s="163">
        <v>98</v>
      </c>
      <c r="R19" s="163">
        <v>107</v>
      </c>
      <c r="S19" s="163">
        <v>114</v>
      </c>
      <c r="T19" s="163">
        <v>222</v>
      </c>
      <c r="U19" s="163">
        <v>106</v>
      </c>
      <c r="V19" s="163">
        <v>178</v>
      </c>
      <c r="W19" s="165">
        <f t="shared" si="9"/>
        <v>0.679245283018868</v>
      </c>
      <c r="X19" s="164">
        <f t="shared" si="5"/>
        <v>0.66355140186915884</v>
      </c>
      <c r="Y19" s="162">
        <f t="shared" si="6"/>
        <v>72</v>
      </c>
      <c r="Z19" s="163">
        <f t="shared" si="7"/>
        <v>71</v>
      </c>
      <c r="AA19" s="164">
        <f t="shared" si="1"/>
        <v>4.2607176197429208E-3</v>
      </c>
    </row>
    <row r="20" spans="1:27" x14ac:dyDescent="0.25">
      <c r="A20" s="167" t="s">
        <v>145</v>
      </c>
      <c r="B20" s="162" t="s">
        <v>131</v>
      </c>
      <c r="C20" s="163">
        <v>73497</v>
      </c>
      <c r="D20" s="163">
        <v>62064</v>
      </c>
      <c r="E20" s="163">
        <v>40390</v>
      </c>
      <c r="F20" s="163">
        <v>28084</v>
      </c>
      <c r="G20" s="163">
        <v>41477</v>
      </c>
      <c r="H20" s="163">
        <v>41887</v>
      </c>
      <c r="I20" s="165">
        <f t="shared" si="8"/>
        <v>9.884996504086585E-3</v>
      </c>
      <c r="J20" s="164">
        <f t="shared" si="2"/>
        <v>-0.32509989688063934</v>
      </c>
      <c r="K20" s="163">
        <f t="shared" si="3"/>
        <v>410</v>
      </c>
      <c r="L20" s="163">
        <f t="shared" si="4"/>
        <v>-20177</v>
      </c>
      <c r="M20" s="164">
        <f t="shared" si="0"/>
        <v>1.0227272172355919E-2</v>
      </c>
      <c r="P20" s="162" t="s">
        <v>131</v>
      </c>
      <c r="Q20" s="163">
        <v>239</v>
      </c>
      <c r="R20" s="163">
        <v>146</v>
      </c>
      <c r="S20" s="163">
        <v>66</v>
      </c>
      <c r="T20" s="163">
        <v>114</v>
      </c>
      <c r="U20" s="163">
        <v>190</v>
      </c>
      <c r="V20" s="163">
        <v>282</v>
      </c>
      <c r="W20" s="165">
        <f t="shared" si="9"/>
        <v>0.48421052631578942</v>
      </c>
      <c r="X20" s="164">
        <f t="shared" si="5"/>
        <v>0.93150684931506844</v>
      </c>
      <c r="Y20" s="162">
        <f t="shared" si="6"/>
        <v>92</v>
      </c>
      <c r="Z20" s="163">
        <f t="shared" si="7"/>
        <v>136</v>
      </c>
      <c r="AA20" s="164">
        <f t="shared" si="1"/>
        <v>6.7501256672331663E-3</v>
      </c>
    </row>
    <row r="21" spans="1:27" x14ac:dyDescent="0.25">
      <c r="B21" s="168" t="s">
        <v>145</v>
      </c>
      <c r="C21" s="169">
        <f t="shared" ref="C21:H21" si="10">C13-SUM(C14:C20)</f>
        <v>674041</v>
      </c>
      <c r="D21" s="169">
        <f t="shared" si="10"/>
        <v>682861</v>
      </c>
      <c r="E21" s="169">
        <f t="shared" si="10"/>
        <v>265739</v>
      </c>
      <c r="F21" s="169">
        <f t="shared" si="10"/>
        <v>712639</v>
      </c>
      <c r="G21" s="169">
        <f t="shared" si="10"/>
        <v>796252</v>
      </c>
      <c r="H21" s="169">
        <f t="shared" si="10"/>
        <v>880184</v>
      </c>
      <c r="I21" s="171">
        <f t="shared" si="8"/>
        <v>0.10540884041735521</v>
      </c>
      <c r="J21" s="170">
        <f t="shared" si="2"/>
        <v>0.28896510417200583</v>
      </c>
      <c r="K21" s="169">
        <f>H21-G21</f>
        <v>83932</v>
      </c>
      <c r="L21" s="169">
        <f t="shared" si="4"/>
        <v>197323</v>
      </c>
      <c r="M21" s="170">
        <f t="shared" si="0"/>
        <v>0.21490871463110084</v>
      </c>
      <c r="P21" s="168" t="s">
        <v>145</v>
      </c>
      <c r="Q21" s="169">
        <f t="shared" ref="Q21:V21" si="11">Q13-SUM(Q14:Q20)</f>
        <v>5114</v>
      </c>
      <c r="R21" s="169">
        <f t="shared" si="11"/>
        <v>4927</v>
      </c>
      <c r="S21" s="169">
        <f t="shared" si="11"/>
        <v>1852</v>
      </c>
      <c r="T21" s="169">
        <f t="shared" si="11"/>
        <v>4325</v>
      </c>
      <c r="U21" s="169">
        <f t="shared" si="11"/>
        <v>5515</v>
      </c>
      <c r="V21" s="169">
        <f t="shared" si="11"/>
        <v>5816</v>
      </c>
      <c r="W21" s="171">
        <f t="shared" si="9"/>
        <v>5.4578422484134137E-2</v>
      </c>
      <c r="X21" s="170">
        <f t="shared" si="5"/>
        <v>0.18043434138420955</v>
      </c>
      <c r="Y21" s="168">
        <f>V21-U21</f>
        <v>301</v>
      </c>
      <c r="Z21" s="169">
        <f t="shared" si="7"/>
        <v>889</v>
      </c>
      <c r="AA21" s="170">
        <f t="shared" si="1"/>
        <v>0.13921535773272375</v>
      </c>
    </row>
    <row r="22" spans="1:27" x14ac:dyDescent="0.25">
      <c r="B22" s="153" t="s">
        <v>44</v>
      </c>
      <c r="C22" s="151"/>
      <c r="D22" s="151"/>
      <c r="E22" s="151"/>
      <c r="F22" s="151"/>
      <c r="G22" s="151"/>
      <c r="H22" s="152"/>
      <c r="I22" s="152"/>
      <c r="J22" s="152"/>
      <c r="K22" s="152"/>
      <c r="L22" s="151"/>
      <c r="M22" s="151"/>
    </row>
    <row r="23" spans="1:27" x14ac:dyDescent="0.25">
      <c r="B23" s="154" t="s">
        <v>68</v>
      </c>
      <c r="C23" s="176">
        <v>1270262</v>
      </c>
      <c r="D23" s="176">
        <v>1326830</v>
      </c>
      <c r="E23" s="176">
        <v>434246</v>
      </c>
      <c r="F23" s="176">
        <v>1298122</v>
      </c>
      <c r="G23" s="176">
        <v>1400057</v>
      </c>
      <c r="H23" s="176">
        <v>1449683</v>
      </c>
      <c r="I23" s="177">
        <f>IFERROR(H23/G23-1,"-")</f>
        <v>3.5445699710797474E-2</v>
      </c>
      <c r="J23" s="177">
        <f>IFERROR(H23/D23-1,"-")</f>
        <v>9.2591364379762231E-2</v>
      </c>
      <c r="K23" s="176">
        <f>H23-G23</f>
        <v>49626</v>
      </c>
      <c r="L23" s="176">
        <f>H23-D23</f>
        <v>122853</v>
      </c>
      <c r="M23" s="177">
        <f t="shared" ref="M23:M35" si="12">H23/H$9</f>
        <v>0.35395952454550206</v>
      </c>
    </row>
    <row r="24" spans="1:27" x14ac:dyDescent="0.25">
      <c r="B24" s="157" t="s">
        <v>97</v>
      </c>
      <c r="C24" s="158">
        <v>152172</v>
      </c>
      <c r="D24" s="158">
        <v>183116</v>
      </c>
      <c r="E24" s="158">
        <v>76613</v>
      </c>
      <c r="F24" s="158">
        <v>171971</v>
      </c>
      <c r="G24" s="158">
        <v>148781</v>
      </c>
      <c r="H24" s="158">
        <v>132009</v>
      </c>
      <c r="I24" s="160">
        <f>IFERROR(H24/G24-1,"-")</f>
        <v>-0.11272944798058893</v>
      </c>
      <c r="J24" s="159">
        <f t="shared" ref="J24:J35" si="13">IFERROR(H24/D24-1,"-")</f>
        <v>-0.2790963105353983</v>
      </c>
      <c r="K24" s="158">
        <f t="shared" ref="K24:K34" si="14">H24-G24</f>
        <v>-16772</v>
      </c>
      <c r="L24" s="158">
        <f t="shared" ref="L24:L35" si="15">H24-D24</f>
        <v>-51107</v>
      </c>
      <c r="M24" s="159">
        <f t="shared" si="12"/>
        <v>3.2231765755497709E-2</v>
      </c>
    </row>
    <row r="25" spans="1:27" x14ac:dyDescent="0.25">
      <c r="B25" s="162" t="s">
        <v>103</v>
      </c>
      <c r="C25" s="163">
        <v>72772</v>
      </c>
      <c r="D25" s="163">
        <v>94584</v>
      </c>
      <c r="E25" s="163">
        <v>42842</v>
      </c>
      <c r="F25" s="163">
        <v>74040</v>
      </c>
      <c r="G25" s="163">
        <v>63391</v>
      </c>
      <c r="H25" s="163">
        <v>50766</v>
      </c>
      <c r="I25" s="165">
        <f>IFERROR(H25/G25-1,"-")</f>
        <v>-0.19916076414632988</v>
      </c>
      <c r="J25" s="164">
        <f t="shared" si="13"/>
        <v>-0.4632707434661254</v>
      </c>
      <c r="K25" s="163">
        <f t="shared" si="14"/>
        <v>-12625</v>
      </c>
      <c r="L25" s="163">
        <f t="shared" si="15"/>
        <v>-43818</v>
      </c>
      <c r="M25" s="164">
        <f t="shared" si="12"/>
        <v>1.2395198966309846E-2</v>
      </c>
    </row>
    <row r="26" spans="1:27" x14ac:dyDescent="0.25">
      <c r="B26" s="162" t="s">
        <v>100</v>
      </c>
      <c r="C26" s="163">
        <v>79400</v>
      </c>
      <c r="D26" s="163">
        <v>88532</v>
      </c>
      <c r="E26" s="163">
        <v>33771</v>
      </c>
      <c r="F26" s="163">
        <v>97931</v>
      </c>
      <c r="G26" s="163">
        <v>85390</v>
      </c>
      <c r="H26" s="163">
        <v>81243</v>
      </c>
      <c r="I26" s="165">
        <f>IFERROR(H26/G26-1,"-")</f>
        <v>-4.8565405785220728E-2</v>
      </c>
      <c r="J26" s="164">
        <f t="shared" si="13"/>
        <v>-8.2331812226087764E-2</v>
      </c>
      <c r="K26" s="163">
        <f t="shared" si="14"/>
        <v>-4147</v>
      </c>
      <c r="L26" s="163">
        <f t="shared" si="15"/>
        <v>-7289</v>
      </c>
      <c r="M26" s="164">
        <f t="shared" si="12"/>
        <v>1.9836566789187857E-2</v>
      </c>
    </row>
    <row r="27" spans="1:27" x14ac:dyDescent="0.25">
      <c r="B27" s="157" t="s">
        <v>107</v>
      </c>
      <c r="C27" s="158">
        <v>1118090</v>
      </c>
      <c r="D27" s="158">
        <v>1143714</v>
      </c>
      <c r="E27" s="158">
        <v>357633</v>
      </c>
      <c r="F27" s="158">
        <v>1126151</v>
      </c>
      <c r="G27" s="158">
        <v>1251276</v>
      </c>
      <c r="H27" s="158">
        <v>1317674</v>
      </c>
      <c r="I27" s="160">
        <f>IFERROR(H27/G27-1,"-")</f>
        <v>5.3064232031941883E-2</v>
      </c>
      <c r="J27" s="159">
        <f t="shared" si="13"/>
        <v>0.152100962303513</v>
      </c>
      <c r="K27" s="158">
        <f t="shared" si="14"/>
        <v>66398</v>
      </c>
      <c r="L27" s="158">
        <f t="shared" si="15"/>
        <v>173960</v>
      </c>
      <c r="M27" s="159">
        <f t="shared" si="12"/>
        <v>0.32172775879000431</v>
      </c>
    </row>
    <row r="28" spans="1:27" x14ac:dyDescent="0.25">
      <c r="B28" s="162" t="s">
        <v>110</v>
      </c>
      <c r="C28" s="163">
        <v>546893</v>
      </c>
      <c r="D28" s="163">
        <v>575644</v>
      </c>
      <c r="E28" s="163">
        <v>155761</v>
      </c>
      <c r="F28" s="163">
        <v>575306</v>
      </c>
      <c r="G28" s="163">
        <v>656025</v>
      </c>
      <c r="H28" s="163">
        <v>697141</v>
      </c>
      <c r="I28" s="165">
        <f t="shared" ref="I28:I35" si="16">IFERROR(H28/G28-1,"-")</f>
        <v>6.2674440760641659E-2</v>
      </c>
      <c r="J28" s="164">
        <f t="shared" si="13"/>
        <v>0.21106274016579696</v>
      </c>
      <c r="K28" s="163">
        <f t="shared" si="14"/>
        <v>41116</v>
      </c>
      <c r="L28" s="163">
        <f t="shared" si="15"/>
        <v>121497</v>
      </c>
      <c r="M28" s="164">
        <f t="shared" si="12"/>
        <v>0.17021631411913904</v>
      </c>
    </row>
    <row r="29" spans="1:27" x14ac:dyDescent="0.25">
      <c r="B29" s="162" t="s">
        <v>113</v>
      </c>
      <c r="C29" s="163">
        <v>162885</v>
      </c>
      <c r="D29" s="163">
        <v>150403</v>
      </c>
      <c r="E29" s="163">
        <v>45028</v>
      </c>
      <c r="F29" s="163">
        <v>120904</v>
      </c>
      <c r="G29" s="163">
        <v>131670</v>
      </c>
      <c r="H29" s="163">
        <v>132799</v>
      </c>
      <c r="I29" s="165">
        <f t="shared" si="16"/>
        <v>8.5744664692033457E-3</v>
      </c>
      <c r="J29" s="164">
        <f t="shared" si="13"/>
        <v>-0.11704553765549885</v>
      </c>
      <c r="K29" s="163">
        <f t="shared" si="14"/>
        <v>1129</v>
      </c>
      <c r="L29" s="163">
        <f t="shared" si="15"/>
        <v>-17604</v>
      </c>
      <c r="M29" s="164">
        <f t="shared" si="12"/>
        <v>3.2424654838415105E-2</v>
      </c>
    </row>
    <row r="30" spans="1:27" x14ac:dyDescent="0.25">
      <c r="B30" s="162" t="s">
        <v>116</v>
      </c>
      <c r="C30" s="163">
        <v>35996</v>
      </c>
      <c r="D30" s="163">
        <v>39885</v>
      </c>
      <c r="E30" s="163">
        <v>15695</v>
      </c>
      <c r="F30" s="163">
        <v>46955</v>
      </c>
      <c r="G30" s="163">
        <v>49227</v>
      </c>
      <c r="H30" s="163">
        <v>44942</v>
      </c>
      <c r="I30" s="165">
        <f t="shared" si="16"/>
        <v>-8.7045726938468682E-2</v>
      </c>
      <c r="J30" s="164">
        <f t="shared" si="13"/>
        <v>0.12678951986962517</v>
      </c>
      <c r="K30" s="163">
        <f t="shared" si="14"/>
        <v>-4285</v>
      </c>
      <c r="L30" s="163">
        <f t="shared" si="15"/>
        <v>5057</v>
      </c>
      <c r="M30" s="164">
        <f t="shared" si="12"/>
        <v>1.0973191347435235E-2</v>
      </c>
    </row>
    <row r="31" spans="1:27" x14ac:dyDescent="0.25">
      <c r="B31" s="162" t="s">
        <v>123</v>
      </c>
      <c r="C31" s="163">
        <v>49764</v>
      </c>
      <c r="D31" s="163">
        <v>45808</v>
      </c>
      <c r="E31" s="163">
        <v>15190</v>
      </c>
      <c r="F31" s="163">
        <v>60469</v>
      </c>
      <c r="G31" s="163">
        <v>53942</v>
      </c>
      <c r="H31" s="163">
        <v>54097</v>
      </c>
      <c r="I31" s="165">
        <f t="shared" si="16"/>
        <v>2.8734566756887236E-3</v>
      </c>
      <c r="J31" s="164">
        <f t="shared" si="13"/>
        <v>0.1809509256025148</v>
      </c>
      <c r="K31" s="163">
        <f t="shared" si="14"/>
        <v>155</v>
      </c>
      <c r="L31" s="163">
        <f t="shared" si="15"/>
        <v>8289</v>
      </c>
      <c r="M31" s="164">
        <f t="shared" si="12"/>
        <v>1.3208507238712204E-2</v>
      </c>
    </row>
    <row r="32" spans="1:27" x14ac:dyDescent="0.25">
      <c r="B32" s="162" t="s">
        <v>119</v>
      </c>
      <c r="C32" s="163">
        <v>52141</v>
      </c>
      <c r="D32" s="163">
        <v>51994</v>
      </c>
      <c r="E32" s="163">
        <v>22314</v>
      </c>
      <c r="F32" s="163">
        <v>60675</v>
      </c>
      <c r="G32" s="163">
        <v>57569</v>
      </c>
      <c r="H32" s="163">
        <v>59410</v>
      </c>
      <c r="I32" s="165">
        <f t="shared" si="16"/>
        <v>3.1979016484566358E-2</v>
      </c>
      <c r="J32" s="164">
        <f t="shared" si="13"/>
        <v>0.14263184213563096</v>
      </c>
      <c r="K32" s="163">
        <f t="shared" si="14"/>
        <v>1841</v>
      </c>
      <c r="L32" s="163">
        <f t="shared" si="15"/>
        <v>7416</v>
      </c>
      <c r="M32" s="164">
        <f t="shared" si="12"/>
        <v>1.450574736218075E-2</v>
      </c>
    </row>
    <row r="33" spans="2:13" x14ac:dyDescent="0.25">
      <c r="B33" s="162" t="s">
        <v>128</v>
      </c>
      <c r="C33" s="163">
        <v>18981</v>
      </c>
      <c r="D33" s="163">
        <v>22463</v>
      </c>
      <c r="E33" s="163">
        <v>11529</v>
      </c>
      <c r="F33" s="163">
        <v>14568</v>
      </c>
      <c r="G33" s="163">
        <v>16963</v>
      </c>
      <c r="H33" s="163">
        <v>16255</v>
      </c>
      <c r="I33" s="165">
        <f t="shared" si="16"/>
        <v>-4.1737900135589201E-2</v>
      </c>
      <c r="J33" s="164">
        <f t="shared" si="13"/>
        <v>-0.27636557895205449</v>
      </c>
      <c r="K33" s="163">
        <f t="shared" si="14"/>
        <v>-708</v>
      </c>
      <c r="L33" s="163">
        <f t="shared" si="15"/>
        <v>-6208</v>
      </c>
      <c r="M33" s="164">
        <f t="shared" si="12"/>
        <v>3.9688760035725985E-3</v>
      </c>
    </row>
    <row r="34" spans="2:13" x14ac:dyDescent="0.25">
      <c r="B34" s="162" t="s">
        <v>131</v>
      </c>
      <c r="C34" s="163">
        <v>22746</v>
      </c>
      <c r="D34" s="163">
        <v>20353</v>
      </c>
      <c r="E34" s="163">
        <v>12846</v>
      </c>
      <c r="F34" s="163">
        <v>8856</v>
      </c>
      <c r="G34" s="163">
        <v>14835</v>
      </c>
      <c r="H34" s="163">
        <v>13973</v>
      </c>
      <c r="I34" s="165">
        <f t="shared" si="16"/>
        <v>-5.8105830805527448E-2</v>
      </c>
      <c r="J34" s="164">
        <f t="shared" si="13"/>
        <v>-0.31346730211762397</v>
      </c>
      <c r="K34" s="163">
        <f t="shared" si="14"/>
        <v>-862</v>
      </c>
      <c r="L34" s="163">
        <f t="shared" si="15"/>
        <v>-6380</v>
      </c>
      <c r="M34" s="164">
        <f t="shared" si="12"/>
        <v>3.4116951336770176E-3</v>
      </c>
    </row>
    <row r="35" spans="2:13" x14ac:dyDescent="0.25">
      <c r="B35" s="168" t="s">
        <v>145</v>
      </c>
      <c r="C35" s="169">
        <f t="shared" ref="C35:H35" si="17">C27-SUM(C28:C34)</f>
        <v>228684</v>
      </c>
      <c r="D35" s="169">
        <f t="shared" si="17"/>
        <v>237164</v>
      </c>
      <c r="E35" s="169">
        <f t="shared" si="17"/>
        <v>79270</v>
      </c>
      <c r="F35" s="169">
        <f t="shared" si="17"/>
        <v>238418</v>
      </c>
      <c r="G35" s="169">
        <f t="shared" si="17"/>
        <v>271045</v>
      </c>
      <c r="H35" s="169">
        <f t="shared" si="17"/>
        <v>299057</v>
      </c>
      <c r="I35" s="171">
        <f t="shared" si="16"/>
        <v>0.1033481525207991</v>
      </c>
      <c r="J35" s="170">
        <f t="shared" si="13"/>
        <v>0.26097131099155013</v>
      </c>
      <c r="K35" s="169">
        <f>H35-G35</f>
        <v>28012</v>
      </c>
      <c r="L35" s="169">
        <f t="shared" si="15"/>
        <v>61893</v>
      </c>
      <c r="M35" s="170">
        <f t="shared" si="12"/>
        <v>7.3018772746872393E-2</v>
      </c>
    </row>
    <row r="36" spans="2:13" x14ac:dyDescent="0.25">
      <c r="B36" s="153" t="s">
        <v>45</v>
      </c>
      <c r="C36" s="151"/>
      <c r="D36" s="151"/>
      <c r="E36" s="151"/>
      <c r="F36" s="151"/>
      <c r="G36" s="151"/>
      <c r="H36" s="152"/>
      <c r="I36" s="152"/>
      <c r="J36" s="152"/>
      <c r="K36" s="152"/>
      <c r="L36" s="151"/>
      <c r="M36" s="151"/>
    </row>
    <row r="37" spans="2:13" x14ac:dyDescent="0.25">
      <c r="B37" s="154" t="s">
        <v>68</v>
      </c>
      <c r="C37" s="176">
        <v>983794</v>
      </c>
      <c r="D37" s="176">
        <v>972864</v>
      </c>
      <c r="E37" s="176">
        <v>298260</v>
      </c>
      <c r="F37" s="176">
        <v>914043</v>
      </c>
      <c r="G37" s="176">
        <v>974839</v>
      </c>
      <c r="H37" s="176">
        <v>1033377</v>
      </c>
      <c r="I37" s="177">
        <f>IFERROR(H37/G37-1,"-")</f>
        <v>6.0048890124420495E-2</v>
      </c>
      <c r="J37" s="177">
        <f>IFERROR(H37/D37-1,"-")</f>
        <v>6.2200883165581144E-2</v>
      </c>
      <c r="K37" s="176">
        <f>H37-G37</f>
        <v>58538</v>
      </c>
      <c r="L37" s="176">
        <f>H37-D37</f>
        <v>60513</v>
      </c>
      <c r="M37" s="177">
        <f t="shared" ref="M37:M49" si="18">H37/H$9</f>
        <v>0.25231283776953806</v>
      </c>
    </row>
    <row r="38" spans="2:13" x14ac:dyDescent="0.25">
      <c r="B38" s="157" t="s">
        <v>97</v>
      </c>
      <c r="C38" s="158">
        <v>107229</v>
      </c>
      <c r="D38" s="158">
        <v>101088</v>
      </c>
      <c r="E38" s="158">
        <v>34195</v>
      </c>
      <c r="F38" s="158">
        <v>100475</v>
      </c>
      <c r="G38" s="158">
        <v>94395</v>
      </c>
      <c r="H38" s="158">
        <v>91109</v>
      </c>
      <c r="I38" s="160">
        <f>IFERROR(H38/G38-1,"-")</f>
        <v>-3.4811165845648584E-2</v>
      </c>
      <c r="J38" s="159">
        <f t="shared" ref="J38:J49" si="19">IFERROR(H38/D38-1,"-")</f>
        <v>-9.8715970243748008E-2</v>
      </c>
      <c r="K38" s="158">
        <f t="shared" ref="K38:K48" si="20">H38-G38</f>
        <v>-3286</v>
      </c>
      <c r="L38" s="158">
        <f t="shared" ref="L38:L49" si="21">H38-D38</f>
        <v>-9979</v>
      </c>
      <c r="M38" s="159">
        <f t="shared" si="18"/>
        <v>2.2245482855090488E-2</v>
      </c>
    </row>
    <row r="39" spans="2:13" x14ac:dyDescent="0.25">
      <c r="B39" s="162" t="s">
        <v>103</v>
      </c>
      <c r="C39" s="163">
        <v>35075</v>
      </c>
      <c r="D39" s="163">
        <v>40885</v>
      </c>
      <c r="E39" s="163">
        <v>16143</v>
      </c>
      <c r="F39" s="163">
        <v>41441</v>
      </c>
      <c r="G39" s="163">
        <v>42012</v>
      </c>
      <c r="H39" s="163">
        <v>41448</v>
      </c>
      <c r="I39" s="165">
        <f>IFERROR(H39/G39-1,"-")</f>
        <v>-1.3424735789774322E-2</v>
      </c>
      <c r="J39" s="164">
        <f t="shared" si="19"/>
        <v>1.3770331417390258E-2</v>
      </c>
      <c r="K39" s="163">
        <f t="shared" si="20"/>
        <v>-564</v>
      </c>
      <c r="L39" s="163">
        <f t="shared" si="21"/>
        <v>563</v>
      </c>
      <c r="M39" s="164">
        <f t="shared" si="18"/>
        <v>1.0120084441468906E-2</v>
      </c>
    </row>
    <row r="40" spans="2:13" x14ac:dyDescent="0.25">
      <c r="B40" s="162" t="s">
        <v>100</v>
      </c>
      <c r="C40" s="163">
        <v>72154</v>
      </c>
      <c r="D40" s="163">
        <v>60203</v>
      </c>
      <c r="E40" s="163">
        <v>18052</v>
      </c>
      <c r="F40" s="163">
        <v>59034</v>
      </c>
      <c r="G40" s="163">
        <v>52383</v>
      </c>
      <c r="H40" s="163">
        <v>49661</v>
      </c>
      <c r="I40" s="165">
        <f>IFERROR(H40/G40-1,"-")</f>
        <v>-5.1963423248000296E-2</v>
      </c>
      <c r="J40" s="164">
        <f t="shared" si="19"/>
        <v>-0.17510755277976175</v>
      </c>
      <c r="K40" s="163">
        <f t="shared" si="20"/>
        <v>-2722</v>
      </c>
      <c r="L40" s="163">
        <f t="shared" si="21"/>
        <v>-10542</v>
      </c>
      <c r="M40" s="164">
        <f t="shared" si="18"/>
        <v>1.2125398413621582E-2</v>
      </c>
    </row>
    <row r="41" spans="2:13" x14ac:dyDescent="0.25">
      <c r="B41" s="157" t="s">
        <v>107</v>
      </c>
      <c r="C41" s="158">
        <v>876565</v>
      </c>
      <c r="D41" s="158">
        <v>871776</v>
      </c>
      <c r="E41" s="158">
        <v>264065</v>
      </c>
      <c r="F41" s="158">
        <v>813568</v>
      </c>
      <c r="G41" s="158">
        <v>880444</v>
      </c>
      <c r="H41" s="158">
        <v>942268</v>
      </c>
      <c r="I41" s="160">
        <f>IFERROR(H41/G41-1,"-")</f>
        <v>7.021911671838299E-2</v>
      </c>
      <c r="J41" s="159">
        <f t="shared" si="19"/>
        <v>8.0860220974195096E-2</v>
      </c>
      <c r="K41" s="158">
        <f t="shared" si="20"/>
        <v>61824</v>
      </c>
      <c r="L41" s="158">
        <f t="shared" si="21"/>
        <v>70492</v>
      </c>
      <c r="M41" s="159">
        <f t="shared" si="18"/>
        <v>0.23006735491444757</v>
      </c>
    </row>
    <row r="42" spans="2:13" x14ac:dyDescent="0.25">
      <c r="B42" s="162" t="s">
        <v>110</v>
      </c>
      <c r="C42" s="163">
        <v>465182</v>
      </c>
      <c r="D42" s="163">
        <v>493226</v>
      </c>
      <c r="E42" s="163">
        <v>116664</v>
      </c>
      <c r="F42" s="163">
        <v>427821</v>
      </c>
      <c r="G42" s="163">
        <v>475496</v>
      </c>
      <c r="H42" s="163">
        <v>519143</v>
      </c>
      <c r="I42" s="165">
        <f t="shared" ref="I42:I49" si="22">IFERROR(H42/G42-1,"-")</f>
        <v>9.1792570284502828E-2</v>
      </c>
      <c r="J42" s="164">
        <f t="shared" si="19"/>
        <v>5.2545891741311301E-2</v>
      </c>
      <c r="K42" s="163">
        <f t="shared" si="20"/>
        <v>43647</v>
      </c>
      <c r="L42" s="163">
        <f t="shared" si="21"/>
        <v>25917</v>
      </c>
      <c r="M42" s="164">
        <f t="shared" si="18"/>
        <v>0.12675571794049151</v>
      </c>
    </row>
    <row r="43" spans="2:13" x14ac:dyDescent="0.25">
      <c r="B43" s="162" t="s">
        <v>113</v>
      </c>
      <c r="C43" s="163">
        <v>54501</v>
      </c>
      <c r="D43" s="163">
        <v>38841</v>
      </c>
      <c r="E43" s="163">
        <v>13074</v>
      </c>
      <c r="F43" s="163">
        <v>26383</v>
      </c>
      <c r="G43" s="163">
        <v>31553</v>
      </c>
      <c r="H43" s="163">
        <v>30650</v>
      </c>
      <c r="I43" s="165">
        <f t="shared" si="22"/>
        <v>-2.861851487972622E-2</v>
      </c>
      <c r="J43" s="164">
        <f t="shared" si="19"/>
        <v>-0.21088540459823379</v>
      </c>
      <c r="K43" s="163">
        <f t="shared" si="20"/>
        <v>-903</v>
      </c>
      <c r="L43" s="163">
        <f t="shared" si="21"/>
        <v>-8191</v>
      </c>
      <c r="M43" s="164">
        <f t="shared" si="18"/>
        <v>7.4836080904029621E-3</v>
      </c>
    </row>
    <row r="44" spans="2:13" x14ac:dyDescent="0.25">
      <c r="B44" s="162" t="s">
        <v>116</v>
      </c>
      <c r="C44" s="163">
        <v>18381</v>
      </c>
      <c r="D44" s="163">
        <v>18562</v>
      </c>
      <c r="E44" s="163">
        <v>7121</v>
      </c>
      <c r="F44" s="163">
        <v>19845</v>
      </c>
      <c r="G44" s="163">
        <v>21845</v>
      </c>
      <c r="H44" s="163">
        <v>22025</v>
      </c>
      <c r="I44" s="165">
        <f t="shared" si="22"/>
        <v>8.2398718242160385E-3</v>
      </c>
      <c r="J44" s="164">
        <f t="shared" si="19"/>
        <v>0.18656394785044705</v>
      </c>
      <c r="K44" s="163">
        <f t="shared" si="20"/>
        <v>180</v>
      </c>
      <c r="L44" s="163">
        <f t="shared" si="21"/>
        <v>3463</v>
      </c>
      <c r="M44" s="164">
        <f t="shared" si="18"/>
        <v>5.3776987990579199E-3</v>
      </c>
    </row>
    <row r="45" spans="2:13" x14ac:dyDescent="0.25">
      <c r="B45" s="162" t="s">
        <v>123</v>
      </c>
      <c r="C45" s="163">
        <v>43231</v>
      </c>
      <c r="D45" s="163">
        <v>41773</v>
      </c>
      <c r="E45" s="163">
        <v>12100</v>
      </c>
      <c r="F45" s="163">
        <v>45250</v>
      </c>
      <c r="G45" s="163">
        <v>41417</v>
      </c>
      <c r="H45" s="163">
        <v>43313</v>
      </c>
      <c r="I45" s="165">
        <f t="shared" si="22"/>
        <v>4.5778303595142011E-2</v>
      </c>
      <c r="J45" s="164">
        <f t="shared" si="19"/>
        <v>3.6865918176812729E-2</v>
      </c>
      <c r="K45" s="163">
        <f t="shared" si="20"/>
        <v>1896</v>
      </c>
      <c r="L45" s="163">
        <f t="shared" si="21"/>
        <v>1540</v>
      </c>
      <c r="M45" s="164">
        <f t="shared" si="18"/>
        <v>1.0575449175191631E-2</v>
      </c>
    </row>
    <row r="46" spans="2:13" x14ac:dyDescent="0.25">
      <c r="B46" s="162" t="s">
        <v>119</v>
      </c>
      <c r="C46" s="163">
        <v>31317</v>
      </c>
      <c r="D46" s="163">
        <v>29659</v>
      </c>
      <c r="E46" s="163">
        <v>12738</v>
      </c>
      <c r="F46" s="163">
        <v>27403</v>
      </c>
      <c r="G46" s="163">
        <v>31835</v>
      </c>
      <c r="H46" s="163">
        <v>32875</v>
      </c>
      <c r="I46" s="165">
        <f t="shared" si="22"/>
        <v>3.266844667818436E-2</v>
      </c>
      <c r="J46" s="164">
        <f t="shared" si="19"/>
        <v>0.10843251626824912</v>
      </c>
      <c r="K46" s="163">
        <f t="shared" si="20"/>
        <v>1040</v>
      </c>
      <c r="L46" s="163">
        <f t="shared" si="21"/>
        <v>3216</v>
      </c>
      <c r="M46" s="164">
        <f t="shared" si="18"/>
        <v>8.0268716467209594E-3</v>
      </c>
    </row>
    <row r="47" spans="2:13" x14ac:dyDescent="0.25">
      <c r="B47" s="162" t="s">
        <v>128</v>
      </c>
      <c r="C47" s="163">
        <v>17574</v>
      </c>
      <c r="D47" s="163">
        <v>18434</v>
      </c>
      <c r="E47" s="163">
        <v>9604</v>
      </c>
      <c r="F47" s="163">
        <v>14374</v>
      </c>
      <c r="G47" s="163">
        <v>15738</v>
      </c>
      <c r="H47" s="163">
        <v>14418</v>
      </c>
      <c r="I47" s="165">
        <f t="shared" si="22"/>
        <v>-8.3873427373236775E-2</v>
      </c>
      <c r="J47" s="164">
        <f t="shared" si="19"/>
        <v>-0.21785830530541395</v>
      </c>
      <c r="K47" s="163">
        <f t="shared" si="20"/>
        <v>-1320</v>
      </c>
      <c r="L47" s="163">
        <f t="shared" si="21"/>
        <v>-4016</v>
      </c>
      <c r="M47" s="164">
        <f t="shared" si="18"/>
        <v>3.5203478449406171E-3</v>
      </c>
    </row>
    <row r="48" spans="2:13" x14ac:dyDescent="0.25">
      <c r="B48" s="162" t="s">
        <v>131</v>
      </c>
      <c r="C48" s="163">
        <v>29196</v>
      </c>
      <c r="D48" s="163">
        <v>25056</v>
      </c>
      <c r="E48" s="163">
        <v>15416</v>
      </c>
      <c r="F48" s="163">
        <v>11770</v>
      </c>
      <c r="G48" s="163">
        <v>15107</v>
      </c>
      <c r="H48" s="163">
        <v>15047</v>
      </c>
      <c r="I48" s="165">
        <f t="shared" si="22"/>
        <v>-3.9716687628251757E-3</v>
      </c>
      <c r="J48" s="164">
        <f t="shared" si="19"/>
        <v>-0.39946519795657731</v>
      </c>
      <c r="K48" s="163">
        <f t="shared" si="20"/>
        <v>-60</v>
      </c>
      <c r="L48" s="163">
        <f t="shared" si="21"/>
        <v>-10009</v>
      </c>
      <c r="M48" s="164">
        <f t="shared" si="18"/>
        <v>3.6739266210862437E-3</v>
      </c>
    </row>
    <row r="49" spans="2:13" x14ac:dyDescent="0.25">
      <c r="B49" s="168" t="s">
        <v>145</v>
      </c>
      <c r="C49" s="169">
        <f t="shared" ref="C49:H49" si="23">C41-SUM(C42:C48)</f>
        <v>217183</v>
      </c>
      <c r="D49" s="169">
        <f t="shared" si="23"/>
        <v>206225</v>
      </c>
      <c r="E49" s="169">
        <f t="shared" si="23"/>
        <v>77348</v>
      </c>
      <c r="F49" s="169">
        <f t="shared" si="23"/>
        <v>240722</v>
      </c>
      <c r="G49" s="169">
        <f t="shared" si="23"/>
        <v>247453</v>
      </c>
      <c r="H49" s="169">
        <f t="shared" si="23"/>
        <v>264797</v>
      </c>
      <c r="I49" s="171">
        <f t="shared" si="22"/>
        <v>7.0090077711727039E-2</v>
      </c>
      <c r="J49" s="170">
        <f t="shared" si="19"/>
        <v>0.28401988119772104</v>
      </c>
      <c r="K49" s="169">
        <f>H49-G49</f>
        <v>17344</v>
      </c>
      <c r="L49" s="169">
        <f t="shared" si="21"/>
        <v>58572</v>
      </c>
      <c r="M49" s="170">
        <f t="shared" si="18"/>
        <v>6.4653734796555729E-2</v>
      </c>
    </row>
    <row r="50" spans="2:13" x14ac:dyDescent="0.25">
      <c r="B50" s="153" t="s">
        <v>46</v>
      </c>
      <c r="C50" s="151"/>
      <c r="D50" s="151"/>
      <c r="E50" s="151"/>
      <c r="F50" s="151"/>
      <c r="G50" s="151"/>
      <c r="H50" s="152"/>
      <c r="I50" s="152"/>
      <c r="J50" s="152"/>
      <c r="K50" s="152"/>
      <c r="L50" s="151"/>
      <c r="M50" s="151"/>
    </row>
    <row r="51" spans="2:13" x14ac:dyDescent="0.25">
      <c r="B51" s="154" t="s">
        <v>68</v>
      </c>
      <c r="C51" s="176">
        <v>34338</v>
      </c>
      <c r="D51" s="176">
        <v>33380</v>
      </c>
      <c r="E51" s="176">
        <v>11345</v>
      </c>
      <c r="F51" s="176">
        <v>25651</v>
      </c>
      <c r="G51" s="176">
        <v>37060</v>
      </c>
      <c r="H51" s="176">
        <v>32035</v>
      </c>
      <c r="I51" s="177">
        <f>IFERROR(H51/G51-1,"-")</f>
        <v>-0.13559093362115493</v>
      </c>
      <c r="J51" s="177">
        <f>IFERROR(H51/D51-1,"-")</f>
        <v>-4.0293588975434447E-2</v>
      </c>
      <c r="K51" s="176">
        <f>H51-G51</f>
        <v>-5025</v>
      </c>
      <c r="L51" s="176">
        <f>H51-D51</f>
        <v>-1345</v>
      </c>
      <c r="M51" s="177">
        <f t="shared" ref="M51:M63" si="24">H51/H$9</f>
        <v>7.8217743939986584E-3</v>
      </c>
    </row>
    <row r="52" spans="2:13" x14ac:dyDescent="0.25">
      <c r="B52" s="157" t="s">
        <v>97</v>
      </c>
      <c r="C52" s="158">
        <v>9170</v>
      </c>
      <c r="D52" s="158">
        <v>8490</v>
      </c>
      <c r="E52" s="158">
        <v>2129</v>
      </c>
      <c r="F52" s="158">
        <v>4228</v>
      </c>
      <c r="G52" s="158">
        <v>16405</v>
      </c>
      <c r="H52" s="158">
        <v>8742</v>
      </c>
      <c r="I52" s="160">
        <f>IFERROR(H52/G52-1,"-")</f>
        <v>-0.46711368485217919</v>
      </c>
      <c r="J52" s="159">
        <f t="shared" ref="J52:J63" si="25">IFERROR(H52/D52-1,"-")</f>
        <v>2.9681978798586472E-2</v>
      </c>
      <c r="K52" s="158">
        <f t="shared" ref="K52:K62" si="26">H52-G52</f>
        <v>-7663</v>
      </c>
      <c r="L52" s="158">
        <f t="shared" ref="L52:L63" si="27">H52-D52</f>
        <v>252</v>
      </c>
      <c r="M52" s="159">
        <f t="shared" si="24"/>
        <v>2.1344764086885055E-3</v>
      </c>
    </row>
    <row r="53" spans="2:13" x14ac:dyDescent="0.25">
      <c r="B53" s="162" t="s">
        <v>103</v>
      </c>
      <c r="C53" s="163">
        <v>5864</v>
      </c>
      <c r="D53" s="163">
        <v>4959</v>
      </c>
      <c r="E53" s="163">
        <v>1503</v>
      </c>
      <c r="F53" s="163">
        <v>2187</v>
      </c>
      <c r="G53" s="163">
        <v>12282</v>
      </c>
      <c r="H53" s="163">
        <v>5931</v>
      </c>
      <c r="I53" s="165">
        <f>IFERROR(H53/G53-1,"-")</f>
        <v>-0.51709819247679534</v>
      </c>
      <c r="J53" s="164">
        <f t="shared" si="25"/>
        <v>0.19600725952813058</v>
      </c>
      <c r="K53" s="163">
        <f t="shared" si="26"/>
        <v>-6351</v>
      </c>
      <c r="L53" s="163">
        <f t="shared" si="27"/>
        <v>972</v>
      </c>
      <c r="M53" s="164">
        <f t="shared" si="24"/>
        <v>1.4481331022570953E-3</v>
      </c>
    </row>
    <row r="54" spans="2:13" x14ac:dyDescent="0.25">
      <c r="B54" s="162" t="s">
        <v>100</v>
      </c>
      <c r="C54" s="163">
        <v>3306</v>
      </c>
      <c r="D54" s="163">
        <v>3531</v>
      </c>
      <c r="E54" s="163">
        <v>626</v>
      </c>
      <c r="F54" s="163">
        <v>2041</v>
      </c>
      <c r="G54" s="163">
        <v>4123</v>
      </c>
      <c r="H54" s="163">
        <v>2811</v>
      </c>
      <c r="I54" s="165">
        <f>IFERROR(H54/G54-1,"-")</f>
        <v>-0.31821489206888187</v>
      </c>
      <c r="J54" s="164">
        <f t="shared" si="25"/>
        <v>-0.20390824129141882</v>
      </c>
      <c r="K54" s="163">
        <f t="shared" si="26"/>
        <v>-1312</v>
      </c>
      <c r="L54" s="163">
        <f t="shared" si="27"/>
        <v>-720</v>
      </c>
      <c r="M54" s="164">
        <f t="shared" si="24"/>
        <v>6.8634330643141037E-4</v>
      </c>
    </row>
    <row r="55" spans="2:13" x14ac:dyDescent="0.25">
      <c r="B55" s="157" t="s">
        <v>107</v>
      </c>
      <c r="C55" s="158">
        <v>25168</v>
      </c>
      <c r="D55" s="158">
        <v>24890</v>
      </c>
      <c r="E55" s="158">
        <v>9216</v>
      </c>
      <c r="F55" s="158">
        <v>21423</v>
      </c>
      <c r="G55" s="158">
        <v>20655</v>
      </c>
      <c r="H55" s="158">
        <v>23293</v>
      </c>
      <c r="I55" s="160">
        <f>IFERROR(H55/G55-1,"-")</f>
        <v>0.12771725974340353</v>
      </c>
      <c r="J55" s="159">
        <f t="shared" si="25"/>
        <v>-6.4162314182402591E-2</v>
      </c>
      <c r="K55" s="158">
        <f t="shared" si="26"/>
        <v>2638</v>
      </c>
      <c r="L55" s="158">
        <f t="shared" si="27"/>
        <v>-1597</v>
      </c>
      <c r="M55" s="159">
        <f t="shared" si="24"/>
        <v>5.6872979853101538E-3</v>
      </c>
    </row>
    <row r="56" spans="2:13" x14ac:dyDescent="0.25">
      <c r="B56" s="162" t="s">
        <v>110</v>
      </c>
      <c r="C56" s="163">
        <v>7249</v>
      </c>
      <c r="D56" s="163">
        <v>7756</v>
      </c>
      <c r="E56" s="163">
        <v>2934</v>
      </c>
      <c r="F56" s="163">
        <v>7632</v>
      </c>
      <c r="G56" s="163">
        <v>6681</v>
      </c>
      <c r="H56" s="163">
        <v>8218</v>
      </c>
      <c r="I56" s="165">
        <f t="shared" ref="I56:I63" si="28">IFERROR(H56/G56-1,"-")</f>
        <v>0.23005538093099842</v>
      </c>
      <c r="J56" s="164">
        <f t="shared" si="25"/>
        <v>5.9566787003610067E-2</v>
      </c>
      <c r="K56" s="163">
        <f t="shared" si="26"/>
        <v>1537</v>
      </c>
      <c r="L56" s="163">
        <f t="shared" si="27"/>
        <v>462</v>
      </c>
      <c r="M56" s="164">
        <f t="shared" si="24"/>
        <v>2.0065347891331663E-3</v>
      </c>
    </row>
    <row r="57" spans="2:13" x14ac:dyDescent="0.25">
      <c r="B57" s="162" t="s">
        <v>113</v>
      </c>
      <c r="C57" s="163">
        <v>7958</v>
      </c>
      <c r="D57" s="163">
        <v>6375</v>
      </c>
      <c r="E57" s="163">
        <v>2321</v>
      </c>
      <c r="F57" s="163">
        <v>4682</v>
      </c>
      <c r="G57" s="163">
        <v>3567</v>
      </c>
      <c r="H57" s="163">
        <v>4513</v>
      </c>
      <c r="I57" s="165">
        <f t="shared" si="28"/>
        <v>0.26520885898514157</v>
      </c>
      <c r="J57" s="164">
        <f t="shared" si="25"/>
        <v>-0.29207843137254907</v>
      </c>
      <c r="K57" s="163">
        <f t="shared" si="26"/>
        <v>946</v>
      </c>
      <c r="L57" s="163">
        <f t="shared" si="27"/>
        <v>-1862</v>
      </c>
      <c r="M57" s="164">
        <f t="shared" si="24"/>
        <v>1.1019094065901655E-3</v>
      </c>
    </row>
    <row r="58" spans="2:13" x14ac:dyDescent="0.25">
      <c r="B58" s="162" t="s">
        <v>116</v>
      </c>
      <c r="C58" s="163">
        <v>1654</v>
      </c>
      <c r="D58" s="163">
        <v>1827</v>
      </c>
      <c r="E58" s="163">
        <v>496</v>
      </c>
      <c r="F58" s="163">
        <v>1821</v>
      </c>
      <c r="G58" s="163">
        <v>2104</v>
      </c>
      <c r="H58" s="163">
        <v>1721</v>
      </c>
      <c r="I58" s="165">
        <f t="shared" si="28"/>
        <v>-0.18203422053231944</v>
      </c>
      <c r="J58" s="164">
        <f t="shared" si="25"/>
        <v>-5.801860974274764E-2</v>
      </c>
      <c r="K58" s="163">
        <f t="shared" si="26"/>
        <v>-383</v>
      </c>
      <c r="L58" s="163">
        <f t="shared" si="27"/>
        <v>-106</v>
      </c>
      <c r="M58" s="164">
        <f t="shared" si="24"/>
        <v>4.2020520468461658E-4</v>
      </c>
    </row>
    <row r="59" spans="2:13" x14ac:dyDescent="0.25">
      <c r="B59" s="162" t="s">
        <v>123</v>
      </c>
      <c r="C59" s="163">
        <v>473</v>
      </c>
      <c r="D59" s="163">
        <v>582</v>
      </c>
      <c r="E59" s="163">
        <v>243</v>
      </c>
      <c r="F59" s="163">
        <v>605</v>
      </c>
      <c r="G59" s="163">
        <v>461</v>
      </c>
      <c r="H59" s="163">
        <v>771</v>
      </c>
      <c r="I59" s="165">
        <f t="shared" si="28"/>
        <v>0.67245119305856837</v>
      </c>
      <c r="J59" s="164">
        <f t="shared" si="25"/>
        <v>0.32474226804123707</v>
      </c>
      <c r="K59" s="163">
        <f t="shared" si="26"/>
        <v>310</v>
      </c>
      <c r="L59" s="163">
        <f t="shared" si="27"/>
        <v>189</v>
      </c>
      <c r="M59" s="164">
        <f t="shared" si="24"/>
        <v>1.8824997839153945E-4</v>
      </c>
    </row>
    <row r="60" spans="2:13" x14ac:dyDescent="0.25">
      <c r="B60" s="162" t="s">
        <v>119</v>
      </c>
      <c r="C60" s="163">
        <v>472</v>
      </c>
      <c r="D60" s="163">
        <v>546</v>
      </c>
      <c r="E60" s="163">
        <v>213</v>
      </c>
      <c r="F60" s="163">
        <v>538</v>
      </c>
      <c r="G60" s="163">
        <v>473</v>
      </c>
      <c r="H60" s="163">
        <v>506</v>
      </c>
      <c r="I60" s="165">
        <f t="shared" si="28"/>
        <v>6.9767441860465018E-2</v>
      </c>
      <c r="J60" s="164">
        <f t="shared" si="25"/>
        <v>-7.3260073260073222E-2</v>
      </c>
      <c r="K60" s="163">
        <f t="shared" si="26"/>
        <v>33</v>
      </c>
      <c r="L60" s="163">
        <f t="shared" si="27"/>
        <v>-40</v>
      </c>
      <c r="M60" s="164">
        <f t="shared" si="24"/>
        <v>1.2354667842557582E-4</v>
      </c>
    </row>
    <row r="61" spans="2:13" x14ac:dyDescent="0.25">
      <c r="B61" s="162" t="s">
        <v>128</v>
      </c>
      <c r="C61" s="163">
        <v>261</v>
      </c>
      <c r="D61" s="163">
        <v>182</v>
      </c>
      <c r="E61" s="163">
        <v>136</v>
      </c>
      <c r="F61" s="163">
        <v>62</v>
      </c>
      <c r="G61" s="163">
        <v>167</v>
      </c>
      <c r="H61" s="163">
        <v>96</v>
      </c>
      <c r="I61" s="165">
        <f t="shared" si="28"/>
        <v>-0.42514970059880242</v>
      </c>
      <c r="J61" s="164">
        <f t="shared" si="25"/>
        <v>-0.47252747252747251</v>
      </c>
      <c r="K61" s="163">
        <f t="shared" si="26"/>
        <v>-71</v>
      </c>
      <c r="L61" s="163">
        <f t="shared" si="27"/>
        <v>-86</v>
      </c>
      <c r="M61" s="164">
        <f t="shared" si="24"/>
        <v>2.343968602540569E-5</v>
      </c>
    </row>
    <row r="62" spans="2:13" x14ac:dyDescent="0.25">
      <c r="B62" s="162" t="s">
        <v>131</v>
      </c>
      <c r="C62" s="163">
        <v>297</v>
      </c>
      <c r="D62" s="163">
        <v>303</v>
      </c>
      <c r="E62" s="163">
        <v>201</v>
      </c>
      <c r="F62" s="163">
        <v>97</v>
      </c>
      <c r="G62" s="163">
        <v>140</v>
      </c>
      <c r="H62" s="163">
        <v>92</v>
      </c>
      <c r="I62" s="165">
        <f t="shared" si="28"/>
        <v>-0.34285714285714286</v>
      </c>
      <c r="J62" s="164">
        <f t="shared" si="25"/>
        <v>-0.69636963696369636</v>
      </c>
      <c r="K62" s="163">
        <f t="shared" si="26"/>
        <v>-48</v>
      </c>
      <c r="L62" s="163">
        <f t="shared" si="27"/>
        <v>-211</v>
      </c>
      <c r="M62" s="164">
        <f t="shared" si="24"/>
        <v>2.2463032441013785E-5</v>
      </c>
    </row>
    <row r="63" spans="2:13" x14ac:dyDescent="0.25">
      <c r="B63" s="168" t="s">
        <v>145</v>
      </c>
      <c r="C63" s="169">
        <f t="shared" ref="C63:H63" si="29">C55-SUM(C56:C62)</f>
        <v>6804</v>
      </c>
      <c r="D63" s="169">
        <f t="shared" si="29"/>
        <v>7319</v>
      </c>
      <c r="E63" s="169">
        <f t="shared" si="29"/>
        <v>2672</v>
      </c>
      <c r="F63" s="169">
        <f t="shared" si="29"/>
        <v>5986</v>
      </c>
      <c r="G63" s="169">
        <f t="shared" si="29"/>
        <v>7062</v>
      </c>
      <c r="H63" s="169">
        <f t="shared" si="29"/>
        <v>7376</v>
      </c>
      <c r="I63" s="171">
        <f t="shared" si="28"/>
        <v>4.4463324837156648E-2</v>
      </c>
      <c r="J63" s="170">
        <f t="shared" si="25"/>
        <v>7.7879491733843231E-3</v>
      </c>
      <c r="K63" s="169">
        <f>H63-G63</f>
        <v>314</v>
      </c>
      <c r="L63" s="169">
        <f t="shared" si="27"/>
        <v>57</v>
      </c>
      <c r="M63" s="170">
        <f t="shared" si="24"/>
        <v>1.8009492096186706E-3</v>
      </c>
    </row>
    <row r="64" spans="2:13" x14ac:dyDescent="0.25">
      <c r="B64" s="153" t="s">
        <v>47</v>
      </c>
      <c r="C64" s="151"/>
      <c r="D64" s="151"/>
      <c r="E64" s="151"/>
      <c r="F64" s="151"/>
      <c r="G64" s="151"/>
      <c r="H64" s="152"/>
      <c r="I64" s="152"/>
      <c r="J64" s="152"/>
      <c r="K64" s="152"/>
      <c r="L64" s="151"/>
      <c r="M64" s="151"/>
    </row>
    <row r="65" spans="2:13" x14ac:dyDescent="0.25">
      <c r="B65" s="154" t="s">
        <v>68</v>
      </c>
      <c r="C65" s="176">
        <v>104000</v>
      </c>
      <c r="D65" s="176">
        <v>103641</v>
      </c>
      <c r="E65" s="176">
        <v>36944</v>
      </c>
      <c r="F65" s="176">
        <v>117560</v>
      </c>
      <c r="G65" s="176">
        <v>137595</v>
      </c>
      <c r="H65" s="176">
        <v>175857</v>
      </c>
      <c r="I65" s="177">
        <f>IFERROR(H65/G65-1,"-")</f>
        <v>0.27807696500599577</v>
      </c>
      <c r="J65" s="177">
        <f>IFERROR(H65/D65-1,"-")</f>
        <v>0.69678988045271661</v>
      </c>
      <c r="K65" s="176">
        <f>H65-G65</f>
        <v>38262</v>
      </c>
      <c r="L65" s="176">
        <f>H65-D65</f>
        <v>72216</v>
      </c>
      <c r="M65" s="177">
        <f t="shared" ref="M65:M77" si="30">H65/H$9</f>
        <v>4.2937842347601757E-2</v>
      </c>
    </row>
    <row r="66" spans="2:13" x14ac:dyDescent="0.25">
      <c r="B66" s="157" t="s">
        <v>97</v>
      </c>
      <c r="C66" s="158">
        <v>28965</v>
      </c>
      <c r="D66" s="158">
        <v>33892</v>
      </c>
      <c r="E66" s="158">
        <v>16922</v>
      </c>
      <c r="F66" s="158">
        <v>29432</v>
      </c>
      <c r="G66" s="158">
        <v>39183</v>
      </c>
      <c r="H66" s="158">
        <v>48762</v>
      </c>
      <c r="I66" s="160">
        <f>IFERROR(H66/G66-1,"-")</f>
        <v>0.24446826429829271</v>
      </c>
      <c r="J66" s="159">
        <f t="shared" ref="J66:J77" si="31">IFERROR(H66/D66-1,"-")</f>
        <v>0.43874660686887768</v>
      </c>
      <c r="K66" s="158">
        <f t="shared" ref="K66:K76" si="32">H66-G66</f>
        <v>9579</v>
      </c>
      <c r="L66" s="158">
        <f t="shared" ref="L66:L77" si="33">H66-D66</f>
        <v>14870</v>
      </c>
      <c r="M66" s="159">
        <f t="shared" si="30"/>
        <v>1.1905895520529503E-2</v>
      </c>
    </row>
    <row r="67" spans="2:13" x14ac:dyDescent="0.25">
      <c r="B67" s="162" t="s">
        <v>103</v>
      </c>
      <c r="C67" s="163">
        <v>16604</v>
      </c>
      <c r="D67" s="163">
        <v>18634</v>
      </c>
      <c r="E67" s="163">
        <v>6072</v>
      </c>
      <c r="F67" s="163">
        <v>22757</v>
      </c>
      <c r="G67" s="163">
        <v>28471</v>
      </c>
      <c r="H67" s="163">
        <v>30835</v>
      </c>
      <c r="I67" s="165">
        <f>IFERROR(H67/G67-1,"-")</f>
        <v>8.303185697727522E-2</v>
      </c>
      <c r="J67" s="164">
        <f t="shared" si="31"/>
        <v>0.65477084898572513</v>
      </c>
      <c r="K67" s="163">
        <f t="shared" si="32"/>
        <v>2364</v>
      </c>
      <c r="L67" s="163">
        <f t="shared" si="33"/>
        <v>12201</v>
      </c>
      <c r="M67" s="164">
        <f t="shared" si="30"/>
        <v>7.5287783186810883E-3</v>
      </c>
    </row>
    <row r="68" spans="2:13" x14ac:dyDescent="0.25">
      <c r="B68" s="162" t="s">
        <v>100</v>
      </c>
      <c r="C68" s="163">
        <v>12361</v>
      </c>
      <c r="D68" s="163">
        <v>15258</v>
      </c>
      <c r="E68" s="163">
        <v>10850</v>
      </c>
      <c r="F68" s="163">
        <v>6675</v>
      </c>
      <c r="G68" s="163">
        <v>10712</v>
      </c>
      <c r="H68" s="163">
        <v>17927</v>
      </c>
      <c r="I68" s="165">
        <f>IFERROR(H68/G68-1,"-")</f>
        <v>0.67354368932038833</v>
      </c>
      <c r="J68" s="164">
        <f t="shared" si="31"/>
        <v>0.17492462970245115</v>
      </c>
      <c r="K68" s="163">
        <f t="shared" si="32"/>
        <v>7215</v>
      </c>
      <c r="L68" s="163">
        <f t="shared" si="33"/>
        <v>2669</v>
      </c>
      <c r="M68" s="164">
        <f t="shared" si="30"/>
        <v>4.3771172018484145E-3</v>
      </c>
    </row>
    <row r="69" spans="2:13" x14ac:dyDescent="0.25">
      <c r="B69" s="157" t="s">
        <v>107</v>
      </c>
      <c r="C69" s="158">
        <v>75035</v>
      </c>
      <c r="D69" s="158">
        <v>69749</v>
      </c>
      <c r="E69" s="158">
        <v>20022</v>
      </c>
      <c r="F69" s="158">
        <v>88128</v>
      </c>
      <c r="G69" s="158">
        <v>98412</v>
      </c>
      <c r="H69" s="158">
        <v>127095</v>
      </c>
      <c r="I69" s="160">
        <f>IFERROR(H69/G69-1,"-")</f>
        <v>0.29145835873673942</v>
      </c>
      <c r="J69" s="159">
        <f t="shared" si="31"/>
        <v>0.82217666203099693</v>
      </c>
      <c r="K69" s="158">
        <f t="shared" si="32"/>
        <v>28683</v>
      </c>
      <c r="L69" s="158">
        <f t="shared" si="33"/>
        <v>57346</v>
      </c>
      <c r="M69" s="159">
        <f t="shared" si="30"/>
        <v>3.1031946827072252E-2</v>
      </c>
    </row>
    <row r="70" spans="2:13" x14ac:dyDescent="0.25">
      <c r="B70" s="162" t="s">
        <v>110</v>
      </c>
      <c r="C70" s="163">
        <v>34417</v>
      </c>
      <c r="D70" s="163">
        <v>30586</v>
      </c>
      <c r="E70" s="163">
        <v>7595</v>
      </c>
      <c r="F70" s="163">
        <v>41445</v>
      </c>
      <c r="G70" s="163">
        <v>37332</v>
      </c>
      <c r="H70" s="163">
        <v>55893</v>
      </c>
      <c r="I70" s="165">
        <f t="shared" ref="I70:I77" si="34">IFERROR(H70/G70-1,"-")</f>
        <v>0.49718739954998403</v>
      </c>
      <c r="J70" s="164">
        <f t="shared" si="31"/>
        <v>0.82740469495847768</v>
      </c>
      <c r="K70" s="163">
        <f t="shared" si="32"/>
        <v>18561</v>
      </c>
      <c r="L70" s="163">
        <f t="shared" si="33"/>
        <v>25307</v>
      </c>
      <c r="M70" s="164">
        <f t="shared" si="30"/>
        <v>1.3647024698104169E-2</v>
      </c>
    </row>
    <row r="71" spans="2:13" x14ac:dyDescent="0.25">
      <c r="B71" s="162" t="s">
        <v>113</v>
      </c>
      <c r="C71" s="163">
        <v>9645</v>
      </c>
      <c r="D71" s="163">
        <v>8263</v>
      </c>
      <c r="E71" s="163">
        <v>2405</v>
      </c>
      <c r="F71" s="163">
        <v>6009</v>
      </c>
      <c r="G71" s="163">
        <v>7116</v>
      </c>
      <c r="H71" s="163">
        <v>7077</v>
      </c>
      <c r="I71" s="165">
        <f t="shared" si="34"/>
        <v>-5.4806070826306508E-3</v>
      </c>
      <c r="J71" s="164">
        <f t="shared" si="31"/>
        <v>-0.14353140505869544</v>
      </c>
      <c r="K71" s="163">
        <f t="shared" si="32"/>
        <v>-39</v>
      </c>
      <c r="L71" s="163">
        <f t="shared" si="33"/>
        <v>-1186</v>
      </c>
      <c r="M71" s="164">
        <f t="shared" si="30"/>
        <v>1.7279443541853756E-3</v>
      </c>
    </row>
    <row r="72" spans="2:13" x14ac:dyDescent="0.25">
      <c r="B72" s="162" t="s">
        <v>116</v>
      </c>
      <c r="C72" s="163">
        <v>4938</v>
      </c>
      <c r="D72" s="163">
        <v>7845</v>
      </c>
      <c r="E72" s="163">
        <v>2628</v>
      </c>
      <c r="F72" s="163">
        <v>11317</v>
      </c>
      <c r="G72" s="163">
        <v>10860</v>
      </c>
      <c r="H72" s="163">
        <v>13883</v>
      </c>
      <c r="I72" s="165">
        <f t="shared" si="34"/>
        <v>0.2783609576427255</v>
      </c>
      <c r="J72" s="164">
        <f t="shared" si="31"/>
        <v>0.76966220522625872</v>
      </c>
      <c r="K72" s="163">
        <f t="shared" si="32"/>
        <v>3023</v>
      </c>
      <c r="L72" s="163">
        <f t="shared" si="33"/>
        <v>6038</v>
      </c>
      <c r="M72" s="164">
        <f t="shared" si="30"/>
        <v>3.3897204280281998E-3</v>
      </c>
    </row>
    <row r="73" spans="2:13" x14ac:dyDescent="0.25">
      <c r="B73" s="162" t="s">
        <v>123</v>
      </c>
      <c r="C73" s="163">
        <v>1596</v>
      </c>
      <c r="D73" s="163">
        <v>1320</v>
      </c>
      <c r="E73" s="163">
        <v>266</v>
      </c>
      <c r="F73" s="163">
        <v>2222</v>
      </c>
      <c r="G73" s="163">
        <v>2870</v>
      </c>
      <c r="H73" s="163">
        <v>4717</v>
      </c>
      <c r="I73" s="165">
        <f t="shared" si="34"/>
        <v>0.64355400696864118</v>
      </c>
      <c r="J73" s="164">
        <f t="shared" si="31"/>
        <v>2.5734848484848483</v>
      </c>
      <c r="K73" s="163">
        <f t="shared" si="32"/>
        <v>1847</v>
      </c>
      <c r="L73" s="163">
        <f t="shared" si="33"/>
        <v>3397</v>
      </c>
      <c r="M73" s="164">
        <f t="shared" si="30"/>
        <v>1.1517187393941524E-3</v>
      </c>
    </row>
    <row r="74" spans="2:13" x14ac:dyDescent="0.25">
      <c r="B74" s="162" t="s">
        <v>119</v>
      </c>
      <c r="C74" s="163">
        <v>2059</v>
      </c>
      <c r="D74" s="163">
        <v>1603</v>
      </c>
      <c r="E74" s="163">
        <v>761</v>
      </c>
      <c r="F74" s="163">
        <v>2436</v>
      </c>
      <c r="G74" s="163">
        <v>2203</v>
      </c>
      <c r="H74" s="163">
        <v>3141</v>
      </c>
      <c r="I74" s="165">
        <f t="shared" si="34"/>
        <v>0.42578302315024974</v>
      </c>
      <c r="J74" s="164">
        <f t="shared" si="31"/>
        <v>0.95945102932002491</v>
      </c>
      <c r="K74" s="163">
        <f t="shared" si="32"/>
        <v>938</v>
      </c>
      <c r="L74" s="163">
        <f t="shared" si="33"/>
        <v>1538</v>
      </c>
      <c r="M74" s="164">
        <f t="shared" si="30"/>
        <v>7.6691722714374239E-4</v>
      </c>
    </row>
    <row r="75" spans="2:13" x14ac:dyDescent="0.25">
      <c r="B75" s="162" t="s">
        <v>128</v>
      </c>
      <c r="C75" s="163">
        <v>915</v>
      </c>
      <c r="D75" s="163">
        <v>1201</v>
      </c>
      <c r="E75" s="163">
        <v>664</v>
      </c>
      <c r="F75" s="163">
        <v>1064</v>
      </c>
      <c r="G75" s="163">
        <v>3236</v>
      </c>
      <c r="H75" s="163">
        <v>2249</v>
      </c>
      <c r="I75" s="165">
        <f t="shared" si="34"/>
        <v>-0.30500618046971573</v>
      </c>
      <c r="J75" s="164">
        <f t="shared" si="31"/>
        <v>0.87260616153205661</v>
      </c>
      <c r="K75" s="163">
        <f t="shared" si="32"/>
        <v>-987</v>
      </c>
      <c r="L75" s="163">
        <f t="shared" si="33"/>
        <v>1048</v>
      </c>
      <c r="M75" s="164">
        <f t="shared" si="30"/>
        <v>5.491234778243479E-4</v>
      </c>
    </row>
    <row r="76" spans="2:13" x14ac:dyDescent="0.25">
      <c r="B76" s="162" t="s">
        <v>131</v>
      </c>
      <c r="C76" s="163">
        <v>1846</v>
      </c>
      <c r="D76" s="163">
        <v>1346</v>
      </c>
      <c r="E76" s="163">
        <v>797</v>
      </c>
      <c r="F76" s="163">
        <v>444</v>
      </c>
      <c r="G76" s="163">
        <v>975</v>
      </c>
      <c r="H76" s="163">
        <v>1688</v>
      </c>
      <c r="I76" s="165">
        <f t="shared" si="34"/>
        <v>0.73128205128205126</v>
      </c>
      <c r="J76" s="164">
        <f t="shared" si="31"/>
        <v>0.25408618127786031</v>
      </c>
      <c r="K76" s="163">
        <f t="shared" si="32"/>
        <v>713</v>
      </c>
      <c r="L76" s="163">
        <f t="shared" si="33"/>
        <v>342</v>
      </c>
      <c r="M76" s="164">
        <f t="shared" si="30"/>
        <v>4.121478126133834E-4</v>
      </c>
    </row>
    <row r="77" spans="2:13" x14ac:dyDescent="0.25">
      <c r="B77" s="168" t="s">
        <v>145</v>
      </c>
      <c r="C77" s="169">
        <f t="shared" ref="C77:H77" si="35">C69-SUM(C70:C76)</f>
        <v>19619</v>
      </c>
      <c r="D77" s="169">
        <f t="shared" si="35"/>
        <v>17585</v>
      </c>
      <c r="E77" s="169">
        <f t="shared" si="35"/>
        <v>4906</v>
      </c>
      <c r="F77" s="169">
        <f t="shared" si="35"/>
        <v>23191</v>
      </c>
      <c r="G77" s="169">
        <f t="shared" si="35"/>
        <v>33820</v>
      </c>
      <c r="H77" s="169">
        <f t="shared" si="35"/>
        <v>38447</v>
      </c>
      <c r="I77" s="171">
        <f t="shared" si="34"/>
        <v>0.13681253696037854</v>
      </c>
      <c r="J77" s="170">
        <f t="shared" si="31"/>
        <v>1.1863520045493319</v>
      </c>
      <c r="K77" s="169">
        <f>H77-G77</f>
        <v>4627</v>
      </c>
      <c r="L77" s="169">
        <f t="shared" si="33"/>
        <v>20862</v>
      </c>
      <c r="M77" s="170">
        <f t="shared" si="30"/>
        <v>9.3873500897788814E-3</v>
      </c>
    </row>
    <row r="78" spans="2:13" x14ac:dyDescent="0.25">
      <c r="B78" s="153" t="s">
        <v>48</v>
      </c>
      <c r="C78" s="151"/>
      <c r="D78" s="151"/>
      <c r="E78" s="151"/>
      <c r="F78" s="151"/>
      <c r="G78" s="151"/>
      <c r="H78" s="152"/>
      <c r="I78" s="152"/>
      <c r="J78" s="152"/>
      <c r="K78" s="152"/>
      <c r="L78" s="151"/>
      <c r="M78" s="151"/>
    </row>
    <row r="79" spans="2:13" x14ac:dyDescent="0.25">
      <c r="B79" s="154" t="s">
        <v>68</v>
      </c>
      <c r="C79" s="176">
        <v>625313</v>
      </c>
      <c r="D79" s="176">
        <v>596001</v>
      </c>
      <c r="E79" s="176">
        <v>181508</v>
      </c>
      <c r="F79" s="176">
        <v>523202</v>
      </c>
      <c r="G79" s="176">
        <v>598329</v>
      </c>
      <c r="H79" s="176">
        <v>691297</v>
      </c>
      <c r="I79" s="177">
        <f>IFERROR(H79/G79-1,"-")</f>
        <v>0.15537939829090686</v>
      </c>
      <c r="J79" s="177">
        <f>IFERROR(H79/D79-1,"-")</f>
        <v>0.15989234917391082</v>
      </c>
      <c r="K79" s="176">
        <f>H79-G79</f>
        <v>92968</v>
      </c>
      <c r="L79" s="176">
        <f>H79-D79</f>
        <v>95296</v>
      </c>
      <c r="M79" s="177">
        <f t="shared" ref="M79:M91" si="36">H79/H$9</f>
        <v>0.16878942323234247</v>
      </c>
    </row>
    <row r="80" spans="2:13" x14ac:dyDescent="0.25">
      <c r="B80" s="157" t="s">
        <v>97</v>
      </c>
      <c r="C80" s="158">
        <v>289256</v>
      </c>
      <c r="D80" s="158">
        <v>280056</v>
      </c>
      <c r="E80" s="158">
        <v>75068</v>
      </c>
      <c r="F80" s="158">
        <v>267342</v>
      </c>
      <c r="G80" s="158">
        <v>277292</v>
      </c>
      <c r="H80" s="158">
        <v>305825</v>
      </c>
      <c r="I80" s="160">
        <f>IFERROR(H80/G80-1,"-")</f>
        <v>0.10289874933283327</v>
      </c>
      <c r="J80" s="159">
        <f t="shared" ref="J80:J91" si="37">IFERROR(H80/D80-1,"-")</f>
        <v>9.2013740109121001E-2</v>
      </c>
      <c r="K80" s="158">
        <f t="shared" ref="K80:K90" si="38">H80-G80</f>
        <v>28533</v>
      </c>
      <c r="L80" s="158">
        <f t="shared" ref="L80:L91" si="39">H80-D80</f>
        <v>25769</v>
      </c>
      <c r="M80" s="159">
        <f t="shared" si="36"/>
        <v>7.4671270611663496E-2</v>
      </c>
    </row>
    <row r="81" spans="2:13" x14ac:dyDescent="0.25">
      <c r="B81" s="162" t="s">
        <v>103</v>
      </c>
      <c r="C81" s="163">
        <v>72921</v>
      </c>
      <c r="D81" s="163">
        <v>56186</v>
      </c>
      <c r="E81" s="163">
        <v>16241</v>
      </c>
      <c r="F81" s="163">
        <v>76215</v>
      </c>
      <c r="G81" s="163">
        <v>76079</v>
      </c>
      <c r="H81" s="163">
        <v>86382</v>
      </c>
      <c r="I81" s="165">
        <f>IFERROR(H81/G81-1,"-")</f>
        <v>0.13542501873053014</v>
      </c>
      <c r="J81" s="164">
        <f t="shared" si="37"/>
        <v>0.5374292528387854</v>
      </c>
      <c r="K81" s="163">
        <f t="shared" si="38"/>
        <v>10303</v>
      </c>
      <c r="L81" s="163">
        <f t="shared" si="39"/>
        <v>30196</v>
      </c>
      <c r="M81" s="164">
        <f t="shared" si="36"/>
        <v>2.1091322481735356E-2</v>
      </c>
    </row>
    <row r="82" spans="2:13" x14ac:dyDescent="0.25">
      <c r="B82" s="162" t="s">
        <v>100</v>
      </c>
      <c r="C82" s="163">
        <v>216335</v>
      </c>
      <c r="D82" s="163">
        <v>223870</v>
      </c>
      <c r="E82" s="163">
        <v>58827</v>
      </c>
      <c r="F82" s="163">
        <v>191127</v>
      </c>
      <c r="G82" s="163">
        <v>201213</v>
      </c>
      <c r="H82" s="163">
        <v>219443</v>
      </c>
      <c r="I82" s="165">
        <f>IFERROR(H82/G82-1,"-")</f>
        <v>9.0600507919468498E-2</v>
      </c>
      <c r="J82" s="164">
        <f t="shared" si="37"/>
        <v>-1.977486934381556E-2</v>
      </c>
      <c r="K82" s="163">
        <f t="shared" si="38"/>
        <v>18230</v>
      </c>
      <c r="L82" s="163">
        <f t="shared" si="39"/>
        <v>-4427</v>
      </c>
      <c r="M82" s="164">
        <f t="shared" si="36"/>
        <v>5.3579948129928133E-2</v>
      </c>
    </row>
    <row r="83" spans="2:13" x14ac:dyDescent="0.25">
      <c r="B83" s="157" t="s">
        <v>107</v>
      </c>
      <c r="C83" s="158">
        <v>336057</v>
      </c>
      <c r="D83" s="158">
        <v>315945</v>
      </c>
      <c r="E83" s="158">
        <v>106440</v>
      </c>
      <c r="F83" s="158">
        <v>255860</v>
      </c>
      <c r="G83" s="158">
        <v>321037</v>
      </c>
      <c r="H83" s="158">
        <v>385472</v>
      </c>
      <c r="I83" s="160">
        <f>IFERROR(H83/G83-1,"-")</f>
        <v>0.20070895255064047</v>
      </c>
      <c r="J83" s="159">
        <f t="shared" si="37"/>
        <v>0.22006045355995507</v>
      </c>
      <c r="K83" s="158">
        <f t="shared" si="38"/>
        <v>64435</v>
      </c>
      <c r="L83" s="158">
        <f t="shared" si="39"/>
        <v>69527</v>
      </c>
      <c r="M83" s="159">
        <f t="shared" si="36"/>
        <v>9.4118152620678977E-2</v>
      </c>
    </row>
    <row r="84" spans="2:13" x14ac:dyDescent="0.25">
      <c r="B84" s="162" t="s">
        <v>110</v>
      </c>
      <c r="C84" s="163">
        <v>49262</v>
      </c>
      <c r="D84" s="163">
        <v>55343</v>
      </c>
      <c r="E84" s="163">
        <v>18163</v>
      </c>
      <c r="F84" s="163">
        <v>51212</v>
      </c>
      <c r="G84" s="163">
        <v>67248</v>
      </c>
      <c r="H84" s="163">
        <v>81901</v>
      </c>
      <c r="I84" s="165">
        <f t="shared" ref="I84:I91" si="40">IFERROR(H84/G84-1,"-")</f>
        <v>0.21789495598382103</v>
      </c>
      <c r="J84" s="164">
        <f t="shared" si="37"/>
        <v>0.47988002096019367</v>
      </c>
      <c r="K84" s="163">
        <f t="shared" si="38"/>
        <v>14653</v>
      </c>
      <c r="L84" s="163">
        <f t="shared" si="39"/>
        <v>26558</v>
      </c>
      <c r="M84" s="164">
        <f t="shared" si="36"/>
        <v>1.9997226303820326E-2</v>
      </c>
    </row>
    <row r="85" spans="2:13" x14ac:dyDescent="0.25">
      <c r="B85" s="162" t="s">
        <v>113</v>
      </c>
      <c r="C85" s="163">
        <v>143033</v>
      </c>
      <c r="D85" s="163">
        <v>117630</v>
      </c>
      <c r="E85" s="163">
        <v>35353</v>
      </c>
      <c r="F85" s="163">
        <v>77150</v>
      </c>
      <c r="G85" s="163">
        <v>88481</v>
      </c>
      <c r="H85" s="163">
        <v>98955</v>
      </c>
      <c r="I85" s="165">
        <f t="shared" si="40"/>
        <v>0.1183756964772098</v>
      </c>
      <c r="J85" s="164">
        <f t="shared" si="37"/>
        <v>-0.15876052027543996</v>
      </c>
      <c r="K85" s="163">
        <f t="shared" si="38"/>
        <v>10474</v>
      </c>
      <c r="L85" s="163">
        <f t="shared" si="39"/>
        <v>-18675</v>
      </c>
      <c r="M85" s="164">
        <f t="shared" si="36"/>
        <v>2.4161188860875208E-2</v>
      </c>
    </row>
    <row r="86" spans="2:13" x14ac:dyDescent="0.25">
      <c r="B86" s="162" t="s">
        <v>116</v>
      </c>
      <c r="C86" s="163">
        <v>18151</v>
      </c>
      <c r="D86" s="163">
        <v>18918</v>
      </c>
      <c r="E86" s="163">
        <v>6685</v>
      </c>
      <c r="F86" s="163">
        <v>22539</v>
      </c>
      <c r="G86" s="163">
        <v>30609</v>
      </c>
      <c r="H86" s="163">
        <v>44207</v>
      </c>
      <c r="I86" s="165">
        <f t="shared" si="40"/>
        <v>0.44424842366624206</v>
      </c>
      <c r="J86" s="164">
        <f t="shared" si="37"/>
        <v>1.3367692145047045</v>
      </c>
      <c r="K86" s="163">
        <f t="shared" si="38"/>
        <v>13598</v>
      </c>
      <c r="L86" s="163">
        <f t="shared" si="39"/>
        <v>25289</v>
      </c>
      <c r="M86" s="164">
        <f t="shared" si="36"/>
        <v>1.0793731251303222E-2</v>
      </c>
    </row>
    <row r="87" spans="2:13" x14ac:dyDescent="0.25">
      <c r="B87" s="162" t="s">
        <v>123</v>
      </c>
      <c r="C87" s="163">
        <v>9497</v>
      </c>
      <c r="D87" s="163">
        <v>7403</v>
      </c>
      <c r="E87" s="163">
        <v>1721</v>
      </c>
      <c r="F87" s="163">
        <v>7869</v>
      </c>
      <c r="G87" s="163">
        <v>8834</v>
      </c>
      <c r="H87" s="163">
        <v>13464</v>
      </c>
      <c r="I87" s="165">
        <f t="shared" si="40"/>
        <v>0.52411138781978717</v>
      </c>
      <c r="J87" s="164">
        <f t="shared" si="37"/>
        <v>0.81872213967310548</v>
      </c>
      <c r="K87" s="163">
        <f t="shared" si="38"/>
        <v>4630</v>
      </c>
      <c r="L87" s="163">
        <f t="shared" si="39"/>
        <v>6061</v>
      </c>
      <c r="M87" s="164">
        <f t="shared" si="36"/>
        <v>3.287415965063148E-3</v>
      </c>
    </row>
    <row r="88" spans="2:13" x14ac:dyDescent="0.25">
      <c r="B88" s="162" t="s">
        <v>119</v>
      </c>
      <c r="C88" s="163">
        <v>5243</v>
      </c>
      <c r="D88" s="163">
        <v>4963</v>
      </c>
      <c r="E88" s="163">
        <v>1773</v>
      </c>
      <c r="F88" s="163">
        <v>4255</v>
      </c>
      <c r="G88" s="163">
        <v>5067</v>
      </c>
      <c r="H88" s="163">
        <v>6472</v>
      </c>
      <c r="I88" s="165">
        <f t="shared" si="40"/>
        <v>0.27728438918492215</v>
      </c>
      <c r="J88" s="164">
        <f t="shared" si="37"/>
        <v>0.30404996977634502</v>
      </c>
      <c r="K88" s="163">
        <f t="shared" si="38"/>
        <v>1405</v>
      </c>
      <c r="L88" s="163">
        <f t="shared" si="39"/>
        <v>1509</v>
      </c>
      <c r="M88" s="164">
        <f t="shared" si="36"/>
        <v>1.5802254995461002E-3</v>
      </c>
    </row>
    <row r="89" spans="2:13" x14ac:dyDescent="0.25">
      <c r="B89" s="162" t="s">
        <v>128</v>
      </c>
      <c r="C89" s="163">
        <v>4479</v>
      </c>
      <c r="D89" s="163">
        <v>5538</v>
      </c>
      <c r="E89" s="163">
        <v>3024</v>
      </c>
      <c r="F89" s="163">
        <v>4253</v>
      </c>
      <c r="G89" s="163">
        <v>5646</v>
      </c>
      <c r="H89" s="163">
        <v>4857</v>
      </c>
      <c r="I89" s="165">
        <f t="shared" si="40"/>
        <v>-0.13974495217853344</v>
      </c>
      <c r="J89" s="164">
        <f t="shared" si="37"/>
        <v>-0.12296858071505956</v>
      </c>
      <c r="K89" s="163">
        <f t="shared" si="38"/>
        <v>-789</v>
      </c>
      <c r="L89" s="163">
        <f t="shared" si="39"/>
        <v>-681</v>
      </c>
      <c r="M89" s="164">
        <f t="shared" si="36"/>
        <v>1.1859016148478691E-3</v>
      </c>
    </row>
    <row r="90" spans="2:13" x14ac:dyDescent="0.25">
      <c r="B90" s="162" t="s">
        <v>131</v>
      </c>
      <c r="C90" s="163">
        <v>8439</v>
      </c>
      <c r="D90" s="163">
        <v>7347</v>
      </c>
      <c r="E90" s="163">
        <v>4683</v>
      </c>
      <c r="F90" s="163">
        <v>3642</v>
      </c>
      <c r="G90" s="163">
        <v>5970</v>
      </c>
      <c r="H90" s="163">
        <v>6239</v>
      </c>
      <c r="I90" s="165">
        <f t="shared" si="40"/>
        <v>4.5058626465661611E-2</v>
      </c>
      <c r="J90" s="164">
        <f t="shared" si="37"/>
        <v>-0.15080985436232475</v>
      </c>
      <c r="K90" s="163">
        <f t="shared" si="38"/>
        <v>269</v>
      </c>
      <c r="L90" s="163">
        <f t="shared" si="39"/>
        <v>-1108</v>
      </c>
      <c r="M90" s="164">
        <f t="shared" si="36"/>
        <v>1.5233354282552717E-3</v>
      </c>
    </row>
    <row r="91" spans="2:13" x14ac:dyDescent="0.25">
      <c r="B91" s="168" t="s">
        <v>145</v>
      </c>
      <c r="C91" s="169">
        <f t="shared" ref="C91:H91" si="41">C83-SUM(C84:C90)</f>
        <v>97953</v>
      </c>
      <c r="D91" s="169">
        <f t="shared" si="41"/>
        <v>98803</v>
      </c>
      <c r="E91" s="169">
        <f t="shared" si="41"/>
        <v>35038</v>
      </c>
      <c r="F91" s="169">
        <f t="shared" si="41"/>
        <v>84940</v>
      </c>
      <c r="G91" s="169">
        <f t="shared" si="41"/>
        <v>109182</v>
      </c>
      <c r="H91" s="169">
        <f t="shared" si="41"/>
        <v>129377</v>
      </c>
      <c r="I91" s="171">
        <f t="shared" si="40"/>
        <v>0.18496638640068874</v>
      </c>
      <c r="J91" s="170">
        <f t="shared" si="37"/>
        <v>0.30944404522129898</v>
      </c>
      <c r="K91" s="169">
        <f>H91-G91</f>
        <v>20195</v>
      </c>
      <c r="L91" s="169">
        <f t="shared" si="39"/>
        <v>30574</v>
      </c>
      <c r="M91" s="170">
        <f t="shared" si="36"/>
        <v>3.1589127696967832E-2</v>
      </c>
    </row>
    <row r="92" spans="2:13" x14ac:dyDescent="0.25">
      <c r="B92" s="153" t="s">
        <v>49</v>
      </c>
      <c r="C92" s="151"/>
      <c r="D92" s="151"/>
      <c r="E92" s="151"/>
      <c r="F92" s="151"/>
      <c r="G92" s="151"/>
      <c r="H92" s="152"/>
      <c r="I92" s="152"/>
      <c r="J92" s="152"/>
      <c r="K92" s="152"/>
      <c r="L92" s="151"/>
      <c r="M92" s="151"/>
    </row>
    <row r="93" spans="2:13" x14ac:dyDescent="0.25">
      <c r="B93" s="154" t="s">
        <v>68</v>
      </c>
      <c r="C93" s="176">
        <v>38635</v>
      </c>
      <c r="D93" s="176">
        <v>39423</v>
      </c>
      <c r="E93" s="176">
        <v>17295</v>
      </c>
      <c r="F93" s="176">
        <v>37456</v>
      </c>
      <c r="G93" s="176">
        <v>44189</v>
      </c>
      <c r="H93" s="176">
        <v>41777</v>
      </c>
      <c r="I93" s="177">
        <f>IFERROR(H93/G93-1,"-")</f>
        <v>-5.4583719930299424E-2</v>
      </c>
      <c r="J93" s="177">
        <f>IFERROR(H93/D93-1,"-")</f>
        <v>5.9711336022119088E-2</v>
      </c>
      <c r="K93" s="176">
        <f>H93-G93</f>
        <v>-2412</v>
      </c>
      <c r="L93" s="176">
        <f>H93-D93</f>
        <v>2354</v>
      </c>
      <c r="M93" s="177">
        <f t="shared" ref="M93:M105" si="42">H93/H$9</f>
        <v>1.0200414198785141E-2</v>
      </c>
    </row>
    <row r="94" spans="2:13" x14ac:dyDescent="0.25">
      <c r="B94" s="157" t="s">
        <v>97</v>
      </c>
      <c r="C94" s="158">
        <v>24706</v>
      </c>
      <c r="D94" s="158">
        <v>26258</v>
      </c>
      <c r="E94" s="158">
        <v>11031</v>
      </c>
      <c r="F94" s="158">
        <v>24786</v>
      </c>
      <c r="G94" s="158">
        <v>29860</v>
      </c>
      <c r="H94" s="158">
        <v>26153</v>
      </c>
      <c r="I94" s="160">
        <f>IFERROR(H94/G94-1,"-")</f>
        <v>-0.12414601473543196</v>
      </c>
      <c r="J94" s="159">
        <f t="shared" ref="J94:J105" si="43">IFERROR(H94/D94-1,"-")</f>
        <v>-3.9987813237870595E-3</v>
      </c>
      <c r="K94" s="158">
        <f t="shared" ref="K94:K104" si="44">H94-G94</f>
        <v>-3707</v>
      </c>
      <c r="L94" s="158">
        <f t="shared" ref="L94:L105" si="45">H94-D94</f>
        <v>-105</v>
      </c>
      <c r="M94" s="159">
        <f t="shared" si="42"/>
        <v>6.3856052981503646E-3</v>
      </c>
    </row>
    <row r="95" spans="2:13" x14ac:dyDescent="0.25">
      <c r="B95" s="162" t="s">
        <v>103</v>
      </c>
      <c r="C95" s="163">
        <v>12054</v>
      </c>
      <c r="D95" s="163">
        <v>12910</v>
      </c>
      <c r="E95" s="163">
        <v>5930</v>
      </c>
      <c r="F95" s="163">
        <v>11891</v>
      </c>
      <c r="G95" s="163">
        <v>9535</v>
      </c>
      <c r="H95" s="163">
        <v>8202</v>
      </c>
      <c r="I95" s="165">
        <f>IFERROR(H95/G95-1,"-")</f>
        <v>-0.13980073413738858</v>
      </c>
      <c r="J95" s="164">
        <f t="shared" si="43"/>
        <v>-0.36467854376452358</v>
      </c>
      <c r="K95" s="163">
        <f t="shared" si="44"/>
        <v>-1333</v>
      </c>
      <c r="L95" s="163">
        <f t="shared" si="45"/>
        <v>-4708</v>
      </c>
      <c r="M95" s="164">
        <f t="shared" si="42"/>
        <v>2.0026281747955988E-3</v>
      </c>
    </row>
    <row r="96" spans="2:13" x14ac:dyDescent="0.25">
      <c r="B96" s="162" t="s">
        <v>100</v>
      </c>
      <c r="C96" s="163">
        <v>12652</v>
      </c>
      <c r="D96" s="163">
        <v>13348</v>
      </c>
      <c r="E96" s="163">
        <v>5101</v>
      </c>
      <c r="F96" s="163">
        <v>12895</v>
      </c>
      <c r="G96" s="163">
        <v>20325</v>
      </c>
      <c r="H96" s="163">
        <v>17951</v>
      </c>
      <c r="I96" s="165">
        <f>IFERROR(H96/G96-1,"-")</f>
        <v>-0.11680196801968024</v>
      </c>
      <c r="J96" s="164">
        <f t="shared" si="43"/>
        <v>0.34484566976326048</v>
      </c>
      <c r="K96" s="163">
        <f t="shared" si="44"/>
        <v>-2374</v>
      </c>
      <c r="L96" s="163">
        <f t="shared" si="45"/>
        <v>4603</v>
      </c>
      <c r="M96" s="164">
        <f t="shared" si="42"/>
        <v>4.3829771233547662E-3</v>
      </c>
    </row>
    <row r="97" spans="2:13" x14ac:dyDescent="0.25">
      <c r="B97" s="157" t="s">
        <v>107</v>
      </c>
      <c r="C97" s="158">
        <v>13929</v>
      </c>
      <c r="D97" s="158">
        <v>13165</v>
      </c>
      <c r="E97" s="158">
        <v>6264</v>
      </c>
      <c r="F97" s="158">
        <v>12670</v>
      </c>
      <c r="G97" s="158">
        <v>14329</v>
      </c>
      <c r="H97" s="158">
        <v>15624</v>
      </c>
      <c r="I97" s="160">
        <f>IFERROR(H97/G97-1,"-")</f>
        <v>9.0376160234489467E-2</v>
      </c>
      <c r="J97" s="159">
        <f t="shared" si="43"/>
        <v>0.18678313710596273</v>
      </c>
      <c r="K97" s="158">
        <f t="shared" si="44"/>
        <v>1295</v>
      </c>
      <c r="L97" s="158">
        <f t="shared" si="45"/>
        <v>2459</v>
      </c>
      <c r="M97" s="159">
        <f t="shared" si="42"/>
        <v>3.8148089006347758E-3</v>
      </c>
    </row>
    <row r="98" spans="2:13" x14ac:dyDescent="0.25">
      <c r="B98" s="162" t="s">
        <v>110</v>
      </c>
      <c r="C98" s="163">
        <v>1655</v>
      </c>
      <c r="D98" s="163">
        <v>1768</v>
      </c>
      <c r="E98" s="163">
        <v>1042</v>
      </c>
      <c r="F98" s="163">
        <v>1661</v>
      </c>
      <c r="G98" s="163">
        <v>2018</v>
      </c>
      <c r="H98" s="163">
        <v>2246</v>
      </c>
      <c r="I98" s="165">
        <f t="shared" ref="I98:I105" si="46">IFERROR(H98/G98-1,"-")</f>
        <v>0.11298315163528239</v>
      </c>
      <c r="J98" s="164">
        <f t="shared" si="43"/>
        <v>0.27036199095022617</v>
      </c>
      <c r="K98" s="163">
        <f t="shared" si="44"/>
        <v>228</v>
      </c>
      <c r="L98" s="163">
        <f t="shared" si="45"/>
        <v>478</v>
      </c>
      <c r="M98" s="164">
        <f t="shared" si="42"/>
        <v>5.4839098763605394E-4</v>
      </c>
    </row>
    <row r="99" spans="2:13" x14ac:dyDescent="0.25">
      <c r="B99" s="162" t="s">
        <v>113</v>
      </c>
      <c r="C99" s="163">
        <v>3049</v>
      </c>
      <c r="D99" s="163">
        <v>2593</v>
      </c>
      <c r="E99" s="163">
        <v>1199</v>
      </c>
      <c r="F99" s="163">
        <v>2396</v>
      </c>
      <c r="G99" s="163">
        <v>2589</v>
      </c>
      <c r="H99" s="163">
        <v>3010</v>
      </c>
      <c r="I99" s="165">
        <f t="shared" si="46"/>
        <v>0.16261104673619164</v>
      </c>
      <c r="J99" s="164">
        <f t="shared" si="43"/>
        <v>0.16081758580794436</v>
      </c>
      <c r="K99" s="163">
        <f t="shared" si="44"/>
        <v>421</v>
      </c>
      <c r="L99" s="163">
        <f t="shared" si="45"/>
        <v>417</v>
      </c>
      <c r="M99" s="164">
        <f t="shared" si="42"/>
        <v>7.3493182225490758E-4</v>
      </c>
    </row>
    <row r="100" spans="2:13" x14ac:dyDescent="0.25">
      <c r="B100" s="162" t="s">
        <v>116</v>
      </c>
      <c r="C100" s="163">
        <v>3051</v>
      </c>
      <c r="D100" s="163">
        <v>2809</v>
      </c>
      <c r="E100" s="163">
        <v>1494</v>
      </c>
      <c r="F100" s="163">
        <v>2543</v>
      </c>
      <c r="G100" s="163">
        <v>2839</v>
      </c>
      <c r="H100" s="163">
        <v>2752</v>
      </c>
      <c r="I100" s="165">
        <f t="shared" si="46"/>
        <v>-3.0644593166607947E-2</v>
      </c>
      <c r="J100" s="164">
        <f t="shared" si="43"/>
        <v>-2.0291918832324618E-2</v>
      </c>
      <c r="K100" s="163">
        <f t="shared" si="44"/>
        <v>-87</v>
      </c>
      <c r="L100" s="163">
        <f t="shared" si="45"/>
        <v>-57</v>
      </c>
      <c r="M100" s="164">
        <f t="shared" si="42"/>
        <v>6.7193766606162973E-4</v>
      </c>
    </row>
    <row r="101" spans="2:13" x14ac:dyDescent="0.25">
      <c r="B101" s="162" t="s">
        <v>123</v>
      </c>
      <c r="C101" s="163">
        <v>392</v>
      </c>
      <c r="D101" s="163">
        <v>442</v>
      </c>
      <c r="E101" s="163">
        <v>280</v>
      </c>
      <c r="F101" s="163">
        <v>886</v>
      </c>
      <c r="G101" s="163">
        <v>646</v>
      </c>
      <c r="H101" s="163">
        <v>701</v>
      </c>
      <c r="I101" s="165">
        <f t="shared" si="46"/>
        <v>8.5139318885449011E-2</v>
      </c>
      <c r="J101" s="164">
        <f t="shared" si="43"/>
        <v>0.58597285067873295</v>
      </c>
      <c r="K101" s="163">
        <f t="shared" si="44"/>
        <v>55</v>
      </c>
      <c r="L101" s="163">
        <f t="shared" si="45"/>
        <v>259</v>
      </c>
      <c r="M101" s="164">
        <f t="shared" si="42"/>
        <v>1.7115854066468113E-4</v>
      </c>
    </row>
    <row r="102" spans="2:13" x14ac:dyDescent="0.25">
      <c r="B102" s="162" t="s">
        <v>119</v>
      </c>
      <c r="C102" s="163">
        <v>331</v>
      </c>
      <c r="D102" s="163">
        <v>373</v>
      </c>
      <c r="E102" s="163">
        <v>217</v>
      </c>
      <c r="F102" s="163">
        <v>523</v>
      </c>
      <c r="G102" s="163">
        <v>426</v>
      </c>
      <c r="H102" s="163">
        <v>639</v>
      </c>
      <c r="I102" s="165">
        <f t="shared" si="46"/>
        <v>0.5</v>
      </c>
      <c r="J102" s="164">
        <f t="shared" si="43"/>
        <v>0.71313672922252014</v>
      </c>
      <c r="K102" s="163">
        <f t="shared" si="44"/>
        <v>213</v>
      </c>
      <c r="L102" s="163">
        <f t="shared" si="45"/>
        <v>266</v>
      </c>
      <c r="M102" s="164">
        <f t="shared" si="42"/>
        <v>1.5602041010660662E-4</v>
      </c>
    </row>
    <row r="103" spans="2:13" x14ac:dyDescent="0.25">
      <c r="B103" s="162" t="s">
        <v>128</v>
      </c>
      <c r="C103" s="163">
        <v>98</v>
      </c>
      <c r="D103" s="163">
        <v>107</v>
      </c>
      <c r="E103" s="163">
        <v>114</v>
      </c>
      <c r="F103" s="163">
        <v>222</v>
      </c>
      <c r="G103" s="163">
        <v>106</v>
      </c>
      <c r="H103" s="163">
        <v>178</v>
      </c>
      <c r="I103" s="165">
        <f t="shared" si="46"/>
        <v>0.679245283018868</v>
      </c>
      <c r="J103" s="164">
        <f t="shared" si="43"/>
        <v>0.66355140186915884</v>
      </c>
      <c r="K103" s="163">
        <f t="shared" si="44"/>
        <v>72</v>
      </c>
      <c r="L103" s="163">
        <f t="shared" si="45"/>
        <v>71</v>
      </c>
      <c r="M103" s="164">
        <f t="shared" si="42"/>
        <v>4.3461084505439717E-5</v>
      </c>
    </row>
    <row r="104" spans="2:13" x14ac:dyDescent="0.25">
      <c r="B104" s="162" t="s">
        <v>131</v>
      </c>
      <c r="C104" s="163">
        <v>239</v>
      </c>
      <c r="D104" s="163">
        <v>146</v>
      </c>
      <c r="E104" s="163">
        <v>66</v>
      </c>
      <c r="F104" s="163">
        <v>114</v>
      </c>
      <c r="G104" s="163">
        <v>190</v>
      </c>
      <c r="H104" s="163">
        <v>282</v>
      </c>
      <c r="I104" s="165">
        <f t="shared" si="46"/>
        <v>0.48421052631578942</v>
      </c>
      <c r="J104" s="164">
        <f t="shared" si="43"/>
        <v>0.93150684931506844</v>
      </c>
      <c r="K104" s="163">
        <f t="shared" si="44"/>
        <v>92</v>
      </c>
      <c r="L104" s="163">
        <f t="shared" si="45"/>
        <v>136</v>
      </c>
      <c r="M104" s="164">
        <f t="shared" si="42"/>
        <v>6.8854077699629217E-5</v>
      </c>
    </row>
    <row r="105" spans="2:13" x14ac:dyDescent="0.25">
      <c r="B105" s="168" t="s">
        <v>145</v>
      </c>
      <c r="C105" s="169">
        <f t="shared" ref="C105:H105" si="47">C97-SUM(C98:C104)</f>
        <v>5114</v>
      </c>
      <c r="D105" s="169">
        <f t="shared" si="47"/>
        <v>4927</v>
      </c>
      <c r="E105" s="169">
        <f t="shared" si="47"/>
        <v>1852</v>
      </c>
      <c r="F105" s="169">
        <f t="shared" si="47"/>
        <v>4325</v>
      </c>
      <c r="G105" s="169">
        <f t="shared" si="47"/>
        <v>5515</v>
      </c>
      <c r="H105" s="169">
        <f t="shared" si="47"/>
        <v>5816</v>
      </c>
      <c r="I105" s="171">
        <f t="shared" si="46"/>
        <v>5.4578422484134137E-2</v>
      </c>
      <c r="J105" s="170">
        <f t="shared" si="43"/>
        <v>0.18043434138420955</v>
      </c>
      <c r="K105" s="169">
        <f>H105-G105</f>
        <v>301</v>
      </c>
      <c r="L105" s="169">
        <f t="shared" si="45"/>
        <v>889</v>
      </c>
      <c r="M105" s="170">
        <f t="shared" si="42"/>
        <v>1.4200543117058281E-3</v>
      </c>
    </row>
    <row r="106" spans="2:13" x14ac:dyDescent="0.25">
      <c r="B106" s="153" t="s">
        <v>50</v>
      </c>
      <c r="C106" s="151"/>
      <c r="D106" s="151"/>
      <c r="E106" s="151"/>
      <c r="F106" s="151"/>
      <c r="G106" s="151"/>
      <c r="H106" s="152"/>
      <c r="I106" s="152"/>
      <c r="J106" s="152"/>
      <c r="K106" s="152"/>
      <c r="L106" s="151"/>
      <c r="M106" s="151"/>
    </row>
    <row r="107" spans="2:13" x14ac:dyDescent="0.25">
      <c r="B107" s="154" t="s">
        <v>68</v>
      </c>
      <c r="C107" s="176">
        <v>108036</v>
      </c>
      <c r="D107" s="176">
        <v>107268</v>
      </c>
      <c r="E107" s="176">
        <v>59721</v>
      </c>
      <c r="F107" s="176">
        <v>146094</v>
      </c>
      <c r="G107" s="176">
        <v>187734</v>
      </c>
      <c r="H107" s="176">
        <v>181355</v>
      </c>
      <c r="I107" s="177">
        <f>IFERROR(H107/G107-1,"-")</f>
        <v>-3.3978927631649003E-2</v>
      </c>
      <c r="J107" s="177">
        <f>IFERROR(H107/D107-1,"-")</f>
        <v>0.69067196181526636</v>
      </c>
      <c r="K107" s="176">
        <f>H107-G107</f>
        <v>-6379</v>
      </c>
      <c r="L107" s="176">
        <f>H107-D107</f>
        <v>74087</v>
      </c>
      <c r="M107" s="177">
        <f t="shared" ref="M107:M119" si="48">H107/H$9</f>
        <v>4.4280252699348426E-2</v>
      </c>
    </row>
    <row r="108" spans="2:13" x14ac:dyDescent="0.25">
      <c r="B108" s="157" t="s">
        <v>97</v>
      </c>
      <c r="C108" s="158">
        <v>24497</v>
      </c>
      <c r="D108" s="158">
        <v>23748</v>
      </c>
      <c r="E108" s="158">
        <v>24373</v>
      </c>
      <c r="F108" s="158">
        <v>37846</v>
      </c>
      <c r="G108" s="158">
        <v>43389</v>
      </c>
      <c r="H108" s="158">
        <v>40492</v>
      </c>
      <c r="I108" s="160">
        <f>IFERROR(H108/G108-1,"-")</f>
        <v>-6.6768074857682769E-2</v>
      </c>
      <c r="J108" s="159">
        <f t="shared" ref="J108:J119" si="49">IFERROR(H108/D108-1,"-")</f>
        <v>0.7050699006232104</v>
      </c>
      <c r="K108" s="158">
        <f t="shared" ref="K108:K118" si="50">H108-G108</f>
        <v>-2897</v>
      </c>
      <c r="L108" s="158">
        <f t="shared" ref="L108:L119" si="51">H108-D108</f>
        <v>16744</v>
      </c>
      <c r="M108" s="159">
        <f t="shared" si="48"/>
        <v>9.8866642347992407E-3</v>
      </c>
    </row>
    <row r="109" spans="2:13" x14ac:dyDescent="0.25">
      <c r="B109" s="162" t="s">
        <v>103</v>
      </c>
      <c r="C109" s="163">
        <v>11332</v>
      </c>
      <c r="D109" s="163">
        <v>9234</v>
      </c>
      <c r="E109" s="163">
        <v>2058</v>
      </c>
      <c r="F109" s="163">
        <v>13592</v>
      </c>
      <c r="G109" s="163">
        <v>16768</v>
      </c>
      <c r="H109" s="163">
        <v>13342</v>
      </c>
      <c r="I109" s="165">
        <f>IFERROR(H109/G109-1,"-")</f>
        <v>-0.20431774809160308</v>
      </c>
      <c r="J109" s="164">
        <f t="shared" si="49"/>
        <v>0.44487762616417581</v>
      </c>
      <c r="K109" s="163">
        <f t="shared" si="50"/>
        <v>-3426</v>
      </c>
      <c r="L109" s="163">
        <f t="shared" si="51"/>
        <v>4108</v>
      </c>
      <c r="M109" s="164">
        <f t="shared" si="48"/>
        <v>3.2576280307391949E-3</v>
      </c>
    </row>
    <row r="110" spans="2:13" x14ac:dyDescent="0.25">
      <c r="B110" s="162" t="s">
        <v>100</v>
      </c>
      <c r="C110" s="163">
        <v>13165</v>
      </c>
      <c r="D110" s="163">
        <v>14514</v>
      </c>
      <c r="E110" s="163">
        <v>22315</v>
      </c>
      <c r="F110" s="163">
        <v>24254</v>
      </c>
      <c r="G110" s="163">
        <v>26621</v>
      </c>
      <c r="H110" s="163">
        <v>27150</v>
      </c>
      <c r="I110" s="165">
        <f>IFERROR(H110/G110-1,"-")</f>
        <v>1.9871529995116655E-2</v>
      </c>
      <c r="J110" s="164">
        <f t="shared" si="49"/>
        <v>0.87060768912773878</v>
      </c>
      <c r="K110" s="163">
        <f t="shared" si="50"/>
        <v>529</v>
      </c>
      <c r="L110" s="163">
        <f t="shared" si="51"/>
        <v>12636</v>
      </c>
      <c r="M110" s="164">
        <f t="shared" si="48"/>
        <v>6.6290362040600462E-3</v>
      </c>
    </row>
    <row r="111" spans="2:13" x14ac:dyDescent="0.25">
      <c r="B111" s="157" t="s">
        <v>107</v>
      </c>
      <c r="C111" s="158">
        <v>83539</v>
      </c>
      <c r="D111" s="158">
        <v>83520</v>
      </c>
      <c r="E111" s="158">
        <v>35348</v>
      </c>
      <c r="F111" s="158">
        <v>108248</v>
      </c>
      <c r="G111" s="158">
        <v>144345</v>
      </c>
      <c r="H111" s="158">
        <v>140863</v>
      </c>
      <c r="I111" s="160">
        <f>IFERROR(H111/G111-1,"-")</f>
        <v>-2.4122761439606455E-2</v>
      </c>
      <c r="J111" s="159">
        <f t="shared" si="49"/>
        <v>0.68657806513409958</v>
      </c>
      <c r="K111" s="158">
        <f t="shared" si="50"/>
        <v>-3482</v>
      </c>
      <c r="L111" s="158">
        <f t="shared" si="51"/>
        <v>57343</v>
      </c>
      <c r="M111" s="159">
        <f t="shared" si="48"/>
        <v>3.4393588464549187E-2</v>
      </c>
    </row>
    <row r="112" spans="2:13" x14ac:dyDescent="0.25">
      <c r="B112" s="162" t="s">
        <v>110</v>
      </c>
      <c r="C112" s="163">
        <v>46336</v>
      </c>
      <c r="D112" s="163">
        <v>46299</v>
      </c>
      <c r="E112" s="163">
        <v>17631</v>
      </c>
      <c r="F112" s="163">
        <v>65362</v>
      </c>
      <c r="G112" s="163">
        <v>94419</v>
      </c>
      <c r="H112" s="163">
        <v>87590</v>
      </c>
      <c r="I112" s="165">
        <f t="shared" ref="I112:I119" si="52">IFERROR(H112/G112-1,"-")</f>
        <v>-7.2326544445503571E-2</v>
      </c>
      <c r="J112" s="164">
        <f t="shared" si="49"/>
        <v>0.8918335169226117</v>
      </c>
      <c r="K112" s="163">
        <f t="shared" si="50"/>
        <v>-6829</v>
      </c>
      <c r="L112" s="163">
        <f t="shared" si="51"/>
        <v>41291</v>
      </c>
      <c r="M112" s="164">
        <f t="shared" si="48"/>
        <v>2.1386271864221713E-2</v>
      </c>
    </row>
    <row r="113" spans="2:13" x14ac:dyDescent="0.25">
      <c r="B113" s="162" t="s">
        <v>113</v>
      </c>
      <c r="C113" s="163">
        <v>9069</v>
      </c>
      <c r="D113" s="163">
        <v>7098</v>
      </c>
      <c r="E113" s="163">
        <v>2335</v>
      </c>
      <c r="F113" s="163">
        <v>4642</v>
      </c>
      <c r="G113" s="163">
        <v>6272</v>
      </c>
      <c r="H113" s="163">
        <v>6015</v>
      </c>
      <c r="I113" s="165">
        <f t="shared" si="52"/>
        <v>-4.0975765306122458E-2</v>
      </c>
      <c r="J113" s="164">
        <f t="shared" si="49"/>
        <v>-0.15257819103972947</v>
      </c>
      <c r="K113" s="163">
        <f t="shared" si="50"/>
        <v>-257</v>
      </c>
      <c r="L113" s="163">
        <f t="shared" si="51"/>
        <v>-1083</v>
      </c>
      <c r="M113" s="164">
        <f t="shared" si="48"/>
        <v>1.4686428275293253E-3</v>
      </c>
    </row>
    <row r="114" spans="2:13" x14ac:dyDescent="0.25">
      <c r="B114" s="162" t="s">
        <v>116</v>
      </c>
      <c r="C114" s="163">
        <v>9960</v>
      </c>
      <c r="D114" s="163">
        <v>9645</v>
      </c>
      <c r="E114" s="163">
        <v>1974</v>
      </c>
      <c r="F114" s="163">
        <v>7032</v>
      </c>
      <c r="G114" s="163">
        <v>10935</v>
      </c>
      <c r="H114" s="163">
        <v>10431</v>
      </c>
      <c r="I114" s="165">
        <f t="shared" si="52"/>
        <v>-4.6090534979423836E-2</v>
      </c>
      <c r="J114" s="164">
        <f t="shared" si="49"/>
        <v>8.1493001555209998E-2</v>
      </c>
      <c r="K114" s="163">
        <f t="shared" si="50"/>
        <v>-504</v>
      </c>
      <c r="L114" s="163">
        <f t="shared" si="51"/>
        <v>786</v>
      </c>
      <c r="M114" s="164">
        <f t="shared" si="48"/>
        <v>2.5468683846979869E-3</v>
      </c>
    </row>
    <row r="115" spans="2:13" x14ac:dyDescent="0.25">
      <c r="B115" s="162" t="s">
        <v>123</v>
      </c>
      <c r="C115" s="163">
        <v>1663</v>
      </c>
      <c r="D115" s="163">
        <v>1845</v>
      </c>
      <c r="E115" s="163">
        <v>1058</v>
      </c>
      <c r="F115" s="163">
        <v>4569</v>
      </c>
      <c r="G115" s="163">
        <v>4338</v>
      </c>
      <c r="H115" s="163">
        <v>4452</v>
      </c>
      <c r="I115" s="165">
        <f t="shared" si="52"/>
        <v>2.6279391424619547E-2</v>
      </c>
      <c r="J115" s="164">
        <f t="shared" si="49"/>
        <v>1.4130081300813009</v>
      </c>
      <c r="K115" s="163">
        <f t="shared" si="50"/>
        <v>114</v>
      </c>
      <c r="L115" s="163">
        <f t="shared" si="51"/>
        <v>2607</v>
      </c>
      <c r="M115" s="164">
        <f t="shared" si="48"/>
        <v>1.0870154394281889E-3</v>
      </c>
    </row>
    <row r="116" spans="2:13" x14ac:dyDescent="0.25">
      <c r="B116" s="162" t="s">
        <v>119</v>
      </c>
      <c r="C116" s="163">
        <v>2741</v>
      </c>
      <c r="D116" s="163">
        <v>2879</v>
      </c>
      <c r="E116" s="163">
        <v>2533</v>
      </c>
      <c r="F116" s="163">
        <v>3747</v>
      </c>
      <c r="G116" s="163">
        <v>4004</v>
      </c>
      <c r="H116" s="163">
        <v>3610</v>
      </c>
      <c r="I116" s="165">
        <f t="shared" si="52"/>
        <v>-9.8401598401598456E-2</v>
      </c>
      <c r="J116" s="164">
        <f t="shared" si="49"/>
        <v>0.25390760680791935</v>
      </c>
      <c r="K116" s="163">
        <f t="shared" si="50"/>
        <v>-394</v>
      </c>
      <c r="L116" s="163">
        <f t="shared" si="51"/>
        <v>731</v>
      </c>
      <c r="M116" s="164">
        <f t="shared" si="48"/>
        <v>8.8142985991369307E-4</v>
      </c>
    </row>
    <row r="117" spans="2:13" x14ac:dyDescent="0.25">
      <c r="B117" s="162" t="s">
        <v>128</v>
      </c>
      <c r="C117" s="163">
        <v>482</v>
      </c>
      <c r="D117" s="163">
        <v>513</v>
      </c>
      <c r="E117" s="163">
        <v>403</v>
      </c>
      <c r="F117" s="163">
        <v>552</v>
      </c>
      <c r="G117" s="163">
        <v>913</v>
      </c>
      <c r="H117" s="163">
        <v>911</v>
      </c>
      <c r="I117" s="165">
        <f t="shared" si="52"/>
        <v>-2.1905805038334725E-3</v>
      </c>
      <c r="J117" s="164">
        <f t="shared" si="49"/>
        <v>0.77582846003898642</v>
      </c>
      <c r="K117" s="163">
        <f t="shared" si="50"/>
        <v>-2</v>
      </c>
      <c r="L117" s="163">
        <f t="shared" si="51"/>
        <v>398</v>
      </c>
      <c r="M117" s="164">
        <f t="shared" si="48"/>
        <v>2.2243285384525608E-4</v>
      </c>
    </row>
    <row r="118" spans="2:13" x14ac:dyDescent="0.25">
      <c r="B118" s="162" t="s">
        <v>131</v>
      </c>
      <c r="C118" s="163">
        <v>1158</v>
      </c>
      <c r="D118" s="163">
        <v>933</v>
      </c>
      <c r="E118" s="163">
        <v>917</v>
      </c>
      <c r="F118" s="163">
        <v>725</v>
      </c>
      <c r="G118" s="163">
        <v>490</v>
      </c>
      <c r="H118" s="163">
        <v>1136</v>
      </c>
      <c r="I118" s="165">
        <f t="shared" si="52"/>
        <v>1.3183673469387753</v>
      </c>
      <c r="J118" s="164">
        <f t="shared" si="49"/>
        <v>0.217577706323687</v>
      </c>
      <c r="K118" s="163">
        <f t="shared" si="50"/>
        <v>646</v>
      </c>
      <c r="L118" s="163">
        <f t="shared" si="51"/>
        <v>203</v>
      </c>
      <c r="M118" s="164">
        <f t="shared" si="48"/>
        <v>2.7736961796730067E-4</v>
      </c>
    </row>
    <row r="119" spans="2:13" x14ac:dyDescent="0.25">
      <c r="B119" s="168" t="s">
        <v>145</v>
      </c>
      <c r="C119" s="169">
        <f t="shared" ref="C119:H119" si="53">C111-SUM(C112:C118)</f>
        <v>12130</v>
      </c>
      <c r="D119" s="169">
        <f t="shared" si="53"/>
        <v>14308</v>
      </c>
      <c r="E119" s="169">
        <f t="shared" si="53"/>
        <v>8497</v>
      </c>
      <c r="F119" s="169">
        <f t="shared" si="53"/>
        <v>21619</v>
      </c>
      <c r="G119" s="169">
        <f t="shared" si="53"/>
        <v>22974</v>
      </c>
      <c r="H119" s="169">
        <f t="shared" si="53"/>
        <v>26718</v>
      </c>
      <c r="I119" s="171">
        <f t="shared" si="52"/>
        <v>0.1629668320710369</v>
      </c>
      <c r="J119" s="170">
        <f t="shared" si="49"/>
        <v>0.86734693877551017</v>
      </c>
      <c r="K119" s="169">
        <f>H119-G119</f>
        <v>3744</v>
      </c>
      <c r="L119" s="169">
        <f t="shared" si="51"/>
        <v>12410</v>
      </c>
      <c r="M119" s="170">
        <f t="shared" si="48"/>
        <v>6.5235576169457212E-3</v>
      </c>
    </row>
    <row r="120" spans="2:13" x14ac:dyDescent="0.25">
      <c r="B120" s="153" t="s">
        <v>51</v>
      </c>
      <c r="C120" s="151"/>
      <c r="D120" s="151"/>
      <c r="E120" s="151"/>
      <c r="F120" s="151"/>
      <c r="G120" s="151"/>
      <c r="H120" s="152"/>
      <c r="I120" s="152"/>
      <c r="J120" s="152"/>
      <c r="K120" s="152"/>
      <c r="L120" s="151"/>
      <c r="M120" s="151"/>
    </row>
    <row r="121" spans="2:13" x14ac:dyDescent="0.25">
      <c r="B121" s="154" t="s">
        <v>68</v>
      </c>
      <c r="C121" s="176">
        <v>169824</v>
      </c>
      <c r="D121" s="176">
        <v>159130</v>
      </c>
      <c r="E121" s="176">
        <v>67052</v>
      </c>
      <c r="F121" s="176">
        <v>157983</v>
      </c>
      <c r="G121" s="176">
        <v>174312</v>
      </c>
      <c r="H121" s="176">
        <v>181820</v>
      </c>
      <c r="I121" s="177">
        <f>IFERROR(H121/G121-1,"-")</f>
        <v>4.307219239065585E-2</v>
      </c>
      <c r="J121" s="177">
        <f>IFERROR(H121/D121-1,"-")</f>
        <v>0.14258782127820013</v>
      </c>
      <c r="K121" s="176">
        <f>H121-G121</f>
        <v>7508</v>
      </c>
      <c r="L121" s="176">
        <f>H121-D121</f>
        <v>22690</v>
      </c>
      <c r="M121" s="177">
        <f t="shared" ref="M121:M133" si="54">H121/H$9</f>
        <v>4.4393788678533982E-2</v>
      </c>
    </row>
    <row r="122" spans="2:13" x14ac:dyDescent="0.25">
      <c r="B122" s="157" t="s">
        <v>97</v>
      </c>
      <c r="C122" s="158">
        <v>101126</v>
      </c>
      <c r="D122" s="158">
        <v>87514</v>
      </c>
      <c r="E122" s="158">
        <v>36330</v>
      </c>
      <c r="F122" s="158">
        <v>97242</v>
      </c>
      <c r="G122" s="158">
        <v>108324</v>
      </c>
      <c r="H122" s="158">
        <v>115851</v>
      </c>
      <c r="I122" s="160">
        <f>IFERROR(H122/G122-1,"-")</f>
        <v>6.9485986484989493E-2</v>
      </c>
      <c r="J122" s="159">
        <f t="shared" ref="J122:J133" si="55">IFERROR(H122/D122-1,"-")</f>
        <v>0.32379962063212742</v>
      </c>
      <c r="K122" s="158">
        <f t="shared" ref="K122:K132" si="56">H122-G122</f>
        <v>7527</v>
      </c>
      <c r="L122" s="158">
        <f t="shared" ref="L122:L133" si="57">H122-D122</f>
        <v>28337</v>
      </c>
      <c r="M122" s="159">
        <f t="shared" si="54"/>
        <v>2.828657360134661E-2</v>
      </c>
    </row>
    <row r="123" spans="2:13" x14ac:dyDescent="0.25">
      <c r="B123" s="162" t="s">
        <v>103</v>
      </c>
      <c r="C123" s="163">
        <v>56527</v>
      </c>
      <c r="D123" s="163">
        <v>44251</v>
      </c>
      <c r="E123" s="163">
        <v>16691</v>
      </c>
      <c r="F123" s="163">
        <v>50706</v>
      </c>
      <c r="G123" s="163">
        <v>48815</v>
      </c>
      <c r="H123" s="163">
        <v>57435</v>
      </c>
      <c r="I123" s="165">
        <f>IFERROR(H123/G123-1,"-")</f>
        <v>0.17658506606575841</v>
      </c>
      <c r="J123" s="164">
        <f t="shared" si="55"/>
        <v>0.29793676979051331</v>
      </c>
      <c r="K123" s="163">
        <f t="shared" si="56"/>
        <v>8620</v>
      </c>
      <c r="L123" s="163">
        <f t="shared" si="57"/>
        <v>13184</v>
      </c>
      <c r="M123" s="164">
        <f t="shared" si="54"/>
        <v>1.4023524654887248E-2</v>
      </c>
    </row>
    <row r="124" spans="2:13" x14ac:dyDescent="0.25">
      <c r="B124" s="162" t="s">
        <v>100</v>
      </c>
      <c r="C124" s="163">
        <v>44599</v>
      </c>
      <c r="D124" s="163">
        <v>43263</v>
      </c>
      <c r="E124" s="163">
        <v>19639</v>
      </c>
      <c r="F124" s="163">
        <v>46536</v>
      </c>
      <c r="G124" s="163">
        <v>59509</v>
      </c>
      <c r="H124" s="163">
        <v>58416</v>
      </c>
      <c r="I124" s="165">
        <f>IFERROR(H124/G124-1,"-")</f>
        <v>-1.8366969702061864E-2</v>
      </c>
      <c r="J124" s="164">
        <f t="shared" si="55"/>
        <v>0.35025310311351499</v>
      </c>
      <c r="K124" s="163">
        <f t="shared" si="56"/>
        <v>-1093</v>
      </c>
      <c r="L124" s="163">
        <f t="shared" si="57"/>
        <v>15153</v>
      </c>
      <c r="M124" s="164">
        <f t="shared" si="54"/>
        <v>1.4263048946459363E-2</v>
      </c>
    </row>
    <row r="125" spans="2:13" x14ac:dyDescent="0.25">
      <c r="B125" s="157" t="s">
        <v>107</v>
      </c>
      <c r="C125" s="158">
        <v>68698</v>
      </c>
      <c r="D125" s="158">
        <v>71616</v>
      </c>
      <c r="E125" s="158">
        <v>30722</v>
      </c>
      <c r="F125" s="158">
        <v>60741</v>
      </c>
      <c r="G125" s="158">
        <v>65988</v>
      </c>
      <c r="H125" s="158">
        <v>65969</v>
      </c>
      <c r="I125" s="160">
        <f>IFERROR(H125/G125-1,"-")</f>
        <v>-2.8793113899494571E-4</v>
      </c>
      <c r="J125" s="159">
        <f t="shared" si="55"/>
        <v>-7.8851094727435234E-2</v>
      </c>
      <c r="K125" s="158">
        <f t="shared" si="56"/>
        <v>-19</v>
      </c>
      <c r="L125" s="158">
        <f t="shared" si="57"/>
        <v>-5647</v>
      </c>
      <c r="M125" s="159">
        <f t="shared" si="54"/>
        <v>1.6107215077187376E-2</v>
      </c>
    </row>
    <row r="126" spans="2:13" x14ac:dyDescent="0.25">
      <c r="B126" s="162" t="s">
        <v>110</v>
      </c>
      <c r="C126" s="163">
        <v>8686</v>
      </c>
      <c r="D126" s="163">
        <v>7655</v>
      </c>
      <c r="E126" s="163">
        <v>3019</v>
      </c>
      <c r="F126" s="163">
        <v>6689</v>
      </c>
      <c r="G126" s="163">
        <v>8681</v>
      </c>
      <c r="H126" s="163">
        <v>7798</v>
      </c>
      <c r="I126" s="165">
        <f t="shared" ref="I126:I133" si="58">IFERROR(H126/G126-1,"-")</f>
        <v>-0.10171639212072336</v>
      </c>
      <c r="J126" s="164">
        <f t="shared" si="55"/>
        <v>1.8680600914434908E-2</v>
      </c>
      <c r="K126" s="163">
        <f t="shared" si="56"/>
        <v>-883</v>
      </c>
      <c r="L126" s="163">
        <f t="shared" si="57"/>
        <v>143</v>
      </c>
      <c r="M126" s="164">
        <f t="shared" si="54"/>
        <v>1.9039861627720164E-3</v>
      </c>
    </row>
    <row r="127" spans="2:13" x14ac:dyDescent="0.25">
      <c r="B127" s="162" t="s">
        <v>113</v>
      </c>
      <c r="C127" s="163">
        <v>7661</v>
      </c>
      <c r="D127" s="163">
        <v>6494</v>
      </c>
      <c r="E127" s="163">
        <v>3185</v>
      </c>
      <c r="F127" s="163">
        <v>6371</v>
      </c>
      <c r="G127" s="163">
        <v>9226</v>
      </c>
      <c r="H127" s="163">
        <v>8815</v>
      </c>
      <c r="I127" s="165">
        <f t="shared" si="58"/>
        <v>-4.4548016475178809E-2</v>
      </c>
      <c r="J127" s="164">
        <f t="shared" si="55"/>
        <v>0.35740683708038179</v>
      </c>
      <c r="K127" s="163">
        <f t="shared" si="56"/>
        <v>-411</v>
      </c>
      <c r="L127" s="163">
        <f t="shared" si="57"/>
        <v>2321</v>
      </c>
      <c r="M127" s="164">
        <f t="shared" si="54"/>
        <v>2.1523003366036579E-3</v>
      </c>
    </row>
    <row r="128" spans="2:13" x14ac:dyDescent="0.25">
      <c r="B128" s="162" t="s">
        <v>116</v>
      </c>
      <c r="C128" s="163">
        <v>4862</v>
      </c>
      <c r="D128" s="163">
        <v>4919</v>
      </c>
      <c r="E128" s="163">
        <v>2224</v>
      </c>
      <c r="F128" s="163">
        <v>5877</v>
      </c>
      <c r="G128" s="163">
        <v>6321</v>
      </c>
      <c r="H128" s="163">
        <v>6241</v>
      </c>
      <c r="I128" s="165">
        <f t="shared" si="58"/>
        <v>-1.2656225280810007E-2</v>
      </c>
      <c r="J128" s="164">
        <f t="shared" si="55"/>
        <v>0.26875381175035584</v>
      </c>
      <c r="K128" s="163">
        <f t="shared" si="56"/>
        <v>-80</v>
      </c>
      <c r="L128" s="163">
        <f t="shared" si="57"/>
        <v>1322</v>
      </c>
      <c r="M128" s="164">
        <f t="shared" si="54"/>
        <v>1.5238237550474678E-3</v>
      </c>
    </row>
    <row r="129" spans="2:13" x14ac:dyDescent="0.25">
      <c r="B129" s="162" t="s">
        <v>123</v>
      </c>
      <c r="C129" s="163">
        <v>1164</v>
      </c>
      <c r="D129" s="163">
        <v>1219</v>
      </c>
      <c r="E129" s="163">
        <v>594</v>
      </c>
      <c r="F129" s="163">
        <v>1853</v>
      </c>
      <c r="G129" s="163">
        <v>1896</v>
      </c>
      <c r="H129" s="163">
        <v>1689</v>
      </c>
      <c r="I129" s="165">
        <f t="shared" si="58"/>
        <v>-0.10917721518987344</v>
      </c>
      <c r="J129" s="164">
        <f t="shared" si="55"/>
        <v>0.38556193601312549</v>
      </c>
      <c r="K129" s="163">
        <f t="shared" si="56"/>
        <v>-207</v>
      </c>
      <c r="L129" s="163">
        <f t="shared" si="57"/>
        <v>470</v>
      </c>
      <c r="M129" s="164">
        <f t="shared" si="54"/>
        <v>4.1239197600948137E-4</v>
      </c>
    </row>
    <row r="130" spans="2:13" x14ac:dyDescent="0.25">
      <c r="B130" s="162" t="s">
        <v>119</v>
      </c>
      <c r="C130" s="163">
        <v>1243</v>
      </c>
      <c r="D130" s="163">
        <v>1035</v>
      </c>
      <c r="E130" s="163">
        <v>578</v>
      </c>
      <c r="F130" s="163">
        <v>1263</v>
      </c>
      <c r="G130" s="163">
        <v>1296</v>
      </c>
      <c r="H130" s="163">
        <v>1391</v>
      </c>
      <c r="I130" s="165">
        <f t="shared" si="58"/>
        <v>7.3302469135802406E-2</v>
      </c>
      <c r="J130" s="164">
        <f t="shared" si="55"/>
        <v>0.34396135265700489</v>
      </c>
      <c r="K130" s="163">
        <f t="shared" si="56"/>
        <v>95</v>
      </c>
      <c r="L130" s="163">
        <f t="shared" si="57"/>
        <v>356</v>
      </c>
      <c r="M130" s="164">
        <f t="shared" si="54"/>
        <v>3.396312839722845E-4</v>
      </c>
    </row>
    <row r="131" spans="2:13" x14ac:dyDescent="0.25">
      <c r="B131" s="162" t="s">
        <v>128</v>
      </c>
      <c r="C131" s="163">
        <v>1013</v>
      </c>
      <c r="D131" s="163">
        <v>1136</v>
      </c>
      <c r="E131" s="163">
        <v>637</v>
      </c>
      <c r="F131" s="163">
        <v>655</v>
      </c>
      <c r="G131" s="163">
        <v>861</v>
      </c>
      <c r="H131" s="163">
        <v>946</v>
      </c>
      <c r="I131" s="165">
        <f t="shared" si="58"/>
        <v>9.8722415795586604E-2</v>
      </c>
      <c r="J131" s="164">
        <f t="shared" si="55"/>
        <v>-0.16725352112676062</v>
      </c>
      <c r="K131" s="163">
        <f t="shared" si="56"/>
        <v>85</v>
      </c>
      <c r="L131" s="163">
        <f t="shared" si="57"/>
        <v>-190</v>
      </c>
      <c r="M131" s="164">
        <f t="shared" si="54"/>
        <v>2.3097857270868523E-4</v>
      </c>
    </row>
    <row r="132" spans="2:13" x14ac:dyDescent="0.25">
      <c r="B132" s="162" t="s">
        <v>131</v>
      </c>
      <c r="C132" s="163">
        <v>1887</v>
      </c>
      <c r="D132" s="163">
        <v>1688</v>
      </c>
      <c r="E132" s="163">
        <v>1010</v>
      </c>
      <c r="F132" s="163">
        <v>1105</v>
      </c>
      <c r="G132" s="163">
        <v>1564</v>
      </c>
      <c r="H132" s="163">
        <v>1427</v>
      </c>
      <c r="I132" s="165">
        <f t="shared" si="58"/>
        <v>-8.7595907928388783E-2</v>
      </c>
      <c r="J132" s="164">
        <f t="shared" si="55"/>
        <v>-0.15462085308056872</v>
      </c>
      <c r="K132" s="163">
        <f t="shared" si="56"/>
        <v>-137</v>
      </c>
      <c r="L132" s="163">
        <f t="shared" si="57"/>
        <v>-261</v>
      </c>
      <c r="M132" s="164">
        <f t="shared" si="54"/>
        <v>3.4842116623181164E-4</v>
      </c>
    </row>
    <row r="133" spans="2:13" x14ac:dyDescent="0.25">
      <c r="B133" s="168" t="s">
        <v>145</v>
      </c>
      <c r="C133" s="169">
        <f t="shared" ref="C133:H133" si="59">C125-SUM(C126:C132)</f>
        <v>42182</v>
      </c>
      <c r="D133" s="169">
        <f t="shared" si="59"/>
        <v>47470</v>
      </c>
      <c r="E133" s="169">
        <f t="shared" si="59"/>
        <v>19475</v>
      </c>
      <c r="F133" s="169">
        <f t="shared" si="59"/>
        <v>36928</v>
      </c>
      <c r="G133" s="169">
        <f t="shared" si="59"/>
        <v>36143</v>
      </c>
      <c r="H133" s="169">
        <f t="shared" si="59"/>
        <v>37662</v>
      </c>
      <c r="I133" s="171">
        <f t="shared" si="58"/>
        <v>4.2027501867581529E-2</v>
      </c>
      <c r="J133" s="170">
        <f t="shared" si="55"/>
        <v>-0.20661470402359383</v>
      </c>
      <c r="K133" s="169">
        <f>H133-G133</f>
        <v>1519</v>
      </c>
      <c r="L133" s="169">
        <f t="shared" si="57"/>
        <v>-9808</v>
      </c>
      <c r="M133" s="170">
        <f t="shared" si="54"/>
        <v>9.1956818238419693E-3</v>
      </c>
    </row>
    <row r="134" spans="2:13" x14ac:dyDescent="0.25">
      <c r="B134" s="153" t="s">
        <v>52</v>
      </c>
      <c r="C134" s="151"/>
      <c r="D134" s="151"/>
      <c r="E134" s="151"/>
      <c r="F134" s="151"/>
      <c r="G134" s="151"/>
      <c r="H134" s="152"/>
      <c r="I134" s="152"/>
      <c r="J134" s="152"/>
      <c r="K134" s="152"/>
      <c r="L134" s="151"/>
      <c r="M134" s="151"/>
    </row>
    <row r="135" spans="2:13" x14ac:dyDescent="0.25">
      <c r="B135" s="154" t="s">
        <v>68</v>
      </c>
      <c r="C135" s="176">
        <v>207919</v>
      </c>
      <c r="D135" s="176">
        <v>186886</v>
      </c>
      <c r="E135" s="176">
        <v>71319</v>
      </c>
      <c r="F135" s="176">
        <v>190426</v>
      </c>
      <c r="G135" s="176">
        <v>205238</v>
      </c>
      <c r="H135" s="176">
        <v>213816</v>
      </c>
      <c r="I135" s="177">
        <f>IFERROR(H135/G135-1,"-")</f>
        <v>4.1795379023377821E-2</v>
      </c>
      <c r="J135" s="177">
        <f>IFERROR(H135/D135-1,"-")</f>
        <v>0.14409854135676303</v>
      </c>
      <c r="K135" s="176">
        <f>H135-G135</f>
        <v>8578</v>
      </c>
      <c r="L135" s="176">
        <f>H135-D135</f>
        <v>26930</v>
      </c>
      <c r="M135" s="177">
        <f t="shared" ref="M135:M147" si="60">H135/H$9</f>
        <v>5.2206040700084826E-2</v>
      </c>
    </row>
    <row r="136" spans="2:13" x14ac:dyDescent="0.25">
      <c r="B136" s="157" t="s">
        <v>97</v>
      </c>
      <c r="C136" s="158">
        <v>45251</v>
      </c>
      <c r="D136" s="158">
        <v>37574</v>
      </c>
      <c r="E136" s="158">
        <v>14652</v>
      </c>
      <c r="F136" s="158">
        <v>24500</v>
      </c>
      <c r="G136" s="158">
        <v>26474</v>
      </c>
      <c r="H136" s="158">
        <v>22996</v>
      </c>
      <c r="I136" s="160">
        <f>IFERROR(H136/G136-1,"-")</f>
        <v>-0.13137417843922339</v>
      </c>
      <c r="J136" s="159">
        <f t="shared" ref="J136:J147" si="61">IFERROR(H136/D136-1,"-")</f>
        <v>-0.38798105072656619</v>
      </c>
      <c r="K136" s="158">
        <f t="shared" ref="K136:K146" si="62">H136-G136</f>
        <v>-3478</v>
      </c>
      <c r="L136" s="158">
        <f t="shared" ref="L136:L147" si="63">H136-D136</f>
        <v>-14578</v>
      </c>
      <c r="M136" s="159">
        <f t="shared" si="60"/>
        <v>5.6147814566690542E-3</v>
      </c>
    </row>
    <row r="137" spans="2:13" x14ac:dyDescent="0.25">
      <c r="B137" s="162" t="s">
        <v>103</v>
      </c>
      <c r="C137" s="163">
        <v>32986</v>
      </c>
      <c r="D137" s="163">
        <v>21167</v>
      </c>
      <c r="E137" s="163">
        <v>10065</v>
      </c>
      <c r="F137" s="163">
        <v>17244</v>
      </c>
      <c r="G137" s="163">
        <v>17464</v>
      </c>
      <c r="H137" s="163">
        <v>15005</v>
      </c>
      <c r="I137" s="165">
        <f>IFERROR(H137/G137-1,"-")</f>
        <v>-0.14080393953275305</v>
      </c>
      <c r="J137" s="164">
        <f t="shared" si="61"/>
        <v>-0.29111352577124772</v>
      </c>
      <c r="K137" s="163">
        <f t="shared" si="62"/>
        <v>-2459</v>
      </c>
      <c r="L137" s="163">
        <f t="shared" si="63"/>
        <v>-6162</v>
      </c>
      <c r="M137" s="164">
        <f t="shared" si="60"/>
        <v>3.6636717584501289E-3</v>
      </c>
    </row>
    <row r="138" spans="2:13" x14ac:dyDescent="0.25">
      <c r="B138" s="162" t="s">
        <v>100</v>
      </c>
      <c r="C138" s="163">
        <v>12265</v>
      </c>
      <c r="D138" s="163">
        <v>16407</v>
      </c>
      <c r="E138" s="163">
        <v>4587</v>
      </c>
      <c r="F138" s="163">
        <v>7256</v>
      </c>
      <c r="G138" s="163">
        <v>9010</v>
      </c>
      <c r="H138" s="163">
        <v>7991</v>
      </c>
      <c r="I138" s="165">
        <f>IFERROR(H138/G138-1,"-")</f>
        <v>-0.11309655937846841</v>
      </c>
      <c r="J138" s="164">
        <f t="shared" si="61"/>
        <v>-0.512951788870604</v>
      </c>
      <c r="K138" s="163">
        <f t="shared" si="62"/>
        <v>-1019</v>
      </c>
      <c r="L138" s="163">
        <f t="shared" si="63"/>
        <v>-8416</v>
      </c>
      <c r="M138" s="164">
        <f t="shared" si="60"/>
        <v>1.9511096982189257E-3</v>
      </c>
    </row>
    <row r="139" spans="2:13" x14ac:dyDescent="0.25">
      <c r="B139" s="157" t="s">
        <v>107</v>
      </c>
      <c r="C139" s="158">
        <v>162668</v>
      </c>
      <c r="D139" s="158">
        <v>149312</v>
      </c>
      <c r="E139" s="158">
        <v>56667</v>
      </c>
      <c r="F139" s="158">
        <v>165926</v>
      </c>
      <c r="G139" s="158">
        <v>178764</v>
      </c>
      <c r="H139" s="158">
        <v>190820</v>
      </c>
      <c r="I139" s="160">
        <f>IFERROR(H139/G139-1,"-")</f>
        <v>6.7440871763889909E-2</v>
      </c>
      <c r="J139" s="159">
        <f t="shared" si="61"/>
        <v>0.27799507072438923</v>
      </c>
      <c r="K139" s="158">
        <f t="shared" si="62"/>
        <v>12056</v>
      </c>
      <c r="L139" s="158">
        <f t="shared" si="63"/>
        <v>41508</v>
      </c>
      <c r="M139" s="159">
        <f t="shared" si="60"/>
        <v>4.659125924341577E-2</v>
      </c>
    </row>
    <row r="140" spans="2:13" x14ac:dyDescent="0.25">
      <c r="B140" s="162" t="s">
        <v>110</v>
      </c>
      <c r="C140" s="163">
        <v>82959</v>
      </c>
      <c r="D140" s="163">
        <v>73348</v>
      </c>
      <c r="E140" s="163">
        <v>22281</v>
      </c>
      <c r="F140" s="163">
        <v>71304</v>
      </c>
      <c r="G140" s="163">
        <v>77058</v>
      </c>
      <c r="H140" s="163">
        <v>86387</v>
      </c>
      <c r="I140" s="165">
        <f t="shared" ref="I140:I147" si="64">IFERROR(H140/G140-1,"-")</f>
        <v>0.12106465259934085</v>
      </c>
      <c r="J140" s="164">
        <f t="shared" si="61"/>
        <v>0.17776899165621418</v>
      </c>
      <c r="K140" s="163">
        <f t="shared" si="62"/>
        <v>9329</v>
      </c>
      <c r="L140" s="163">
        <f t="shared" si="63"/>
        <v>13039</v>
      </c>
      <c r="M140" s="164">
        <f t="shared" si="60"/>
        <v>2.1092543298715846E-2</v>
      </c>
    </row>
    <row r="141" spans="2:13" x14ac:dyDescent="0.25">
      <c r="B141" s="162" t="s">
        <v>113</v>
      </c>
      <c r="C141" s="163">
        <v>10746</v>
      </c>
      <c r="D141" s="163">
        <v>10763</v>
      </c>
      <c r="E141" s="163">
        <v>4317</v>
      </c>
      <c r="F141" s="163">
        <v>10802</v>
      </c>
      <c r="G141" s="163">
        <v>14655</v>
      </c>
      <c r="H141" s="163">
        <v>15235</v>
      </c>
      <c r="I141" s="165">
        <f t="shared" si="64"/>
        <v>3.9576936199249513E-2</v>
      </c>
      <c r="J141" s="164">
        <f t="shared" si="61"/>
        <v>0.41549753786119115</v>
      </c>
      <c r="K141" s="163">
        <f t="shared" si="62"/>
        <v>580</v>
      </c>
      <c r="L141" s="163">
        <f t="shared" si="63"/>
        <v>4472</v>
      </c>
      <c r="M141" s="164">
        <f t="shared" si="60"/>
        <v>3.7198293395526633E-3</v>
      </c>
    </row>
    <row r="142" spans="2:13" x14ac:dyDescent="0.25">
      <c r="B142" s="162" t="s">
        <v>116</v>
      </c>
      <c r="C142" s="163">
        <v>19721</v>
      </c>
      <c r="D142" s="163">
        <v>15224</v>
      </c>
      <c r="E142" s="163">
        <v>4696</v>
      </c>
      <c r="F142" s="163">
        <v>20585</v>
      </c>
      <c r="G142" s="163">
        <v>19204</v>
      </c>
      <c r="H142" s="163">
        <v>19029</v>
      </c>
      <c r="I142" s="165">
        <f t="shared" si="64"/>
        <v>-9.1126848573214181E-3</v>
      </c>
      <c r="J142" s="164">
        <f t="shared" si="61"/>
        <v>0.24993431424067269</v>
      </c>
      <c r="K142" s="163">
        <f t="shared" si="62"/>
        <v>-175</v>
      </c>
      <c r="L142" s="163">
        <f t="shared" si="63"/>
        <v>3805</v>
      </c>
      <c r="M142" s="164">
        <f t="shared" si="60"/>
        <v>4.6461852643483841E-3</v>
      </c>
    </row>
    <row r="143" spans="2:13" x14ac:dyDescent="0.25">
      <c r="B143" s="162" t="s">
        <v>123</v>
      </c>
      <c r="C143" s="163">
        <v>3388</v>
      </c>
      <c r="D143" s="163">
        <v>2988</v>
      </c>
      <c r="E143" s="163">
        <v>936</v>
      </c>
      <c r="F143" s="163">
        <v>7986</v>
      </c>
      <c r="G143" s="163">
        <v>6796</v>
      </c>
      <c r="H143" s="163">
        <v>4730</v>
      </c>
      <c r="I143" s="165">
        <f t="shared" si="64"/>
        <v>-0.30400235432607414</v>
      </c>
      <c r="J143" s="164">
        <f t="shared" si="61"/>
        <v>0.58299866131191425</v>
      </c>
      <c r="K143" s="163">
        <f t="shared" si="62"/>
        <v>-2066</v>
      </c>
      <c r="L143" s="163">
        <f t="shared" si="63"/>
        <v>1742</v>
      </c>
      <c r="M143" s="164">
        <f t="shared" si="60"/>
        <v>1.1548928635434262E-3</v>
      </c>
    </row>
    <row r="144" spans="2:13" x14ac:dyDescent="0.25">
      <c r="B144" s="162" t="s">
        <v>119</v>
      </c>
      <c r="C144" s="163">
        <v>3236</v>
      </c>
      <c r="D144" s="163">
        <v>3201</v>
      </c>
      <c r="E144" s="163">
        <v>1567</v>
      </c>
      <c r="F144" s="163">
        <v>3300</v>
      </c>
      <c r="G144" s="163">
        <v>3893</v>
      </c>
      <c r="H144" s="163">
        <v>4292</v>
      </c>
      <c r="I144" s="165">
        <f t="shared" si="64"/>
        <v>0.10249165168250696</v>
      </c>
      <c r="J144" s="164">
        <f t="shared" si="61"/>
        <v>0.34083099031552644</v>
      </c>
      <c r="K144" s="163">
        <f t="shared" si="62"/>
        <v>399</v>
      </c>
      <c r="L144" s="163">
        <f t="shared" si="63"/>
        <v>1091</v>
      </c>
      <c r="M144" s="164">
        <f t="shared" si="60"/>
        <v>1.0479492960525126E-3</v>
      </c>
    </row>
    <row r="145" spans="2:13" x14ac:dyDescent="0.25">
      <c r="B145" s="162" t="s">
        <v>128</v>
      </c>
      <c r="C145" s="163">
        <v>1473</v>
      </c>
      <c r="D145" s="163">
        <v>1553</v>
      </c>
      <c r="E145" s="163">
        <v>1963</v>
      </c>
      <c r="F145" s="163">
        <v>1898</v>
      </c>
      <c r="G145" s="163">
        <v>2272</v>
      </c>
      <c r="H145" s="163">
        <v>2036</v>
      </c>
      <c r="I145" s="165">
        <f t="shared" si="64"/>
        <v>-0.10387323943661975</v>
      </c>
      <c r="J145" s="164">
        <f t="shared" si="61"/>
        <v>0.31101094655505479</v>
      </c>
      <c r="K145" s="163">
        <f t="shared" si="62"/>
        <v>-236</v>
      </c>
      <c r="L145" s="163">
        <f t="shared" si="63"/>
        <v>483</v>
      </c>
      <c r="M145" s="164">
        <f t="shared" si="60"/>
        <v>4.9711667445547902E-4</v>
      </c>
    </row>
    <row r="146" spans="2:13" x14ac:dyDescent="0.25">
      <c r="B146" s="162" t="s">
        <v>131</v>
      </c>
      <c r="C146" s="163">
        <v>6903</v>
      </c>
      <c r="D146" s="163">
        <v>4261</v>
      </c>
      <c r="E146" s="163">
        <v>3936</v>
      </c>
      <c r="F146" s="163">
        <v>926</v>
      </c>
      <c r="G146" s="163">
        <v>1641</v>
      </c>
      <c r="H146" s="163">
        <v>1499</v>
      </c>
      <c r="I146" s="165">
        <f t="shared" si="64"/>
        <v>-8.6532602071907383E-2</v>
      </c>
      <c r="J146" s="164">
        <f t="shared" si="61"/>
        <v>-0.64820464679652656</v>
      </c>
      <c r="K146" s="163">
        <f t="shared" si="62"/>
        <v>-142</v>
      </c>
      <c r="L146" s="163">
        <f t="shared" si="63"/>
        <v>-2762</v>
      </c>
      <c r="M146" s="164">
        <f t="shared" si="60"/>
        <v>3.6600093075086593E-4</v>
      </c>
    </row>
    <row r="147" spans="2:13" x14ac:dyDescent="0.25">
      <c r="B147" s="168" t="s">
        <v>145</v>
      </c>
      <c r="C147" s="169">
        <f t="shared" ref="C147:H147" si="65">C139-SUM(C140:C146)</f>
        <v>34242</v>
      </c>
      <c r="D147" s="169">
        <f t="shared" si="65"/>
        <v>37974</v>
      </c>
      <c r="E147" s="169">
        <f t="shared" si="65"/>
        <v>16971</v>
      </c>
      <c r="F147" s="169">
        <f t="shared" si="65"/>
        <v>49125</v>
      </c>
      <c r="G147" s="169">
        <f t="shared" si="65"/>
        <v>53245</v>
      </c>
      <c r="H147" s="169">
        <f t="shared" si="65"/>
        <v>57612</v>
      </c>
      <c r="I147" s="171">
        <f t="shared" si="64"/>
        <v>8.2017090806648429E-2</v>
      </c>
      <c r="J147" s="170">
        <f t="shared" si="61"/>
        <v>0.51714330857955448</v>
      </c>
      <c r="K147" s="169">
        <f>H147-G147</f>
        <v>4367</v>
      </c>
      <c r="L147" s="169">
        <f t="shared" si="63"/>
        <v>19638</v>
      </c>
      <c r="M147" s="170">
        <f t="shared" si="60"/>
        <v>1.406674157599659E-2</v>
      </c>
    </row>
    <row r="148" spans="2:13" x14ac:dyDescent="0.25">
      <c r="B148" s="153" t="s">
        <v>53</v>
      </c>
      <c r="C148" s="151"/>
      <c r="D148" s="151"/>
      <c r="E148" s="151"/>
      <c r="F148" s="151"/>
      <c r="G148" s="151"/>
      <c r="H148" s="152"/>
      <c r="I148" s="152"/>
      <c r="J148" s="152"/>
      <c r="K148" s="152"/>
      <c r="L148" s="151"/>
      <c r="M148" s="151"/>
    </row>
    <row r="149" spans="2:13" x14ac:dyDescent="0.25">
      <c r="B149" s="154" t="s">
        <v>68</v>
      </c>
      <c r="C149" s="176">
        <v>95856</v>
      </c>
      <c r="D149" s="176">
        <v>95406</v>
      </c>
      <c r="E149" s="176">
        <v>31688</v>
      </c>
      <c r="F149" s="176">
        <v>81548</v>
      </c>
      <c r="G149" s="176">
        <v>89780</v>
      </c>
      <c r="H149" s="176">
        <v>94601</v>
      </c>
      <c r="I149" s="177">
        <f>IFERROR(H149/G149-1,"-")</f>
        <v>5.3697928269102357E-2</v>
      </c>
      <c r="J149" s="177">
        <f>IFERROR(H149/D149-1,"-")</f>
        <v>-8.4376244680628432E-3</v>
      </c>
      <c r="K149" s="176">
        <f>H149-G149</f>
        <v>4821</v>
      </c>
      <c r="L149" s="176">
        <f>H149-D149</f>
        <v>-805</v>
      </c>
      <c r="M149" s="177">
        <f t="shared" ref="M149:M161" si="66">H149/H$9</f>
        <v>2.309810143426462E-2</v>
      </c>
    </row>
    <row r="150" spans="2:13" x14ac:dyDescent="0.25">
      <c r="B150" s="157" t="s">
        <v>97</v>
      </c>
      <c r="C150" s="158">
        <v>39837</v>
      </c>
      <c r="D150" s="158">
        <v>42305</v>
      </c>
      <c r="E150" s="158">
        <v>14030</v>
      </c>
      <c r="F150" s="158">
        <v>44261</v>
      </c>
      <c r="G150" s="158">
        <v>46703</v>
      </c>
      <c r="H150" s="158">
        <v>42965</v>
      </c>
      <c r="I150" s="160">
        <f>IFERROR(H150/G150-1,"-")</f>
        <v>-8.003768494529262E-2</v>
      </c>
      <c r="J150" s="159">
        <f t="shared" ref="J150:J161" si="67">IFERROR(H150/D150-1,"-")</f>
        <v>1.5600992790450352E-2</v>
      </c>
      <c r="K150" s="158">
        <f t="shared" ref="K150:K160" si="68">H150-G150</f>
        <v>-3738</v>
      </c>
      <c r="L150" s="158">
        <f t="shared" ref="L150:L161" si="69">H150-D150</f>
        <v>660</v>
      </c>
      <c r="M150" s="159">
        <f t="shared" si="66"/>
        <v>1.0490480313349535E-2</v>
      </c>
    </row>
    <row r="151" spans="2:13" x14ac:dyDescent="0.25">
      <c r="B151" s="162" t="s">
        <v>103</v>
      </c>
      <c r="C151" s="163">
        <v>24512</v>
      </c>
      <c r="D151" s="163">
        <v>25510</v>
      </c>
      <c r="E151" s="163">
        <v>7709</v>
      </c>
      <c r="F151" s="163">
        <v>31924</v>
      </c>
      <c r="G151" s="163">
        <v>33975</v>
      </c>
      <c r="H151" s="163">
        <v>28847</v>
      </c>
      <c r="I151" s="165">
        <f>IFERROR(H151/G151-1,"-")</f>
        <v>-0.15093451066961006</v>
      </c>
      <c r="J151" s="164">
        <f t="shared" si="67"/>
        <v>0.13081144649157195</v>
      </c>
      <c r="K151" s="163">
        <f t="shared" si="68"/>
        <v>-5128</v>
      </c>
      <c r="L151" s="163">
        <f t="shared" si="69"/>
        <v>3337</v>
      </c>
      <c r="M151" s="164">
        <f t="shared" si="66"/>
        <v>7.0433814872383118E-3</v>
      </c>
    </row>
    <row r="152" spans="2:13" x14ac:dyDescent="0.25">
      <c r="B152" s="162" t="s">
        <v>100</v>
      </c>
      <c r="C152" s="163">
        <v>15325</v>
      </c>
      <c r="D152" s="163">
        <v>16795</v>
      </c>
      <c r="E152" s="163">
        <v>6321</v>
      </c>
      <c r="F152" s="163">
        <v>12337</v>
      </c>
      <c r="G152" s="163">
        <v>12728</v>
      </c>
      <c r="H152" s="163">
        <v>14118</v>
      </c>
      <c r="I152" s="165">
        <f>IFERROR(H152/G152-1,"-")</f>
        <v>0.10920804525455696</v>
      </c>
      <c r="J152" s="164">
        <f t="shared" si="67"/>
        <v>-0.15939267639178323</v>
      </c>
      <c r="K152" s="163">
        <f t="shared" si="68"/>
        <v>1390</v>
      </c>
      <c r="L152" s="163">
        <f t="shared" si="69"/>
        <v>-2677</v>
      </c>
      <c r="M152" s="164">
        <f t="shared" si="66"/>
        <v>3.4470988261112241E-3</v>
      </c>
    </row>
    <row r="153" spans="2:13" x14ac:dyDescent="0.25">
      <c r="B153" s="157" t="s">
        <v>107</v>
      </c>
      <c r="C153" s="158">
        <v>56019</v>
      </c>
      <c r="D153" s="158">
        <v>53101</v>
      </c>
      <c r="E153" s="158">
        <v>17658</v>
      </c>
      <c r="F153" s="158">
        <v>37287</v>
      </c>
      <c r="G153" s="158">
        <v>43077</v>
      </c>
      <c r="H153" s="158">
        <v>51636</v>
      </c>
      <c r="I153" s="160">
        <f>IFERROR(H153/G153-1,"-")</f>
        <v>0.1986907166237204</v>
      </c>
      <c r="J153" s="159">
        <f t="shared" si="67"/>
        <v>-2.7588934295022738E-2</v>
      </c>
      <c r="K153" s="158">
        <f t="shared" si="68"/>
        <v>8559</v>
      </c>
      <c r="L153" s="158">
        <f t="shared" si="69"/>
        <v>-1465</v>
      </c>
      <c r="M153" s="159">
        <f t="shared" si="66"/>
        <v>1.2607621120915085E-2</v>
      </c>
    </row>
    <row r="154" spans="2:13" x14ac:dyDescent="0.25">
      <c r="B154" s="162" t="s">
        <v>110</v>
      </c>
      <c r="C154" s="163">
        <v>16601</v>
      </c>
      <c r="D154" s="163">
        <v>16095</v>
      </c>
      <c r="E154" s="163">
        <v>4991</v>
      </c>
      <c r="F154" s="163">
        <v>13622</v>
      </c>
      <c r="G154" s="163">
        <v>13413</v>
      </c>
      <c r="H154" s="163">
        <v>15032</v>
      </c>
      <c r="I154" s="165">
        <f t="shared" ref="I154:I161" si="70">IFERROR(H154/G154-1,"-")</f>
        <v>0.12070379482591509</v>
      </c>
      <c r="J154" s="164">
        <f t="shared" si="67"/>
        <v>-6.6045355700528163E-2</v>
      </c>
      <c r="K154" s="163">
        <f t="shared" si="68"/>
        <v>1619</v>
      </c>
      <c r="L154" s="163">
        <f t="shared" si="69"/>
        <v>-1063</v>
      </c>
      <c r="M154" s="164">
        <f t="shared" si="66"/>
        <v>3.670264170144774E-3</v>
      </c>
    </row>
    <row r="155" spans="2:13" x14ac:dyDescent="0.25">
      <c r="B155" s="162" t="s">
        <v>113</v>
      </c>
      <c r="C155" s="163">
        <v>17045</v>
      </c>
      <c r="D155" s="163">
        <v>13744</v>
      </c>
      <c r="E155" s="163">
        <v>4466</v>
      </c>
      <c r="F155" s="163">
        <v>7583</v>
      </c>
      <c r="G155" s="163">
        <v>8235</v>
      </c>
      <c r="H155" s="163">
        <v>8751</v>
      </c>
      <c r="I155" s="165">
        <f t="shared" si="70"/>
        <v>6.2659380692167588E-2</v>
      </c>
      <c r="J155" s="164">
        <f t="shared" si="67"/>
        <v>-0.36328579743888245</v>
      </c>
      <c r="K155" s="163">
        <f t="shared" si="68"/>
        <v>516</v>
      </c>
      <c r="L155" s="163">
        <f t="shared" si="69"/>
        <v>-4993</v>
      </c>
      <c r="M155" s="164">
        <f t="shared" si="66"/>
        <v>2.1366738792533875E-3</v>
      </c>
    </row>
    <row r="156" spans="2:13" x14ac:dyDescent="0.25">
      <c r="B156" s="162" t="s">
        <v>116</v>
      </c>
      <c r="C156" s="163">
        <v>8437</v>
      </c>
      <c r="D156" s="163">
        <v>7759</v>
      </c>
      <c r="E156" s="163">
        <v>1966</v>
      </c>
      <c r="F156" s="163">
        <v>4576</v>
      </c>
      <c r="G156" s="163">
        <v>7060</v>
      </c>
      <c r="H156" s="163">
        <v>9021</v>
      </c>
      <c r="I156" s="165">
        <f t="shared" si="70"/>
        <v>0.27776203966005664</v>
      </c>
      <c r="J156" s="164">
        <f t="shared" si="67"/>
        <v>0.1626498260085063</v>
      </c>
      <c r="K156" s="163">
        <f t="shared" si="68"/>
        <v>1961</v>
      </c>
      <c r="L156" s="163">
        <f t="shared" si="69"/>
        <v>1262</v>
      </c>
      <c r="M156" s="164">
        <f t="shared" si="66"/>
        <v>2.2025979961998411E-3</v>
      </c>
    </row>
    <row r="157" spans="2:13" x14ac:dyDescent="0.25">
      <c r="B157" s="162" t="s">
        <v>123</v>
      </c>
      <c r="C157" s="163">
        <v>1004</v>
      </c>
      <c r="D157" s="163">
        <v>1096</v>
      </c>
      <c r="E157" s="163">
        <v>560</v>
      </c>
      <c r="F157" s="163">
        <v>1124</v>
      </c>
      <c r="G157" s="163">
        <v>1342</v>
      </c>
      <c r="H157" s="163">
        <v>2012</v>
      </c>
      <c r="I157" s="165">
        <f t="shared" si="70"/>
        <v>0.49925484351713867</v>
      </c>
      <c r="J157" s="164">
        <f t="shared" si="67"/>
        <v>0.83576642335766427</v>
      </c>
      <c r="K157" s="163">
        <f t="shared" si="68"/>
        <v>670</v>
      </c>
      <c r="L157" s="163">
        <f t="shared" si="69"/>
        <v>916</v>
      </c>
      <c r="M157" s="164">
        <f t="shared" si="66"/>
        <v>4.9125675294912755E-4</v>
      </c>
    </row>
    <row r="158" spans="2:13" x14ac:dyDescent="0.25">
      <c r="B158" s="162" t="s">
        <v>119</v>
      </c>
      <c r="C158" s="163">
        <v>1709</v>
      </c>
      <c r="D158" s="163">
        <v>2321</v>
      </c>
      <c r="E158" s="163">
        <v>1056</v>
      </c>
      <c r="F158" s="163">
        <v>2299</v>
      </c>
      <c r="G158" s="163">
        <v>2224</v>
      </c>
      <c r="H158" s="163">
        <v>2688</v>
      </c>
      <c r="I158" s="165">
        <f t="shared" si="70"/>
        <v>0.20863309352517989</v>
      </c>
      <c r="J158" s="164">
        <f t="shared" si="67"/>
        <v>0.15812149935372677</v>
      </c>
      <c r="K158" s="163">
        <f t="shared" si="68"/>
        <v>464</v>
      </c>
      <c r="L158" s="163">
        <f t="shared" si="69"/>
        <v>367</v>
      </c>
      <c r="M158" s="164">
        <f t="shared" si="66"/>
        <v>6.5631120871135931E-4</v>
      </c>
    </row>
    <row r="159" spans="2:13" x14ac:dyDescent="0.25">
      <c r="B159" s="162" t="s">
        <v>128</v>
      </c>
      <c r="C159" s="163">
        <v>307</v>
      </c>
      <c r="D159" s="163">
        <v>369</v>
      </c>
      <c r="E159" s="163">
        <v>339</v>
      </c>
      <c r="F159" s="163">
        <v>293</v>
      </c>
      <c r="G159" s="163">
        <v>425</v>
      </c>
      <c r="H159" s="163">
        <v>306</v>
      </c>
      <c r="I159" s="165">
        <f t="shared" si="70"/>
        <v>-0.28000000000000003</v>
      </c>
      <c r="J159" s="164">
        <f t="shared" si="67"/>
        <v>-0.17073170731707321</v>
      </c>
      <c r="K159" s="163">
        <f t="shared" si="68"/>
        <v>-119</v>
      </c>
      <c r="L159" s="163">
        <f t="shared" si="69"/>
        <v>-63</v>
      </c>
      <c r="M159" s="164">
        <f t="shared" si="66"/>
        <v>7.4713999205980639E-5</v>
      </c>
    </row>
    <row r="160" spans="2:13" x14ac:dyDescent="0.25">
      <c r="B160" s="162" t="s">
        <v>131</v>
      </c>
      <c r="C160" s="163">
        <v>786</v>
      </c>
      <c r="D160" s="163">
        <v>631</v>
      </c>
      <c r="E160" s="163">
        <v>420</v>
      </c>
      <c r="F160" s="163">
        <v>405</v>
      </c>
      <c r="G160" s="163">
        <v>565</v>
      </c>
      <c r="H160" s="163">
        <v>504</v>
      </c>
      <c r="I160" s="165">
        <f t="shared" si="70"/>
        <v>-0.10796460176991152</v>
      </c>
      <c r="J160" s="164">
        <f t="shared" si="67"/>
        <v>-0.20126782884310623</v>
      </c>
      <c r="K160" s="163">
        <f t="shared" si="68"/>
        <v>-61</v>
      </c>
      <c r="L160" s="163">
        <f t="shared" si="69"/>
        <v>-127</v>
      </c>
      <c r="M160" s="164">
        <f t="shared" si="66"/>
        <v>1.2305835163337988E-4</v>
      </c>
    </row>
    <row r="161" spans="2:13" x14ac:dyDescent="0.25">
      <c r="B161" s="168" t="s">
        <v>145</v>
      </c>
      <c r="C161" s="169">
        <f t="shared" ref="C161:H161" si="71">C153-SUM(C154:C160)</f>
        <v>10130</v>
      </c>
      <c r="D161" s="169">
        <f t="shared" si="71"/>
        <v>11086</v>
      </c>
      <c r="E161" s="169">
        <f t="shared" si="71"/>
        <v>3860</v>
      </c>
      <c r="F161" s="169">
        <f t="shared" si="71"/>
        <v>7385</v>
      </c>
      <c r="G161" s="169">
        <f t="shared" si="71"/>
        <v>9813</v>
      </c>
      <c r="H161" s="169">
        <f t="shared" si="71"/>
        <v>13322</v>
      </c>
      <c r="I161" s="171">
        <f t="shared" si="70"/>
        <v>0.35758687455416283</v>
      </c>
      <c r="J161" s="170">
        <f t="shared" si="67"/>
        <v>0.20169583258163448</v>
      </c>
      <c r="K161" s="169">
        <f>H161-G161</f>
        <v>3509</v>
      </c>
      <c r="L161" s="169">
        <f t="shared" si="69"/>
        <v>2236</v>
      </c>
      <c r="M161" s="170">
        <f t="shared" si="66"/>
        <v>3.2527447628172353E-3</v>
      </c>
    </row>
    <row r="162" spans="2:13" x14ac:dyDescent="0.25">
      <c r="C162" s="79"/>
      <c r="D162" s="79"/>
      <c r="E162" s="79"/>
      <c r="F162" s="79"/>
      <c r="G162" s="79"/>
      <c r="H162" s="79"/>
      <c r="I162" s="79"/>
    </row>
    <row r="163" spans="2:13" x14ac:dyDescent="0.25">
      <c r="B163" s="105" t="s">
        <v>55</v>
      </c>
      <c r="C163" s="105"/>
      <c r="D163" s="105"/>
      <c r="E163" s="105"/>
      <c r="F163" s="105"/>
      <c r="G163" s="105"/>
      <c r="H163" s="105"/>
      <c r="I163" s="105"/>
      <c r="J163" s="105"/>
      <c r="K163" s="105"/>
      <c r="L163" s="105"/>
      <c r="M163" s="105"/>
    </row>
  </sheetData>
  <mergeCells count="3">
    <mergeCell ref="B4:J4"/>
    <mergeCell ref="C6:M6"/>
    <mergeCell ref="Q6:AA6"/>
  </mergeCells>
  <pageMargins left="0.25" right="0.25" top="0.75" bottom="0.75" header="0.3" footer="0.3"/>
  <pageSetup paperSize="9" scale="88" orientation="landscape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4DFC9A-58A1-416E-8513-33EE19E88D27}">
  <sheetPr>
    <tabColor theme="7" tint="0.79998168889431442"/>
    <pageSetUpPr fitToPage="1"/>
  </sheetPr>
  <dimension ref="A1:AA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  <col min="15" max="27" width="0" hidden="1" customWidth="1"/>
  </cols>
  <sheetData>
    <row r="1" spans="1:27" ht="42.75" customHeight="1" x14ac:dyDescent="0.25"/>
    <row r="4" spans="1:27" ht="42" customHeight="1" thickBot="1" x14ac:dyDescent="0.3">
      <c r="B4" s="270" t="str">
        <f>CONCATENATE("Viajeros entrados en los hoteles de Tenerife según lugar de residencia y municipio de alojamiento")</f>
        <v>Viajeros entrados en los hoteles de Tenerife según lugar de residencia y municipio de alojamiento</v>
      </c>
      <c r="C4" s="270"/>
      <c r="D4" s="270"/>
      <c r="E4" s="270"/>
      <c r="F4" s="270"/>
      <c r="G4" s="270"/>
      <c r="H4" s="270"/>
      <c r="I4" s="270"/>
      <c r="J4" s="270"/>
      <c r="K4" s="142"/>
      <c r="L4" s="142"/>
      <c r="M4" s="142"/>
      <c r="P4" s="141" t="s">
        <v>267</v>
      </c>
      <c r="Q4" s="142"/>
      <c r="R4" s="142"/>
      <c r="S4" s="142"/>
      <c r="T4" s="142"/>
      <c r="U4" s="142"/>
      <c r="V4" s="142"/>
      <c r="W4" s="142"/>
      <c r="X4" s="142"/>
      <c r="Y4" s="142"/>
      <c r="Z4" s="142"/>
      <c r="AA4" s="142"/>
    </row>
    <row r="5" spans="1:27" ht="6" customHeight="1" x14ac:dyDescent="0.25"/>
    <row r="6" spans="1:27" ht="15.75" x14ac:dyDescent="0.25">
      <c r="B6" s="143"/>
      <c r="C6" s="302" t="s">
        <v>43</v>
      </c>
      <c r="D6" s="303"/>
      <c r="E6" s="303"/>
      <c r="F6" s="303"/>
      <c r="G6" s="303"/>
      <c r="H6" s="303"/>
      <c r="I6" s="303"/>
      <c r="J6" s="303"/>
      <c r="K6" s="303"/>
      <c r="L6" s="303"/>
      <c r="M6" s="303"/>
      <c r="P6" s="143"/>
      <c r="Q6" s="302" t="s">
        <v>43</v>
      </c>
      <c r="R6" s="303"/>
      <c r="S6" s="303"/>
      <c r="T6" s="303"/>
      <c r="U6" s="303"/>
      <c r="V6" s="303"/>
      <c r="W6" s="303"/>
      <c r="X6" s="303"/>
      <c r="Y6" s="303"/>
      <c r="Z6" s="303"/>
      <c r="AA6" s="303"/>
    </row>
    <row r="7" spans="1:27" s="144" customFormat="1" ht="72" customHeight="1" x14ac:dyDescent="0.25">
      <c r="B7" s="145"/>
      <c r="C7" s="172" t="s">
        <v>261</v>
      </c>
      <c r="D7" s="172" t="s">
        <v>262</v>
      </c>
      <c r="E7" s="172" t="s">
        <v>263</v>
      </c>
      <c r="F7" s="172" t="s">
        <v>264</v>
      </c>
      <c r="G7" s="172" t="s">
        <v>265</v>
      </c>
      <c r="H7" s="172" t="s">
        <v>266</v>
      </c>
      <c r="I7" s="173" t="str">
        <f>CONCATENATE("var. ",RIGHT(H7,2),"/",RIGHT(G7,2))</f>
        <v>var. 24/23</v>
      </c>
      <c r="J7" s="173" t="str">
        <f>CONCATENATE("var. ",RIGHT(H7,2),"/",RIGHT(D7,2))</f>
        <v>var. 24/19</v>
      </c>
      <c r="K7" s="172" t="str">
        <f>CONCATENATE("dif. ",RIGHT(H7,2),"/",RIGHT(G7,2))</f>
        <v>dif. 24/23</v>
      </c>
      <c r="L7" s="172" t="str">
        <f>CONCATENATE("dif. ",RIGHT(H7,2),"/",RIGHT(D7,2))</f>
        <v>dif. 24/19</v>
      </c>
      <c r="M7" s="173" t="str">
        <f>CONCATENATE("Cuota s/ total lugares de residencia ",RIGHT(H7,4))</f>
        <v>Cuota s/ total lugares de residencia 2024</v>
      </c>
      <c r="P7" s="145"/>
      <c r="Q7" s="172" t="s">
        <v>261</v>
      </c>
      <c r="R7" s="172" t="s">
        <v>262</v>
      </c>
      <c r="S7" s="172" t="s">
        <v>263</v>
      </c>
      <c r="T7" s="172" t="s">
        <v>264</v>
      </c>
      <c r="U7" s="172" t="s">
        <v>265</v>
      </c>
      <c r="V7" s="172" t="s">
        <v>266</v>
      </c>
      <c r="W7" s="173" t="str">
        <f>CONCATENATE("var. ",RIGHT(V7,2),"/",RIGHT(U7,2))</f>
        <v>var. 24/23</v>
      </c>
      <c r="X7" s="173" t="str">
        <f>CONCATENATE("var. ",RIGHT(V7,2),"/",RIGHT(R7,2))</f>
        <v>var. 24/19</v>
      </c>
      <c r="Y7" s="172" t="str">
        <f>CONCATENATE("dif. ",RIGHT(V7,2),"/",RIGHT(U7,2))</f>
        <v>dif. 24/23</v>
      </c>
      <c r="Z7" s="172" t="str">
        <f>CONCATENATE("dif. ",RIGHT(V7,2),"/",RIGHT(R7,2))</f>
        <v>dif. 24/19</v>
      </c>
      <c r="AA7" s="173" t="str">
        <f>CONCATENATE("Cuota s/ total lugares de residencia ",RIGHT(V7,4))</f>
        <v>Cuota s/ total lugares de residencia 2024</v>
      </c>
    </row>
    <row r="8" spans="1:27" x14ac:dyDescent="0.25">
      <c r="A8" s="1"/>
      <c r="B8" s="150" t="s">
        <v>43</v>
      </c>
      <c r="C8" s="151"/>
      <c r="D8" s="151"/>
      <c r="E8" s="151"/>
      <c r="F8" s="151"/>
      <c r="G8" s="151"/>
      <c r="H8" s="152"/>
      <c r="I8" s="152"/>
      <c r="J8" s="152"/>
      <c r="K8" s="152"/>
      <c r="L8" s="151"/>
      <c r="M8" s="151"/>
      <c r="P8" s="153" t="s">
        <v>49</v>
      </c>
      <c r="Q8" s="151"/>
      <c r="R8" s="151"/>
      <c r="S8" s="151"/>
      <c r="T8" s="151"/>
      <c r="U8" s="151"/>
      <c r="V8" s="152"/>
      <c r="W8" s="152"/>
      <c r="X8" s="152"/>
      <c r="Y8" s="152"/>
      <c r="Z8" s="151"/>
      <c r="AA8" s="151"/>
    </row>
    <row r="9" spans="1:27" x14ac:dyDescent="0.25">
      <c r="A9" s="1" t="s">
        <v>96</v>
      </c>
      <c r="B9" s="154" t="s">
        <v>68</v>
      </c>
      <c r="C9" s="176">
        <f>C10+C13</f>
        <v>2634143</v>
      </c>
      <c r="D9" s="176">
        <f t="shared" ref="D9:H9" si="0">D10+D13</f>
        <v>2653036</v>
      </c>
      <c r="E9" s="176">
        <f t="shared" si="0"/>
        <v>1002314</v>
      </c>
      <c r="F9" s="176">
        <f t="shared" si="0"/>
        <v>2770259</v>
      </c>
      <c r="G9" s="176">
        <f t="shared" si="0"/>
        <v>3031978</v>
      </c>
      <c r="H9" s="176">
        <f t="shared" si="0"/>
        <v>3198024</v>
      </c>
      <c r="I9" s="177">
        <f>IFERROR(H9/G9-1,"-")</f>
        <v>5.4764909244064519E-2</v>
      </c>
      <c r="J9" s="177">
        <f>IFERROR(H9/D9-1,"-")</f>
        <v>0.20542050692112723</v>
      </c>
      <c r="K9" s="176">
        <f>H9-G9</f>
        <v>166046</v>
      </c>
      <c r="L9" s="176">
        <f>H9-D9</f>
        <v>544988</v>
      </c>
      <c r="M9" s="177">
        <f t="shared" ref="M9:M21" si="1">H9/H$9</f>
        <v>1</v>
      </c>
      <c r="P9" s="154" t="s">
        <v>68</v>
      </c>
      <c r="Q9" s="176">
        <f>Q10+Q13</f>
        <v>38635</v>
      </c>
      <c r="R9" s="176">
        <f t="shared" ref="R9:V9" si="2">R10+R13</f>
        <v>39423</v>
      </c>
      <c r="S9" s="176">
        <f t="shared" si="2"/>
        <v>17295</v>
      </c>
      <c r="T9" s="176">
        <f t="shared" si="2"/>
        <v>37456</v>
      </c>
      <c r="U9" s="176">
        <f t="shared" si="2"/>
        <v>44189</v>
      </c>
      <c r="V9" s="176">
        <f t="shared" si="2"/>
        <v>41777</v>
      </c>
      <c r="W9" s="177">
        <f>IFERROR(V9/U9-1,"-")</f>
        <v>-5.4583719930299424E-2</v>
      </c>
      <c r="X9" s="177">
        <f>IFERROR(V9/R9-1,"-")</f>
        <v>5.9711336022119088E-2</v>
      </c>
      <c r="Y9" s="176">
        <f>V9-U9</f>
        <v>-2412</v>
      </c>
      <c r="Z9" s="176">
        <f>V9-R9</f>
        <v>2354</v>
      </c>
      <c r="AA9" s="177">
        <f t="shared" ref="AA9:AA21" si="3">V9/V$9</f>
        <v>1</v>
      </c>
    </row>
    <row r="10" spans="1:27" x14ac:dyDescent="0.25">
      <c r="A10" s="161" t="s">
        <v>103</v>
      </c>
      <c r="B10" s="157" t="s">
        <v>97</v>
      </c>
      <c r="C10" s="158">
        <v>656883</v>
      </c>
      <c r="D10" s="158">
        <v>670158</v>
      </c>
      <c r="E10" s="158">
        <v>291851</v>
      </c>
      <c r="F10" s="158">
        <v>674079</v>
      </c>
      <c r="G10" s="158">
        <v>697698</v>
      </c>
      <c r="H10" s="158">
        <v>694742</v>
      </c>
      <c r="I10" s="160">
        <f>IFERROR(H10/G10-1,"-")</f>
        <v>-4.2367901298269173E-3</v>
      </c>
      <c r="J10" s="159">
        <f t="shared" ref="J10:J21" si="4">IFERROR(H10/D10-1,"-")</f>
        <v>3.6683886486470252E-2</v>
      </c>
      <c r="K10" s="157">
        <f t="shared" ref="K10:K20" si="5">H10-G10</f>
        <v>-2956</v>
      </c>
      <c r="L10" s="158">
        <f t="shared" ref="L10:L21" si="6">H10-D10</f>
        <v>24584</v>
      </c>
      <c r="M10" s="159">
        <f t="shared" si="1"/>
        <v>0.21724102133067169</v>
      </c>
      <c r="P10" s="157" t="s">
        <v>97</v>
      </c>
      <c r="Q10" s="158">
        <v>24706</v>
      </c>
      <c r="R10" s="158">
        <v>26258</v>
      </c>
      <c r="S10" s="158">
        <v>11031</v>
      </c>
      <c r="T10" s="158">
        <v>24786</v>
      </c>
      <c r="U10" s="158">
        <v>29860</v>
      </c>
      <c r="V10" s="158">
        <v>26153</v>
      </c>
      <c r="W10" s="160">
        <f>IFERROR(V10/U10-1,"-")</f>
        <v>-0.12414601473543196</v>
      </c>
      <c r="X10" s="159">
        <f t="shared" ref="X10:X21" si="7">IFERROR(V10/R10-1,"-")</f>
        <v>-3.9987813237870595E-3</v>
      </c>
      <c r="Y10" s="157">
        <f t="shared" ref="Y10:Y20" si="8">V10-U10</f>
        <v>-3707</v>
      </c>
      <c r="Z10" s="158">
        <f t="shared" ref="Z10:Z21" si="9">V10-R10</f>
        <v>-105</v>
      </c>
      <c r="AA10" s="159">
        <f t="shared" si="3"/>
        <v>0.62601431409627306</v>
      </c>
    </row>
    <row r="11" spans="1:27" x14ac:dyDescent="0.25">
      <c r="A11" s="161" t="s">
        <v>100</v>
      </c>
      <c r="B11" s="162" t="s">
        <v>103</v>
      </c>
      <c r="C11" s="163">
        <v>253155</v>
      </c>
      <c r="D11" s="163">
        <v>243301</v>
      </c>
      <c r="E11" s="163">
        <v>107552</v>
      </c>
      <c r="F11" s="163">
        <v>265673</v>
      </c>
      <c r="G11" s="163">
        <v>273504</v>
      </c>
      <c r="H11" s="163">
        <v>269639</v>
      </c>
      <c r="I11" s="165">
        <f>IFERROR(H11/G11-1,"-")</f>
        <v>-1.4131420381420345E-2</v>
      </c>
      <c r="J11" s="164">
        <f t="shared" si="4"/>
        <v>0.10825274043263278</v>
      </c>
      <c r="K11" s="162">
        <f t="shared" si="5"/>
        <v>-3865</v>
      </c>
      <c r="L11" s="163">
        <f t="shared" si="6"/>
        <v>26338</v>
      </c>
      <c r="M11" s="164">
        <f t="shared" si="1"/>
        <v>8.4314251550332328E-2</v>
      </c>
      <c r="P11" s="162" t="s">
        <v>103</v>
      </c>
      <c r="Q11" s="163">
        <v>12054</v>
      </c>
      <c r="R11" s="163">
        <v>12910</v>
      </c>
      <c r="S11" s="163">
        <v>5930</v>
      </c>
      <c r="T11" s="163">
        <v>11891</v>
      </c>
      <c r="U11" s="163">
        <v>9535</v>
      </c>
      <c r="V11" s="163">
        <v>8202</v>
      </c>
      <c r="W11" s="165">
        <f>IFERROR(V11/U11-1,"-")</f>
        <v>-0.13980073413738858</v>
      </c>
      <c r="X11" s="164">
        <f t="shared" si="7"/>
        <v>-0.36467854376452358</v>
      </c>
      <c r="Y11" s="162">
        <f t="shared" si="8"/>
        <v>-1333</v>
      </c>
      <c r="Z11" s="163">
        <f t="shared" si="9"/>
        <v>-4708</v>
      </c>
      <c r="AA11" s="164">
        <f>V11/V$9</f>
        <v>0.19632812312995188</v>
      </c>
    </row>
    <row r="12" spans="1:27" x14ac:dyDescent="0.25">
      <c r="A12" s="1"/>
      <c r="B12" s="162" t="s">
        <v>100</v>
      </c>
      <c r="C12" s="163">
        <v>403728</v>
      </c>
      <c r="D12" s="163">
        <v>426857</v>
      </c>
      <c r="E12" s="163">
        <v>184299</v>
      </c>
      <c r="F12" s="163">
        <v>408406</v>
      </c>
      <c r="G12" s="163">
        <v>424194</v>
      </c>
      <c r="H12" s="163">
        <v>425103</v>
      </c>
      <c r="I12" s="165">
        <f>IFERROR(H12/G12-1,"-")</f>
        <v>2.1428874524391794E-3</v>
      </c>
      <c r="J12" s="164">
        <f t="shared" si="4"/>
        <v>-4.1091044541848865E-3</v>
      </c>
      <c r="K12" s="162">
        <f t="shared" si="5"/>
        <v>909</v>
      </c>
      <c r="L12" s="163">
        <f t="shared" si="6"/>
        <v>-1754</v>
      </c>
      <c r="M12" s="164">
        <f t="shared" si="1"/>
        <v>0.13292676978033935</v>
      </c>
      <c r="P12" s="162" t="s">
        <v>100</v>
      </c>
      <c r="Q12" s="163">
        <v>12652</v>
      </c>
      <c r="R12" s="163">
        <v>13348</v>
      </c>
      <c r="S12" s="163">
        <v>5101</v>
      </c>
      <c r="T12" s="163">
        <v>12895</v>
      </c>
      <c r="U12" s="163">
        <v>20325</v>
      </c>
      <c r="V12" s="163">
        <v>17951</v>
      </c>
      <c r="W12" s="165">
        <f>IFERROR(V12/U12-1,"-")</f>
        <v>-0.11680196801968024</v>
      </c>
      <c r="X12" s="164">
        <f t="shared" si="7"/>
        <v>0.34484566976326048</v>
      </c>
      <c r="Y12" s="162">
        <f t="shared" si="8"/>
        <v>-2374</v>
      </c>
      <c r="Z12" s="163">
        <f t="shared" si="9"/>
        <v>4603</v>
      </c>
      <c r="AA12" s="164">
        <f t="shared" si="3"/>
        <v>0.42968619096632116</v>
      </c>
    </row>
    <row r="13" spans="1:27" s="56" customFormat="1" x14ac:dyDescent="0.25">
      <c r="B13" s="157" t="s">
        <v>107</v>
      </c>
      <c r="C13" s="158">
        <v>1977260</v>
      </c>
      <c r="D13" s="158">
        <v>1982878</v>
      </c>
      <c r="E13" s="158">
        <v>710463</v>
      </c>
      <c r="F13" s="158">
        <v>2096180</v>
      </c>
      <c r="G13" s="158">
        <v>2334280</v>
      </c>
      <c r="H13" s="158">
        <v>2503282</v>
      </c>
      <c r="I13" s="160">
        <f>IFERROR(H13/G13-1,"-")</f>
        <v>7.2400054834895533E-2</v>
      </c>
      <c r="J13" s="159">
        <f t="shared" si="4"/>
        <v>0.26244882438556472</v>
      </c>
      <c r="K13" s="157">
        <f t="shared" si="5"/>
        <v>169002</v>
      </c>
      <c r="L13" s="158">
        <f t="shared" si="6"/>
        <v>520404</v>
      </c>
      <c r="M13" s="159">
        <f t="shared" si="1"/>
        <v>0.78275897866932831</v>
      </c>
      <c r="P13" s="157" t="s">
        <v>107</v>
      </c>
      <c r="Q13" s="158">
        <v>13929</v>
      </c>
      <c r="R13" s="158">
        <v>13165</v>
      </c>
      <c r="S13" s="158">
        <v>6264</v>
      </c>
      <c r="T13" s="158">
        <v>12670</v>
      </c>
      <c r="U13" s="158">
        <v>14329</v>
      </c>
      <c r="V13" s="158">
        <v>15624</v>
      </c>
      <c r="W13" s="160">
        <f>IFERROR(V13/U13-1,"-")</f>
        <v>9.0376160234489467E-2</v>
      </c>
      <c r="X13" s="159">
        <f t="shared" si="7"/>
        <v>0.18678313710596273</v>
      </c>
      <c r="Y13" s="157">
        <f t="shared" si="8"/>
        <v>1295</v>
      </c>
      <c r="Z13" s="158">
        <f t="shared" si="9"/>
        <v>2459</v>
      </c>
      <c r="AA13" s="159">
        <f t="shared" si="3"/>
        <v>0.37398568590372694</v>
      </c>
    </row>
    <row r="14" spans="1:27" s="56" customFormat="1" x14ac:dyDescent="0.25">
      <c r="B14" s="162" t="s">
        <v>110</v>
      </c>
      <c r="C14" s="163">
        <v>806885</v>
      </c>
      <c r="D14" s="163">
        <v>859075</v>
      </c>
      <c r="E14" s="163">
        <v>267043</v>
      </c>
      <c r="F14" s="163">
        <v>969789</v>
      </c>
      <c r="G14" s="163">
        <v>1080799</v>
      </c>
      <c r="H14" s="163">
        <v>1149527</v>
      </c>
      <c r="I14" s="165">
        <f t="shared" ref="I14:I21" si="10">IFERROR(H14/G14-1,"-")</f>
        <v>6.3589992218719749E-2</v>
      </c>
      <c r="J14" s="164">
        <f t="shared" si="4"/>
        <v>0.33809853621627917</v>
      </c>
      <c r="K14" s="162">
        <f t="shared" si="5"/>
        <v>68728</v>
      </c>
      <c r="L14" s="163">
        <f t="shared" si="6"/>
        <v>290452</v>
      </c>
      <c r="M14" s="164">
        <f t="shared" si="1"/>
        <v>0.35944914734848771</v>
      </c>
      <c r="P14" s="162" t="s">
        <v>110</v>
      </c>
      <c r="Q14" s="163">
        <v>1655</v>
      </c>
      <c r="R14" s="163">
        <v>1768</v>
      </c>
      <c r="S14" s="163">
        <v>1042</v>
      </c>
      <c r="T14" s="163">
        <v>1661</v>
      </c>
      <c r="U14" s="163">
        <v>2018</v>
      </c>
      <c r="V14" s="163">
        <v>2246</v>
      </c>
      <c r="W14" s="165">
        <f t="shared" ref="W14:W21" si="11">IFERROR(V14/U14-1,"-")</f>
        <v>0.11298315163528239</v>
      </c>
      <c r="X14" s="164">
        <f t="shared" si="7"/>
        <v>0.27036199095022617</v>
      </c>
      <c r="Y14" s="162">
        <f t="shared" si="8"/>
        <v>228</v>
      </c>
      <c r="Z14" s="163">
        <f t="shared" si="9"/>
        <v>478</v>
      </c>
      <c r="AA14" s="164">
        <f t="shared" si="3"/>
        <v>5.3761639179452807E-2</v>
      </c>
    </row>
    <row r="15" spans="1:27" x14ac:dyDescent="0.25">
      <c r="A15" s="1"/>
      <c r="B15" s="162" t="s">
        <v>113</v>
      </c>
      <c r="C15" s="163">
        <v>355809</v>
      </c>
      <c r="D15" s="163">
        <v>306158</v>
      </c>
      <c r="E15" s="163">
        <v>102940</v>
      </c>
      <c r="F15" s="163">
        <v>234445</v>
      </c>
      <c r="G15" s="163">
        <v>268942</v>
      </c>
      <c r="H15" s="163">
        <v>277141</v>
      </c>
      <c r="I15" s="165">
        <f t="shared" si="10"/>
        <v>3.0486127120345596E-2</v>
      </c>
      <c r="J15" s="164">
        <f t="shared" si="4"/>
        <v>-9.4777859797882114E-2</v>
      </c>
      <c r="K15" s="162">
        <f t="shared" si="5"/>
        <v>8199</v>
      </c>
      <c r="L15" s="163">
        <f t="shared" si="6"/>
        <v>-29017</v>
      </c>
      <c r="M15" s="164">
        <f t="shared" si="1"/>
        <v>8.6660075096372011E-2</v>
      </c>
      <c r="P15" s="162" t="s">
        <v>113</v>
      </c>
      <c r="Q15" s="163">
        <v>3049</v>
      </c>
      <c r="R15" s="163">
        <v>2593</v>
      </c>
      <c r="S15" s="163">
        <v>1199</v>
      </c>
      <c r="T15" s="163">
        <v>2396</v>
      </c>
      <c r="U15" s="163">
        <v>2589</v>
      </c>
      <c r="V15" s="163">
        <v>3010</v>
      </c>
      <c r="W15" s="165">
        <f t="shared" si="11"/>
        <v>0.16261104673619164</v>
      </c>
      <c r="X15" s="164">
        <f t="shared" si="7"/>
        <v>0.16081758580794436</v>
      </c>
      <c r="Y15" s="162">
        <f t="shared" si="8"/>
        <v>421</v>
      </c>
      <c r="Z15" s="163">
        <f t="shared" si="9"/>
        <v>417</v>
      </c>
      <c r="AA15" s="164">
        <f t="shared" si="3"/>
        <v>7.2049213682169613E-2</v>
      </c>
    </row>
    <row r="16" spans="1:27" x14ac:dyDescent="0.25">
      <c r="A16" s="1"/>
      <c r="B16" s="162" t="s">
        <v>116</v>
      </c>
      <c r="C16" s="163">
        <v>101854</v>
      </c>
      <c r="D16" s="163">
        <v>105696</v>
      </c>
      <c r="E16" s="163">
        <v>39450</v>
      </c>
      <c r="F16" s="163">
        <v>120986</v>
      </c>
      <c r="G16" s="163">
        <v>131977</v>
      </c>
      <c r="H16" s="163">
        <v>145390</v>
      </c>
      <c r="I16" s="165">
        <f t="shared" si="10"/>
        <v>0.10163134485554304</v>
      </c>
      <c r="J16" s="164">
        <f t="shared" si="4"/>
        <v>0.37554874356645485</v>
      </c>
      <c r="K16" s="162">
        <f t="shared" si="5"/>
        <v>13413</v>
      </c>
      <c r="L16" s="163">
        <f t="shared" si="6"/>
        <v>39694</v>
      </c>
      <c r="M16" s="164">
        <f t="shared" si="1"/>
        <v>4.5462448061678089E-2</v>
      </c>
      <c r="P16" s="162" t="s">
        <v>116</v>
      </c>
      <c r="Q16" s="163">
        <v>3051</v>
      </c>
      <c r="R16" s="163">
        <v>2809</v>
      </c>
      <c r="S16" s="163">
        <v>1494</v>
      </c>
      <c r="T16" s="163">
        <v>2543</v>
      </c>
      <c r="U16" s="163">
        <v>2839</v>
      </c>
      <c r="V16" s="163">
        <v>2752</v>
      </c>
      <c r="W16" s="165">
        <f t="shared" si="11"/>
        <v>-3.0644593166607947E-2</v>
      </c>
      <c r="X16" s="164">
        <f t="shared" si="7"/>
        <v>-2.0291918832324618E-2</v>
      </c>
      <c r="Y16" s="162">
        <f t="shared" si="8"/>
        <v>-87</v>
      </c>
      <c r="Z16" s="163">
        <f t="shared" si="9"/>
        <v>-57</v>
      </c>
      <c r="AA16" s="164">
        <f t="shared" si="3"/>
        <v>6.5873566795126501E-2</v>
      </c>
    </row>
    <row r="17" spans="1:27" x14ac:dyDescent="0.25">
      <c r="A17" s="1"/>
      <c r="B17" s="162" t="s">
        <v>123</v>
      </c>
      <c r="C17" s="163">
        <v>75895</v>
      </c>
      <c r="D17" s="163">
        <v>68092</v>
      </c>
      <c r="E17" s="163">
        <v>25260</v>
      </c>
      <c r="F17" s="163">
        <v>95676</v>
      </c>
      <c r="G17" s="163">
        <v>87162</v>
      </c>
      <c r="H17" s="163">
        <v>94713</v>
      </c>
      <c r="I17" s="165">
        <f t="shared" si="10"/>
        <v>8.6631789082398214E-2</v>
      </c>
      <c r="J17" s="164">
        <f t="shared" si="4"/>
        <v>0.39095635316924171</v>
      </c>
      <c r="K17" s="162">
        <f t="shared" si="5"/>
        <v>7551</v>
      </c>
      <c r="L17" s="163">
        <f t="shared" si="6"/>
        <v>26621</v>
      </c>
      <c r="M17" s="164">
        <f t="shared" si="1"/>
        <v>2.9616100442022949E-2</v>
      </c>
      <c r="P17" s="162" t="s">
        <v>123</v>
      </c>
      <c r="Q17" s="163">
        <v>392</v>
      </c>
      <c r="R17" s="163">
        <v>442</v>
      </c>
      <c r="S17" s="163">
        <v>280</v>
      </c>
      <c r="T17" s="163">
        <v>886</v>
      </c>
      <c r="U17" s="163">
        <v>646</v>
      </c>
      <c r="V17" s="163">
        <v>701</v>
      </c>
      <c r="W17" s="165">
        <f t="shared" si="11"/>
        <v>8.5139318885449011E-2</v>
      </c>
      <c r="X17" s="164">
        <f t="shared" si="7"/>
        <v>0.58597285067873295</v>
      </c>
      <c r="Y17" s="162">
        <f t="shared" si="8"/>
        <v>55</v>
      </c>
      <c r="Z17" s="163">
        <f t="shared" si="9"/>
        <v>259</v>
      </c>
      <c r="AA17" s="164">
        <f t="shared" si="3"/>
        <v>1.6779567704717908E-2</v>
      </c>
    </row>
    <row r="18" spans="1:27" x14ac:dyDescent="0.25">
      <c r="A18" s="1"/>
      <c r="B18" s="162" t="s">
        <v>119</v>
      </c>
      <c r="C18" s="163">
        <v>88674</v>
      </c>
      <c r="D18" s="163">
        <v>87602</v>
      </c>
      <c r="E18" s="163">
        <v>42174</v>
      </c>
      <c r="F18" s="163">
        <v>95385</v>
      </c>
      <c r="G18" s="163">
        <v>97352</v>
      </c>
      <c r="H18" s="163">
        <v>102779</v>
      </c>
      <c r="I18" s="165">
        <f t="shared" si="10"/>
        <v>5.5746158271016588E-2</v>
      </c>
      <c r="J18" s="164">
        <f t="shared" si="4"/>
        <v>0.17324946919020112</v>
      </c>
      <c r="K18" s="162">
        <f t="shared" si="5"/>
        <v>5427</v>
      </c>
      <c r="L18" s="163">
        <f t="shared" si="6"/>
        <v>15177</v>
      </c>
      <c r="M18" s="164">
        <f t="shared" si="1"/>
        <v>3.2138282889684379E-2</v>
      </c>
      <c r="P18" s="162" t="s">
        <v>119</v>
      </c>
      <c r="Q18" s="163">
        <v>331</v>
      </c>
      <c r="R18" s="163">
        <v>373</v>
      </c>
      <c r="S18" s="163">
        <v>217</v>
      </c>
      <c r="T18" s="163">
        <v>523</v>
      </c>
      <c r="U18" s="163">
        <v>426</v>
      </c>
      <c r="V18" s="163">
        <v>639</v>
      </c>
      <c r="W18" s="165">
        <f t="shared" si="11"/>
        <v>0.5</v>
      </c>
      <c r="X18" s="164">
        <f t="shared" si="7"/>
        <v>0.71313672922252014</v>
      </c>
      <c r="Y18" s="162">
        <f t="shared" si="8"/>
        <v>213</v>
      </c>
      <c r="Z18" s="163">
        <f t="shared" si="9"/>
        <v>266</v>
      </c>
      <c r="AA18" s="164">
        <f t="shared" si="3"/>
        <v>1.5295497522560261E-2</v>
      </c>
    </row>
    <row r="19" spans="1:27" x14ac:dyDescent="0.25">
      <c r="A19" s="161" t="s">
        <v>144</v>
      </c>
      <c r="B19" s="162" t="s">
        <v>128</v>
      </c>
      <c r="C19" s="163">
        <v>28157</v>
      </c>
      <c r="D19" s="163">
        <v>31482</v>
      </c>
      <c r="E19" s="163">
        <v>18088</v>
      </c>
      <c r="F19" s="163">
        <v>24723</v>
      </c>
      <c r="G19" s="163">
        <v>30854</v>
      </c>
      <c r="H19" s="163">
        <v>28123</v>
      </c>
      <c r="I19" s="165">
        <f t="shared" si="10"/>
        <v>-8.8513644908277733E-2</v>
      </c>
      <c r="J19" s="164">
        <f t="shared" si="4"/>
        <v>-0.10669588971475763</v>
      </c>
      <c r="K19" s="162">
        <f t="shared" si="5"/>
        <v>-2731</v>
      </c>
      <c r="L19" s="163">
        <f t="shared" si="6"/>
        <v>-3359</v>
      </c>
      <c r="M19" s="164">
        <f t="shared" si="1"/>
        <v>8.7938677133129715E-3</v>
      </c>
      <c r="P19" s="162" t="s">
        <v>128</v>
      </c>
      <c r="Q19" s="163">
        <v>98</v>
      </c>
      <c r="R19" s="163">
        <v>107</v>
      </c>
      <c r="S19" s="163">
        <v>114</v>
      </c>
      <c r="T19" s="163">
        <v>222</v>
      </c>
      <c r="U19" s="163">
        <v>106</v>
      </c>
      <c r="V19" s="163">
        <v>178</v>
      </c>
      <c r="W19" s="165">
        <f t="shared" si="11"/>
        <v>0.679245283018868</v>
      </c>
      <c r="X19" s="164">
        <f t="shared" si="7"/>
        <v>0.66355140186915884</v>
      </c>
      <c r="Y19" s="162">
        <f t="shared" si="8"/>
        <v>72</v>
      </c>
      <c r="Z19" s="163">
        <f t="shared" si="9"/>
        <v>71</v>
      </c>
      <c r="AA19" s="164">
        <f t="shared" si="3"/>
        <v>4.2607176197429208E-3</v>
      </c>
    </row>
    <row r="20" spans="1:27" x14ac:dyDescent="0.25">
      <c r="A20" s="167" t="s">
        <v>145</v>
      </c>
      <c r="B20" s="162" t="s">
        <v>131</v>
      </c>
      <c r="C20" s="163">
        <v>41919</v>
      </c>
      <c r="D20" s="163">
        <v>34994</v>
      </c>
      <c r="E20" s="163">
        <v>24290</v>
      </c>
      <c r="F20" s="163">
        <v>17076</v>
      </c>
      <c r="G20" s="163">
        <v>26602</v>
      </c>
      <c r="H20" s="163">
        <v>24882</v>
      </c>
      <c r="I20" s="165">
        <f t="shared" si="10"/>
        <v>-6.4656792722351697E-2</v>
      </c>
      <c r="J20" s="164">
        <f t="shared" si="4"/>
        <v>-0.28896382236954909</v>
      </c>
      <c r="K20" s="162">
        <f t="shared" si="5"/>
        <v>-1720</v>
      </c>
      <c r="L20" s="163">
        <f t="shared" si="6"/>
        <v>-10112</v>
      </c>
      <c r="M20" s="164">
        <f t="shared" si="1"/>
        <v>7.7804294151638635E-3</v>
      </c>
      <c r="P20" s="162" t="s">
        <v>131</v>
      </c>
      <c r="Q20" s="163">
        <v>239</v>
      </c>
      <c r="R20" s="163">
        <v>146</v>
      </c>
      <c r="S20" s="163">
        <v>66</v>
      </c>
      <c r="T20" s="163">
        <v>114</v>
      </c>
      <c r="U20" s="163">
        <v>190</v>
      </c>
      <c r="V20" s="163">
        <v>282</v>
      </c>
      <c r="W20" s="165">
        <f t="shared" si="11"/>
        <v>0.48421052631578942</v>
      </c>
      <c r="X20" s="164">
        <f t="shared" si="7"/>
        <v>0.93150684931506844</v>
      </c>
      <c r="Y20" s="162">
        <f t="shared" si="8"/>
        <v>92</v>
      </c>
      <c r="Z20" s="163">
        <f t="shared" si="9"/>
        <v>136</v>
      </c>
      <c r="AA20" s="164">
        <f t="shared" si="3"/>
        <v>6.7501256672331663E-3</v>
      </c>
    </row>
    <row r="21" spans="1:27" x14ac:dyDescent="0.25">
      <c r="B21" s="168" t="s">
        <v>145</v>
      </c>
      <c r="C21" s="169">
        <f t="shared" ref="C21:H21" si="12">C13-SUM(C14:C20)</f>
        <v>478067</v>
      </c>
      <c r="D21" s="169">
        <f t="shared" si="12"/>
        <v>489779</v>
      </c>
      <c r="E21" s="169">
        <f t="shared" si="12"/>
        <v>191218</v>
      </c>
      <c r="F21" s="169">
        <f t="shared" si="12"/>
        <v>538100</v>
      </c>
      <c r="G21" s="169">
        <f t="shared" si="12"/>
        <v>610592</v>
      </c>
      <c r="H21" s="169">
        <f t="shared" si="12"/>
        <v>680727</v>
      </c>
      <c r="I21" s="171">
        <f t="shared" si="10"/>
        <v>0.11486393532833716</v>
      </c>
      <c r="J21" s="170">
        <f t="shared" si="4"/>
        <v>0.38986563327541601</v>
      </c>
      <c r="K21" s="168">
        <f>H21-G21</f>
        <v>70135</v>
      </c>
      <c r="L21" s="169">
        <f t="shared" si="6"/>
        <v>190948</v>
      </c>
      <c r="M21" s="170">
        <f t="shared" si="1"/>
        <v>0.21285862770260636</v>
      </c>
      <c r="P21" s="168" t="s">
        <v>145</v>
      </c>
      <c r="Q21" s="169">
        <f t="shared" ref="Q21:V21" si="13">Q13-SUM(Q14:Q20)</f>
        <v>5114</v>
      </c>
      <c r="R21" s="169">
        <f t="shared" si="13"/>
        <v>4927</v>
      </c>
      <c r="S21" s="169">
        <f t="shared" si="13"/>
        <v>1852</v>
      </c>
      <c r="T21" s="169">
        <f t="shared" si="13"/>
        <v>4325</v>
      </c>
      <c r="U21" s="169">
        <f t="shared" si="13"/>
        <v>5515</v>
      </c>
      <c r="V21" s="169">
        <f t="shared" si="13"/>
        <v>5816</v>
      </c>
      <c r="W21" s="171">
        <f t="shared" si="11"/>
        <v>5.4578422484134137E-2</v>
      </c>
      <c r="X21" s="170">
        <f t="shared" si="7"/>
        <v>0.18043434138420955</v>
      </c>
      <c r="Y21" s="168">
        <f>V21-U21</f>
        <v>301</v>
      </c>
      <c r="Z21" s="169">
        <f t="shared" si="9"/>
        <v>889</v>
      </c>
      <c r="AA21" s="170">
        <f t="shared" si="3"/>
        <v>0.13921535773272375</v>
      </c>
    </row>
    <row r="22" spans="1:27" x14ac:dyDescent="0.25">
      <c r="B22" s="153" t="s">
        <v>44</v>
      </c>
      <c r="C22" s="151"/>
      <c r="D22" s="151"/>
      <c r="E22" s="151"/>
      <c r="F22" s="151"/>
      <c r="G22" s="151"/>
      <c r="H22" s="152"/>
      <c r="I22" s="152"/>
      <c r="J22" s="152"/>
      <c r="K22" s="152"/>
      <c r="L22" s="151"/>
      <c r="M22" s="151"/>
    </row>
    <row r="23" spans="1:27" x14ac:dyDescent="0.25">
      <c r="B23" s="154" t="s">
        <v>68</v>
      </c>
      <c r="C23" s="176">
        <f>C24+C27</f>
        <v>989316</v>
      </c>
      <c r="D23" s="176">
        <f t="shared" ref="D23:H23" si="14">D24+D27</f>
        <v>1023538</v>
      </c>
      <c r="E23" s="176">
        <f t="shared" si="14"/>
        <v>352777</v>
      </c>
      <c r="F23" s="176">
        <f t="shared" si="14"/>
        <v>1107347</v>
      </c>
      <c r="G23" s="176">
        <f t="shared" si="14"/>
        <v>1144954</v>
      </c>
      <c r="H23" s="176">
        <f t="shared" si="14"/>
        <v>1180192</v>
      </c>
      <c r="I23" s="177">
        <f>IFERROR(H23/G23-1,"-")</f>
        <v>3.077678229867753E-2</v>
      </c>
      <c r="J23" s="177">
        <f>IFERROR(H23/D23-1,"-")</f>
        <v>0.15305147439567457</v>
      </c>
      <c r="K23" s="176">
        <f>H23-G23</f>
        <v>35238</v>
      </c>
      <c r="L23" s="176">
        <f>H23-D23</f>
        <v>156654</v>
      </c>
      <c r="M23" s="177">
        <f t="shared" ref="M23:M35" si="15">H23/H$9</f>
        <v>0.36903788089145045</v>
      </c>
    </row>
    <row r="24" spans="1:27" x14ac:dyDescent="0.25">
      <c r="B24" s="157" t="s">
        <v>97</v>
      </c>
      <c r="C24" s="158">
        <v>129325</v>
      </c>
      <c r="D24" s="158">
        <v>148733</v>
      </c>
      <c r="E24" s="158">
        <v>62090</v>
      </c>
      <c r="F24" s="158">
        <v>143837</v>
      </c>
      <c r="G24" s="158">
        <v>116447</v>
      </c>
      <c r="H24" s="158">
        <v>104394</v>
      </c>
      <c r="I24" s="160">
        <f>IFERROR(H24/G24-1,"-")</f>
        <v>-0.10350631617817552</v>
      </c>
      <c r="J24" s="159">
        <f t="shared" ref="J24:J35" si="16">IFERROR(H24/D24-1,"-")</f>
        <v>-0.29811138079646082</v>
      </c>
      <c r="K24" s="157">
        <f t="shared" ref="K24:K34" si="17">H24-G24</f>
        <v>-12053</v>
      </c>
      <c r="L24" s="158">
        <f t="shared" ref="L24:L35" si="18">H24-D24</f>
        <v>-44339</v>
      </c>
      <c r="M24" s="159">
        <f t="shared" si="15"/>
        <v>3.2643282226775032E-2</v>
      </c>
    </row>
    <row r="25" spans="1:27" x14ac:dyDescent="0.25">
      <c r="B25" s="162" t="s">
        <v>103</v>
      </c>
      <c r="C25" s="163">
        <v>58014</v>
      </c>
      <c r="D25" s="163">
        <v>69896</v>
      </c>
      <c r="E25" s="163">
        <v>30289</v>
      </c>
      <c r="F25" s="163">
        <v>58250</v>
      </c>
      <c r="G25" s="163">
        <v>46066</v>
      </c>
      <c r="H25" s="163">
        <v>36859</v>
      </c>
      <c r="I25" s="165">
        <f>IFERROR(H25/G25-1,"-")</f>
        <v>-0.19986541049798112</v>
      </c>
      <c r="J25" s="164">
        <f t="shared" si="16"/>
        <v>-0.47265937964976534</v>
      </c>
      <c r="K25" s="162">
        <f t="shared" si="17"/>
        <v>-9207</v>
      </c>
      <c r="L25" s="163">
        <f t="shared" si="18"/>
        <v>-33037</v>
      </c>
      <c r="M25" s="164">
        <f t="shared" si="15"/>
        <v>1.1525554529922226E-2</v>
      </c>
    </row>
    <row r="26" spans="1:27" x14ac:dyDescent="0.25">
      <c r="B26" s="162" t="s">
        <v>100</v>
      </c>
      <c r="C26" s="163">
        <v>71311</v>
      </c>
      <c r="D26" s="163">
        <v>78837</v>
      </c>
      <c r="E26" s="163">
        <v>31801</v>
      </c>
      <c r="F26" s="163">
        <v>85587</v>
      </c>
      <c r="G26" s="163">
        <v>70381</v>
      </c>
      <c r="H26" s="163">
        <v>67535</v>
      </c>
      <c r="I26" s="165">
        <f>IFERROR(H26/G26-1,"-")</f>
        <v>-4.0437049771955502E-2</v>
      </c>
      <c r="J26" s="164">
        <f t="shared" si="16"/>
        <v>-0.14335908266423125</v>
      </c>
      <c r="K26" s="162">
        <f t="shared" si="17"/>
        <v>-2846</v>
      </c>
      <c r="L26" s="163">
        <f t="shared" si="18"/>
        <v>-11302</v>
      </c>
      <c r="M26" s="164">
        <f t="shared" si="15"/>
        <v>2.1117727696852807E-2</v>
      </c>
    </row>
    <row r="27" spans="1:27" x14ac:dyDescent="0.25">
      <c r="B27" s="157" t="s">
        <v>107</v>
      </c>
      <c r="C27" s="158">
        <v>859991</v>
      </c>
      <c r="D27" s="158">
        <v>874805</v>
      </c>
      <c r="E27" s="158">
        <v>290687</v>
      </c>
      <c r="F27" s="158">
        <v>963510</v>
      </c>
      <c r="G27" s="158">
        <v>1028507</v>
      </c>
      <c r="H27" s="158">
        <v>1075798</v>
      </c>
      <c r="I27" s="160">
        <f>IFERROR(H27/G27-1,"-")</f>
        <v>4.5980241262334687E-2</v>
      </c>
      <c r="J27" s="159">
        <f t="shared" si="16"/>
        <v>0.22975748881179237</v>
      </c>
      <c r="K27" s="157">
        <f t="shared" si="17"/>
        <v>47291</v>
      </c>
      <c r="L27" s="158">
        <f t="shared" si="18"/>
        <v>200993</v>
      </c>
      <c r="M27" s="159">
        <f t="shared" si="15"/>
        <v>0.33639459866467541</v>
      </c>
    </row>
    <row r="28" spans="1:27" x14ac:dyDescent="0.25">
      <c r="B28" s="162" t="s">
        <v>110</v>
      </c>
      <c r="C28" s="163">
        <v>388563</v>
      </c>
      <c r="D28" s="163">
        <v>410174</v>
      </c>
      <c r="E28" s="163">
        <v>120474</v>
      </c>
      <c r="F28" s="163">
        <v>488203</v>
      </c>
      <c r="G28" s="163">
        <v>528257</v>
      </c>
      <c r="H28" s="163">
        <v>551640</v>
      </c>
      <c r="I28" s="165">
        <f t="shared" ref="I28:I35" si="19">IFERROR(H28/G28-1,"-")</f>
        <v>4.4264439467910588E-2</v>
      </c>
      <c r="J28" s="164">
        <f t="shared" si="16"/>
        <v>0.34489265531213587</v>
      </c>
      <c r="K28" s="162">
        <f t="shared" si="17"/>
        <v>23383</v>
      </c>
      <c r="L28" s="163">
        <f t="shared" si="18"/>
        <v>141466</v>
      </c>
      <c r="M28" s="164">
        <f t="shared" si="15"/>
        <v>0.17249401505429604</v>
      </c>
    </row>
    <row r="29" spans="1:27" x14ac:dyDescent="0.25">
      <c r="B29" s="162" t="s">
        <v>113</v>
      </c>
      <c r="C29" s="163">
        <v>138510</v>
      </c>
      <c r="D29" s="163">
        <v>128587</v>
      </c>
      <c r="E29" s="163">
        <v>38968</v>
      </c>
      <c r="F29" s="163">
        <v>111315</v>
      </c>
      <c r="G29" s="163">
        <v>121028</v>
      </c>
      <c r="H29" s="163">
        <v>121215</v>
      </c>
      <c r="I29" s="165">
        <f t="shared" si="19"/>
        <v>1.5450970023465072E-3</v>
      </c>
      <c r="J29" s="164">
        <f t="shared" si="16"/>
        <v>-5.7330834376725481E-2</v>
      </c>
      <c r="K29" s="162">
        <f t="shared" si="17"/>
        <v>187</v>
      </c>
      <c r="L29" s="163">
        <f t="shared" si="18"/>
        <v>-7372</v>
      </c>
      <c r="M29" s="164">
        <f t="shared" si="15"/>
        <v>3.7903092659717377E-2</v>
      </c>
    </row>
    <row r="30" spans="1:27" x14ac:dyDescent="0.25">
      <c r="B30" s="162" t="s">
        <v>116</v>
      </c>
      <c r="C30" s="163">
        <v>31772</v>
      </c>
      <c r="D30" s="163">
        <v>32798</v>
      </c>
      <c r="E30" s="163">
        <v>13385</v>
      </c>
      <c r="F30" s="163">
        <v>39571</v>
      </c>
      <c r="G30" s="163">
        <v>36065</v>
      </c>
      <c r="H30" s="163">
        <v>32682</v>
      </c>
      <c r="I30" s="165">
        <f t="shared" si="19"/>
        <v>-9.3802855954526532E-2</v>
      </c>
      <c r="J30" s="164">
        <f t="shared" si="16"/>
        <v>-3.5368010244527515E-3</v>
      </c>
      <c r="K30" s="162">
        <f t="shared" si="17"/>
        <v>-3383</v>
      </c>
      <c r="L30" s="163">
        <f t="shared" si="18"/>
        <v>-116</v>
      </c>
      <c r="M30" s="164">
        <f t="shared" si="15"/>
        <v>1.0219435501422128E-2</v>
      </c>
    </row>
    <row r="31" spans="1:27" x14ac:dyDescent="0.25">
      <c r="B31" s="162" t="s">
        <v>123</v>
      </c>
      <c r="C31" s="163">
        <v>40624</v>
      </c>
      <c r="D31" s="163">
        <v>35474</v>
      </c>
      <c r="E31" s="163">
        <v>12596</v>
      </c>
      <c r="F31" s="163">
        <v>51227</v>
      </c>
      <c r="G31" s="163">
        <v>43823</v>
      </c>
      <c r="H31" s="163">
        <v>46352</v>
      </c>
      <c r="I31" s="165">
        <f t="shared" si="19"/>
        <v>5.7709421993017429E-2</v>
      </c>
      <c r="J31" s="164">
        <f t="shared" si="16"/>
        <v>0.30664712183571075</v>
      </c>
      <c r="K31" s="162">
        <f t="shared" si="17"/>
        <v>2529</v>
      </c>
      <c r="L31" s="163">
        <f t="shared" si="18"/>
        <v>10878</v>
      </c>
      <c r="M31" s="164">
        <f t="shared" si="15"/>
        <v>1.4493950014133727E-2</v>
      </c>
    </row>
    <row r="32" spans="1:27" x14ac:dyDescent="0.25">
      <c r="B32" s="162" t="s">
        <v>119</v>
      </c>
      <c r="C32" s="163">
        <v>48894</v>
      </c>
      <c r="D32" s="163">
        <v>48275</v>
      </c>
      <c r="E32" s="163">
        <v>20610</v>
      </c>
      <c r="F32" s="163">
        <v>57020</v>
      </c>
      <c r="G32" s="163">
        <v>53612</v>
      </c>
      <c r="H32" s="163">
        <v>55551</v>
      </c>
      <c r="I32" s="165">
        <f t="shared" si="19"/>
        <v>3.6167275982988967E-2</v>
      </c>
      <c r="J32" s="164">
        <f t="shared" si="16"/>
        <v>0.15071983428275515</v>
      </c>
      <c r="K32" s="162">
        <f t="shared" si="17"/>
        <v>1939</v>
      </c>
      <c r="L32" s="163">
        <f t="shared" si="18"/>
        <v>7276</v>
      </c>
      <c r="M32" s="164">
        <f t="shared" si="15"/>
        <v>1.7370413730478571E-2</v>
      </c>
    </row>
    <row r="33" spans="2:13" x14ac:dyDescent="0.25">
      <c r="B33" s="162" t="s">
        <v>128</v>
      </c>
      <c r="C33" s="163">
        <v>16504</v>
      </c>
      <c r="D33" s="163">
        <v>19343</v>
      </c>
      <c r="E33" s="163">
        <v>9535</v>
      </c>
      <c r="F33" s="163">
        <v>12945</v>
      </c>
      <c r="G33" s="163">
        <v>14488</v>
      </c>
      <c r="H33" s="163">
        <v>14309</v>
      </c>
      <c r="I33" s="165">
        <f t="shared" si="19"/>
        <v>-1.2355052457205917E-2</v>
      </c>
      <c r="J33" s="164">
        <f t="shared" si="16"/>
        <v>-0.26024918575195166</v>
      </c>
      <c r="K33" s="162">
        <f t="shared" si="17"/>
        <v>-179</v>
      </c>
      <c r="L33" s="163">
        <f t="shared" si="18"/>
        <v>-5034</v>
      </c>
      <c r="M33" s="164">
        <f t="shared" si="15"/>
        <v>4.4743253959319881E-3</v>
      </c>
    </row>
    <row r="34" spans="2:13" x14ac:dyDescent="0.25">
      <c r="B34" s="162" t="s">
        <v>131</v>
      </c>
      <c r="C34" s="163">
        <v>18854</v>
      </c>
      <c r="D34" s="163">
        <v>16486</v>
      </c>
      <c r="E34" s="163">
        <v>11137</v>
      </c>
      <c r="F34" s="163">
        <v>7937</v>
      </c>
      <c r="G34" s="163">
        <v>12828</v>
      </c>
      <c r="H34" s="163">
        <v>11734</v>
      </c>
      <c r="I34" s="165">
        <f t="shared" si="19"/>
        <v>-8.5282195198004396E-2</v>
      </c>
      <c r="J34" s="164">
        <f t="shared" si="16"/>
        <v>-0.28824457115127988</v>
      </c>
      <c r="K34" s="162">
        <f t="shared" si="17"/>
        <v>-1094</v>
      </c>
      <c r="L34" s="163">
        <f t="shared" si="18"/>
        <v>-4752</v>
      </c>
      <c r="M34" s="164">
        <f t="shared" si="15"/>
        <v>3.6691406943787789E-3</v>
      </c>
    </row>
    <row r="35" spans="2:13" x14ac:dyDescent="0.25">
      <c r="B35" s="168" t="s">
        <v>145</v>
      </c>
      <c r="C35" s="169">
        <f t="shared" ref="C35:H35" si="20">C27-SUM(C28:C34)</f>
        <v>176270</v>
      </c>
      <c r="D35" s="169">
        <f t="shared" si="20"/>
        <v>183668</v>
      </c>
      <c r="E35" s="169">
        <f t="shared" si="20"/>
        <v>63982</v>
      </c>
      <c r="F35" s="169">
        <f t="shared" si="20"/>
        <v>195292</v>
      </c>
      <c r="G35" s="169">
        <f t="shared" si="20"/>
        <v>218406</v>
      </c>
      <c r="H35" s="169">
        <f t="shared" si="20"/>
        <v>242315</v>
      </c>
      <c r="I35" s="171">
        <f t="shared" si="19"/>
        <v>0.10947043579388849</v>
      </c>
      <c r="J35" s="170">
        <f t="shared" si="16"/>
        <v>0.31930984167084087</v>
      </c>
      <c r="K35" s="168">
        <f>H35-G35</f>
        <v>23909</v>
      </c>
      <c r="L35" s="169">
        <f t="shared" si="18"/>
        <v>58647</v>
      </c>
      <c r="M35" s="170">
        <f t="shared" si="15"/>
        <v>7.5770225614316844E-2</v>
      </c>
    </row>
    <row r="36" spans="2:13" x14ac:dyDescent="0.25">
      <c r="B36" s="153" t="s">
        <v>45</v>
      </c>
      <c r="C36" s="151"/>
      <c r="D36" s="151"/>
      <c r="E36" s="151"/>
      <c r="F36" s="151"/>
      <c r="G36" s="151"/>
      <c r="H36" s="152"/>
      <c r="I36" s="152"/>
      <c r="J36" s="152"/>
      <c r="K36" s="152"/>
      <c r="L36" s="151"/>
      <c r="M36" s="151"/>
    </row>
    <row r="37" spans="2:13" x14ac:dyDescent="0.25">
      <c r="B37" s="154" t="s">
        <v>68</v>
      </c>
      <c r="C37" s="176">
        <f>C38+C41</f>
        <v>526496</v>
      </c>
      <c r="D37" s="176">
        <f t="shared" ref="D37:H37" si="21">D38+D41</f>
        <v>536693</v>
      </c>
      <c r="E37" s="176">
        <f t="shared" si="21"/>
        <v>170072</v>
      </c>
      <c r="F37" s="176">
        <f t="shared" si="21"/>
        <v>546989</v>
      </c>
      <c r="G37" s="176">
        <f t="shared" si="21"/>
        <v>598309</v>
      </c>
      <c r="H37" s="176">
        <f t="shared" si="21"/>
        <v>639306</v>
      </c>
      <c r="I37" s="177">
        <f>IFERROR(H37/G37-1,"-")</f>
        <v>6.8521449618842434E-2</v>
      </c>
      <c r="J37" s="177">
        <f>IFERROR(H37/D37-1,"-")</f>
        <v>0.19119496620973253</v>
      </c>
      <c r="K37" s="176">
        <f>H37-G37</f>
        <v>40997</v>
      </c>
      <c r="L37" s="176">
        <f>H37-D37</f>
        <v>102613</v>
      </c>
      <c r="M37" s="177">
        <f t="shared" ref="M37:M49" si="22">H37/H$9</f>
        <v>0.19990656730531103</v>
      </c>
    </row>
    <row r="38" spans="2:13" x14ac:dyDescent="0.25">
      <c r="B38" s="157" t="s">
        <v>97</v>
      </c>
      <c r="C38" s="158">
        <v>61211</v>
      </c>
      <c r="D38" s="158">
        <v>62628</v>
      </c>
      <c r="E38" s="158">
        <v>17227</v>
      </c>
      <c r="F38" s="158">
        <v>65724</v>
      </c>
      <c r="G38" s="158">
        <v>63307</v>
      </c>
      <c r="H38" s="158">
        <v>63481</v>
      </c>
      <c r="I38" s="160">
        <f>IFERROR(H38/G38-1,"-")</f>
        <v>2.7485112230873909E-3</v>
      </c>
      <c r="J38" s="159">
        <f t="shared" ref="J38:J49" si="23">IFERROR(H38/D38-1,"-")</f>
        <v>1.3620106022865119E-2</v>
      </c>
      <c r="K38" s="157">
        <f t="shared" ref="K38:K48" si="24">H38-G38</f>
        <v>174</v>
      </c>
      <c r="L38" s="158">
        <f t="shared" ref="L38:L49" si="25">H38-D38</f>
        <v>853</v>
      </c>
      <c r="M38" s="159">
        <f t="shared" si="22"/>
        <v>1.9850069918174472E-2</v>
      </c>
    </row>
    <row r="39" spans="2:13" x14ac:dyDescent="0.25">
      <c r="B39" s="162" t="s">
        <v>103</v>
      </c>
      <c r="C39" s="163">
        <v>9565</v>
      </c>
      <c r="D39" s="163">
        <v>13736</v>
      </c>
      <c r="E39" s="163">
        <v>3211</v>
      </c>
      <c r="F39" s="163">
        <v>15251</v>
      </c>
      <c r="G39" s="163">
        <v>22736</v>
      </c>
      <c r="H39" s="163">
        <v>25712</v>
      </c>
      <c r="I39" s="165">
        <f>IFERROR(H39/G39-1,"-")</f>
        <v>0.13089373680506688</v>
      </c>
      <c r="J39" s="164">
        <f t="shared" si="23"/>
        <v>0.87186953989516591</v>
      </c>
      <c r="K39" s="162">
        <f t="shared" si="24"/>
        <v>2976</v>
      </c>
      <c r="L39" s="163">
        <f t="shared" si="25"/>
        <v>11976</v>
      </c>
      <c r="M39" s="164">
        <f t="shared" si="22"/>
        <v>8.0399646781887813E-3</v>
      </c>
    </row>
    <row r="40" spans="2:13" x14ac:dyDescent="0.25">
      <c r="B40" s="162" t="s">
        <v>100</v>
      </c>
      <c r="C40" s="163">
        <v>51646</v>
      </c>
      <c r="D40" s="163">
        <v>48892</v>
      </c>
      <c r="E40" s="163">
        <v>14016</v>
      </c>
      <c r="F40" s="163">
        <v>50473</v>
      </c>
      <c r="G40" s="163">
        <v>40571</v>
      </c>
      <c r="H40" s="163">
        <v>37769</v>
      </c>
      <c r="I40" s="165">
        <f>IFERROR(H40/G40-1,"-")</f>
        <v>-6.9064109832146059E-2</v>
      </c>
      <c r="J40" s="164">
        <f t="shared" si="23"/>
        <v>-0.22750143172707193</v>
      </c>
      <c r="K40" s="162">
        <f t="shared" si="24"/>
        <v>-2802</v>
      </c>
      <c r="L40" s="163">
        <f t="shared" si="25"/>
        <v>-11123</v>
      </c>
      <c r="M40" s="164">
        <f t="shared" si="22"/>
        <v>1.1810105239985691E-2</v>
      </c>
    </row>
    <row r="41" spans="2:13" x14ac:dyDescent="0.25">
      <c r="B41" s="157" t="s">
        <v>107</v>
      </c>
      <c r="C41" s="158">
        <v>465285</v>
      </c>
      <c r="D41" s="158">
        <v>474065</v>
      </c>
      <c r="E41" s="158">
        <v>152845</v>
      </c>
      <c r="F41" s="158">
        <v>481265</v>
      </c>
      <c r="G41" s="158">
        <v>535002</v>
      </c>
      <c r="H41" s="158">
        <v>575825</v>
      </c>
      <c r="I41" s="160">
        <f>IFERROR(H41/G41-1,"-")</f>
        <v>7.6304387647148975E-2</v>
      </c>
      <c r="J41" s="159">
        <f t="shared" si="23"/>
        <v>0.21465410861379763</v>
      </c>
      <c r="K41" s="157">
        <f t="shared" si="24"/>
        <v>40823</v>
      </c>
      <c r="L41" s="158">
        <f t="shared" si="25"/>
        <v>101760</v>
      </c>
      <c r="M41" s="159">
        <f t="shared" si="22"/>
        <v>0.18005649738713655</v>
      </c>
    </row>
    <row r="42" spans="2:13" x14ac:dyDescent="0.25">
      <c r="B42" s="162" t="s">
        <v>110</v>
      </c>
      <c r="C42" s="163">
        <v>236761</v>
      </c>
      <c r="D42" s="163">
        <v>261872</v>
      </c>
      <c r="E42" s="163">
        <v>72052</v>
      </c>
      <c r="F42" s="163">
        <v>252047</v>
      </c>
      <c r="G42" s="163">
        <v>279605</v>
      </c>
      <c r="H42" s="163">
        <v>310166</v>
      </c>
      <c r="I42" s="165">
        <f t="shared" ref="I42:I49" si="26">IFERROR(H42/G42-1,"-")</f>
        <v>0.10930062051823097</v>
      </c>
      <c r="J42" s="164">
        <f t="shared" si="23"/>
        <v>0.18441834178529959</v>
      </c>
      <c r="K42" s="162">
        <f t="shared" si="24"/>
        <v>30561</v>
      </c>
      <c r="L42" s="163">
        <f t="shared" si="25"/>
        <v>48294</v>
      </c>
      <c r="M42" s="164">
        <f t="shared" si="22"/>
        <v>9.6986764326971911E-2</v>
      </c>
    </row>
    <row r="43" spans="2:13" x14ac:dyDescent="0.25">
      <c r="B43" s="162" t="s">
        <v>113</v>
      </c>
      <c r="C43" s="163">
        <v>38647</v>
      </c>
      <c r="D43" s="163">
        <v>28247</v>
      </c>
      <c r="E43" s="163">
        <v>9329</v>
      </c>
      <c r="F43" s="163">
        <v>18455</v>
      </c>
      <c r="G43" s="163">
        <v>23623</v>
      </c>
      <c r="H43" s="163">
        <v>21917</v>
      </c>
      <c r="I43" s="165">
        <f t="shared" si="26"/>
        <v>-7.2217753883926705E-2</v>
      </c>
      <c r="J43" s="164">
        <f t="shared" si="23"/>
        <v>-0.22409459411618937</v>
      </c>
      <c r="K43" s="162">
        <f t="shared" si="24"/>
        <v>-1706</v>
      </c>
      <c r="L43" s="163">
        <f t="shared" si="25"/>
        <v>-6330</v>
      </c>
      <c r="M43" s="164">
        <f t="shared" si="22"/>
        <v>6.8532944092977418E-3</v>
      </c>
    </row>
    <row r="44" spans="2:13" x14ac:dyDescent="0.25">
      <c r="B44" s="162" t="s">
        <v>116</v>
      </c>
      <c r="C44" s="163">
        <v>11619</v>
      </c>
      <c r="D44" s="163">
        <v>12385</v>
      </c>
      <c r="E44" s="163">
        <v>4807</v>
      </c>
      <c r="F44" s="163">
        <v>12810</v>
      </c>
      <c r="G44" s="163">
        <v>15002</v>
      </c>
      <c r="H44" s="163">
        <v>14778</v>
      </c>
      <c r="I44" s="165">
        <f t="shared" si="26"/>
        <v>-1.4931342487668364E-2</v>
      </c>
      <c r="J44" s="164">
        <f t="shared" si="23"/>
        <v>0.193217601937828</v>
      </c>
      <c r="K44" s="162">
        <f t="shared" si="24"/>
        <v>-224</v>
      </c>
      <c r="L44" s="163">
        <f t="shared" si="25"/>
        <v>2393</v>
      </c>
      <c r="M44" s="164">
        <f t="shared" si="22"/>
        <v>4.6209784541954655E-3</v>
      </c>
    </row>
    <row r="45" spans="2:13" x14ac:dyDescent="0.25">
      <c r="B45" s="162" t="s">
        <v>123</v>
      </c>
      <c r="C45" s="163">
        <v>21343</v>
      </c>
      <c r="D45" s="163">
        <v>20730</v>
      </c>
      <c r="E45" s="163">
        <v>6115</v>
      </c>
      <c r="F45" s="163">
        <v>23796</v>
      </c>
      <c r="G45" s="163">
        <v>22128</v>
      </c>
      <c r="H45" s="163">
        <v>23732</v>
      </c>
      <c r="I45" s="165">
        <f t="shared" si="26"/>
        <v>7.2487346348517612E-2</v>
      </c>
      <c r="J45" s="164">
        <f t="shared" si="23"/>
        <v>0.14481427882296183</v>
      </c>
      <c r="K45" s="162">
        <f t="shared" si="24"/>
        <v>1604</v>
      </c>
      <c r="L45" s="163">
        <f t="shared" si="25"/>
        <v>3002</v>
      </c>
      <c r="M45" s="164">
        <f t="shared" si="22"/>
        <v>7.4208323639847603E-3</v>
      </c>
    </row>
    <row r="46" spans="2:13" x14ac:dyDescent="0.25">
      <c r="B46" s="162" t="s">
        <v>119</v>
      </c>
      <c r="C46" s="163">
        <v>24376</v>
      </c>
      <c r="D46" s="163">
        <v>24006</v>
      </c>
      <c r="E46" s="163">
        <v>10387</v>
      </c>
      <c r="F46" s="163">
        <v>21823</v>
      </c>
      <c r="G46" s="163">
        <v>26022</v>
      </c>
      <c r="H46" s="163">
        <v>26483</v>
      </c>
      <c r="I46" s="165">
        <f t="shared" si="26"/>
        <v>1.7715778956267858E-2</v>
      </c>
      <c r="J46" s="164">
        <f t="shared" si="23"/>
        <v>0.10318253769890862</v>
      </c>
      <c r="K46" s="162">
        <f t="shared" si="24"/>
        <v>461</v>
      </c>
      <c r="L46" s="163">
        <f t="shared" si="25"/>
        <v>2477</v>
      </c>
      <c r="M46" s="164">
        <f t="shared" si="22"/>
        <v>8.2810510490227713E-3</v>
      </c>
    </row>
    <row r="47" spans="2:13" x14ac:dyDescent="0.25">
      <c r="B47" s="162" t="s">
        <v>128</v>
      </c>
      <c r="C47" s="163">
        <v>5908</v>
      </c>
      <c r="D47" s="163">
        <v>5447</v>
      </c>
      <c r="E47" s="163">
        <v>3321</v>
      </c>
      <c r="F47" s="163">
        <v>5532</v>
      </c>
      <c r="G47" s="163">
        <v>6433</v>
      </c>
      <c r="H47" s="163">
        <v>5436</v>
      </c>
      <c r="I47" s="165">
        <f t="shared" si="26"/>
        <v>-0.15498212342608431</v>
      </c>
      <c r="J47" s="164">
        <f t="shared" si="23"/>
        <v>-2.0194602533504247E-3</v>
      </c>
      <c r="K47" s="162">
        <f t="shared" si="24"/>
        <v>-997</v>
      </c>
      <c r="L47" s="163">
        <f t="shared" si="25"/>
        <v>-11</v>
      </c>
      <c r="M47" s="164">
        <f t="shared" si="22"/>
        <v>1.6997996262692213E-3</v>
      </c>
    </row>
    <row r="48" spans="2:13" x14ac:dyDescent="0.25">
      <c r="B48" s="162" t="s">
        <v>131</v>
      </c>
      <c r="C48" s="163">
        <v>8284</v>
      </c>
      <c r="D48" s="163">
        <v>6600</v>
      </c>
      <c r="E48" s="163">
        <v>4763</v>
      </c>
      <c r="F48" s="163">
        <v>3971</v>
      </c>
      <c r="G48" s="163">
        <v>6080</v>
      </c>
      <c r="H48" s="163">
        <v>5414</v>
      </c>
      <c r="I48" s="165">
        <f t="shared" si="26"/>
        <v>-0.10953947368421058</v>
      </c>
      <c r="J48" s="164">
        <f t="shared" si="23"/>
        <v>-0.17969696969696969</v>
      </c>
      <c r="K48" s="162">
        <f t="shared" si="24"/>
        <v>-666</v>
      </c>
      <c r="L48" s="163">
        <f t="shared" si="25"/>
        <v>-1186</v>
      </c>
      <c r="M48" s="164">
        <f t="shared" si="22"/>
        <v>1.692920378333621E-3</v>
      </c>
    </row>
    <row r="49" spans="2:13" x14ac:dyDescent="0.25">
      <c r="B49" s="168" t="s">
        <v>145</v>
      </c>
      <c r="C49" s="169">
        <f t="shared" ref="C49:H49" si="27">C41-SUM(C42:C48)</f>
        <v>118347</v>
      </c>
      <c r="D49" s="169">
        <f t="shared" si="27"/>
        <v>114778</v>
      </c>
      <c r="E49" s="169">
        <f t="shared" si="27"/>
        <v>42071</v>
      </c>
      <c r="F49" s="169">
        <f t="shared" si="27"/>
        <v>142831</v>
      </c>
      <c r="G49" s="169">
        <f t="shared" si="27"/>
        <v>156109</v>
      </c>
      <c r="H49" s="169">
        <f t="shared" si="27"/>
        <v>167899</v>
      </c>
      <c r="I49" s="171">
        <f t="shared" si="26"/>
        <v>7.5524152995663396E-2</v>
      </c>
      <c r="J49" s="170">
        <f t="shared" si="23"/>
        <v>0.46281517363954761</v>
      </c>
      <c r="K49" s="168">
        <f>H49-G49</f>
        <v>11790</v>
      </c>
      <c r="L49" s="169">
        <f t="shared" si="25"/>
        <v>53121</v>
      </c>
      <c r="M49" s="170">
        <f t="shared" si="22"/>
        <v>5.2500856779061071E-2</v>
      </c>
    </row>
    <row r="50" spans="2:13" x14ac:dyDescent="0.25">
      <c r="B50" s="153" t="s">
        <v>46</v>
      </c>
      <c r="C50" s="151"/>
      <c r="D50" s="151"/>
      <c r="E50" s="151"/>
      <c r="F50" s="151"/>
      <c r="G50" s="151"/>
      <c r="H50" s="152"/>
      <c r="I50" s="152"/>
      <c r="J50" s="152"/>
      <c r="K50" s="152"/>
      <c r="L50" s="151"/>
      <c r="M50" s="151"/>
    </row>
    <row r="51" spans="2:13" x14ac:dyDescent="0.25">
      <c r="B51" s="154" t="s">
        <v>68</v>
      </c>
      <c r="C51" s="176">
        <f>C52+C55</f>
        <v>29876</v>
      </c>
      <c r="D51" s="176">
        <f t="shared" ref="D51:H51" si="28">D52+D55</f>
        <v>29035</v>
      </c>
      <c r="E51" s="176">
        <f t="shared" si="28"/>
        <v>9467</v>
      </c>
      <c r="F51" s="176">
        <f t="shared" si="28"/>
        <v>25651</v>
      </c>
      <c r="G51" s="176">
        <f t="shared" si="28"/>
        <v>36596</v>
      </c>
      <c r="H51" s="176">
        <f t="shared" si="28"/>
        <v>31559</v>
      </c>
      <c r="I51" s="177">
        <f>IFERROR(H51/G51-1,"-")</f>
        <v>-0.13763799322330306</v>
      </c>
      <c r="J51" s="177">
        <f>IFERROR(H51/D51-1,"-")</f>
        <v>8.6929567763044613E-2</v>
      </c>
      <c r="K51" s="176">
        <f>H51-G51</f>
        <v>-5037</v>
      </c>
      <c r="L51" s="176">
        <f>H51-D51</f>
        <v>2524</v>
      </c>
      <c r="M51" s="177">
        <f t="shared" ref="M51:M63" si="29">H51/H$9</f>
        <v>9.868281163618535E-3</v>
      </c>
    </row>
    <row r="52" spans="2:13" x14ac:dyDescent="0.25">
      <c r="B52" s="157" t="s">
        <v>97</v>
      </c>
      <c r="C52" s="158">
        <v>7992</v>
      </c>
      <c r="D52" s="158">
        <v>7052</v>
      </c>
      <c r="E52" s="158">
        <v>1779</v>
      </c>
      <c r="F52" s="158">
        <v>4228</v>
      </c>
      <c r="G52" s="158">
        <v>16245</v>
      </c>
      <c r="H52" s="158">
        <v>8595</v>
      </c>
      <c r="I52" s="160">
        <f>IFERROR(H52/G52-1,"-")</f>
        <v>-0.47091412742382266</v>
      </c>
      <c r="J52" s="159">
        <f t="shared" ref="J52:J63" si="30">IFERROR(H52/D52-1,"-")</f>
        <v>0.21880317640385716</v>
      </c>
      <c r="K52" s="157">
        <f t="shared" ref="K52:K62" si="31">H52-G52</f>
        <v>-7650</v>
      </c>
      <c r="L52" s="158">
        <f t="shared" ref="L52:L63" si="32">H52-D52</f>
        <v>1543</v>
      </c>
      <c r="M52" s="159">
        <f t="shared" si="29"/>
        <v>2.6875970912038183E-3</v>
      </c>
    </row>
    <row r="53" spans="2:13" x14ac:dyDescent="0.25">
      <c r="B53" s="162" t="s">
        <v>103</v>
      </c>
      <c r="C53" s="163">
        <v>4952</v>
      </c>
      <c r="D53" s="163">
        <v>3996</v>
      </c>
      <c r="E53" s="163">
        <v>1332</v>
      </c>
      <c r="F53" s="163">
        <v>2187</v>
      </c>
      <c r="G53" s="163">
        <v>12177</v>
      </c>
      <c r="H53" s="163">
        <v>5827</v>
      </c>
      <c r="I53" s="165">
        <f>IFERROR(H53/G53-1,"-")</f>
        <v>-0.52147491171881422</v>
      </c>
      <c r="J53" s="164">
        <f t="shared" si="30"/>
        <v>0.45820820820820818</v>
      </c>
      <c r="K53" s="162">
        <f t="shared" si="31"/>
        <v>-6350</v>
      </c>
      <c r="L53" s="163">
        <f t="shared" si="32"/>
        <v>1831</v>
      </c>
      <c r="M53" s="164">
        <f t="shared" si="29"/>
        <v>1.8220626236701164E-3</v>
      </c>
    </row>
    <row r="54" spans="2:13" x14ac:dyDescent="0.25">
      <c r="B54" s="162" t="s">
        <v>100</v>
      </c>
      <c r="C54" s="163">
        <v>3040</v>
      </c>
      <c r="D54" s="163">
        <v>3056</v>
      </c>
      <c r="E54" s="163">
        <v>447</v>
      </c>
      <c r="F54" s="163">
        <v>2041</v>
      </c>
      <c r="G54" s="163">
        <v>4068</v>
      </c>
      <c r="H54" s="163">
        <v>2768</v>
      </c>
      <c r="I54" s="165">
        <f>IFERROR(H54/G54-1,"-")</f>
        <v>-0.31956735496558508</v>
      </c>
      <c r="J54" s="164">
        <f t="shared" si="30"/>
        <v>-9.4240837696335067E-2</v>
      </c>
      <c r="K54" s="162">
        <f t="shared" si="31"/>
        <v>-1300</v>
      </c>
      <c r="L54" s="163">
        <f t="shared" si="32"/>
        <v>-288</v>
      </c>
      <c r="M54" s="164">
        <f t="shared" si="29"/>
        <v>8.6553446753370202E-4</v>
      </c>
    </row>
    <row r="55" spans="2:13" x14ac:dyDescent="0.25">
      <c r="B55" s="157" t="s">
        <v>107</v>
      </c>
      <c r="C55" s="158">
        <v>21884</v>
      </c>
      <c r="D55" s="158">
        <v>21983</v>
      </c>
      <c r="E55" s="158">
        <v>7688</v>
      </c>
      <c r="F55" s="158">
        <v>21423</v>
      </c>
      <c r="G55" s="158">
        <v>20351</v>
      </c>
      <c r="H55" s="158">
        <v>22964</v>
      </c>
      <c r="I55" s="160">
        <f>IFERROR(H55/G55-1,"-")</f>
        <v>0.12839663898579912</v>
      </c>
      <c r="J55" s="159">
        <f t="shared" si="30"/>
        <v>4.4625392348633053E-2</v>
      </c>
      <c r="K55" s="157">
        <f t="shared" si="31"/>
        <v>2613</v>
      </c>
      <c r="L55" s="158">
        <f t="shared" si="32"/>
        <v>981</v>
      </c>
      <c r="M55" s="159">
        <f t="shared" si="29"/>
        <v>7.1806840724147163E-3</v>
      </c>
    </row>
    <row r="56" spans="2:13" x14ac:dyDescent="0.25">
      <c r="B56" s="162" t="s">
        <v>110</v>
      </c>
      <c r="C56" s="163">
        <v>6130</v>
      </c>
      <c r="D56" s="163">
        <v>6545</v>
      </c>
      <c r="E56" s="163">
        <v>2338</v>
      </c>
      <c r="F56" s="163">
        <v>7632</v>
      </c>
      <c r="G56" s="163">
        <v>6643</v>
      </c>
      <c r="H56" s="163">
        <v>8156</v>
      </c>
      <c r="I56" s="165">
        <f t="shared" ref="I56:I63" si="33">IFERROR(H56/G56-1,"-")</f>
        <v>0.22775854282703589</v>
      </c>
      <c r="J56" s="164">
        <f t="shared" si="30"/>
        <v>0.24614209320091662</v>
      </c>
      <c r="K56" s="162">
        <f t="shared" si="31"/>
        <v>1513</v>
      </c>
      <c r="L56" s="163">
        <f t="shared" si="32"/>
        <v>1611</v>
      </c>
      <c r="M56" s="164">
        <f t="shared" si="29"/>
        <v>2.5503248255797956E-3</v>
      </c>
    </row>
    <row r="57" spans="2:13" x14ac:dyDescent="0.25">
      <c r="B57" s="162" t="s">
        <v>113</v>
      </c>
      <c r="C57" s="163">
        <v>7188</v>
      </c>
      <c r="D57" s="163">
        <v>5918</v>
      </c>
      <c r="E57" s="163">
        <v>2232</v>
      </c>
      <c r="F57" s="163">
        <v>4682</v>
      </c>
      <c r="G57" s="163">
        <v>3480</v>
      </c>
      <c r="H57" s="163">
        <v>4392</v>
      </c>
      <c r="I57" s="165">
        <f t="shared" si="33"/>
        <v>0.26206896551724146</v>
      </c>
      <c r="J57" s="164">
        <f t="shared" si="30"/>
        <v>-0.25785738425143634</v>
      </c>
      <c r="K57" s="162">
        <f t="shared" si="31"/>
        <v>912</v>
      </c>
      <c r="L57" s="163">
        <f t="shared" si="32"/>
        <v>-1526</v>
      </c>
      <c r="M57" s="164">
        <f t="shared" si="29"/>
        <v>1.373348042416192E-3</v>
      </c>
    </row>
    <row r="58" spans="2:13" x14ac:dyDescent="0.25">
      <c r="B58" s="162" t="s">
        <v>116</v>
      </c>
      <c r="C58" s="163">
        <v>1580</v>
      </c>
      <c r="D58" s="163">
        <v>1648</v>
      </c>
      <c r="E58" s="163">
        <v>440</v>
      </c>
      <c r="F58" s="163">
        <v>1821</v>
      </c>
      <c r="G58" s="163">
        <v>2075</v>
      </c>
      <c r="H58" s="163">
        <v>1710</v>
      </c>
      <c r="I58" s="165">
        <f t="shared" si="33"/>
        <v>-0.17590361445783131</v>
      </c>
      <c r="J58" s="164">
        <f t="shared" si="30"/>
        <v>3.762135922330101E-2</v>
      </c>
      <c r="K58" s="162">
        <f t="shared" si="31"/>
        <v>-365</v>
      </c>
      <c r="L58" s="163">
        <f t="shared" si="32"/>
        <v>62</v>
      </c>
      <c r="M58" s="164">
        <f t="shared" si="29"/>
        <v>5.3470518044892719E-4</v>
      </c>
    </row>
    <row r="59" spans="2:13" x14ac:dyDescent="0.25">
      <c r="B59" s="162" t="s">
        <v>123</v>
      </c>
      <c r="C59" s="163">
        <v>420</v>
      </c>
      <c r="D59" s="163">
        <v>433</v>
      </c>
      <c r="E59" s="163">
        <v>230</v>
      </c>
      <c r="F59" s="163">
        <v>605</v>
      </c>
      <c r="G59" s="163">
        <v>443</v>
      </c>
      <c r="H59" s="163">
        <v>756</v>
      </c>
      <c r="I59" s="165">
        <f t="shared" si="33"/>
        <v>0.70654627539503378</v>
      </c>
      <c r="J59" s="164">
        <f t="shared" si="30"/>
        <v>0.74595842956120095</v>
      </c>
      <c r="K59" s="162">
        <f t="shared" si="31"/>
        <v>313</v>
      </c>
      <c r="L59" s="163">
        <f t="shared" si="32"/>
        <v>323</v>
      </c>
      <c r="M59" s="164">
        <f t="shared" si="29"/>
        <v>2.3639597451426256E-4</v>
      </c>
    </row>
    <row r="60" spans="2:13" x14ac:dyDescent="0.25">
      <c r="B60" s="162" t="s">
        <v>119</v>
      </c>
      <c r="C60" s="163">
        <v>448</v>
      </c>
      <c r="D60" s="163">
        <v>513</v>
      </c>
      <c r="E60" s="163">
        <v>161</v>
      </c>
      <c r="F60" s="163">
        <v>538</v>
      </c>
      <c r="G60" s="163">
        <v>447</v>
      </c>
      <c r="H60" s="163">
        <v>502</v>
      </c>
      <c r="I60" s="165">
        <f t="shared" si="33"/>
        <v>0.12304250559284124</v>
      </c>
      <c r="J60" s="164">
        <f t="shared" si="30"/>
        <v>-2.1442495126705707E-2</v>
      </c>
      <c r="K60" s="162">
        <f t="shared" si="31"/>
        <v>55</v>
      </c>
      <c r="L60" s="163">
        <f t="shared" si="32"/>
        <v>-11</v>
      </c>
      <c r="M60" s="164">
        <f t="shared" si="29"/>
        <v>1.5697193016687804E-4</v>
      </c>
    </row>
    <row r="61" spans="2:13" x14ac:dyDescent="0.25">
      <c r="B61" s="162" t="s">
        <v>128</v>
      </c>
      <c r="C61" s="163">
        <v>234</v>
      </c>
      <c r="D61" s="163">
        <v>141</v>
      </c>
      <c r="E61" s="163">
        <v>76</v>
      </c>
      <c r="F61" s="163">
        <v>62</v>
      </c>
      <c r="G61" s="163">
        <v>165</v>
      </c>
      <c r="H61" s="163">
        <v>96</v>
      </c>
      <c r="I61" s="165">
        <f t="shared" si="33"/>
        <v>-0.41818181818181821</v>
      </c>
      <c r="J61" s="164">
        <f t="shared" si="30"/>
        <v>-0.31914893617021278</v>
      </c>
      <c r="K61" s="162">
        <f t="shared" si="31"/>
        <v>-69</v>
      </c>
      <c r="L61" s="163">
        <f t="shared" si="32"/>
        <v>-45</v>
      </c>
      <c r="M61" s="164">
        <f t="shared" si="29"/>
        <v>3.0018536446255563E-5</v>
      </c>
    </row>
    <row r="62" spans="2:13" x14ac:dyDescent="0.25">
      <c r="B62" s="162" t="s">
        <v>131</v>
      </c>
      <c r="C62" s="163">
        <v>242</v>
      </c>
      <c r="D62" s="163">
        <v>230</v>
      </c>
      <c r="E62" s="163">
        <v>105</v>
      </c>
      <c r="F62" s="163">
        <v>97</v>
      </c>
      <c r="G62" s="163">
        <v>140</v>
      </c>
      <c r="H62" s="163">
        <v>90</v>
      </c>
      <c r="I62" s="165">
        <f t="shared" si="33"/>
        <v>-0.3571428571428571</v>
      </c>
      <c r="J62" s="164">
        <f t="shared" si="30"/>
        <v>-0.60869565217391308</v>
      </c>
      <c r="K62" s="162">
        <f t="shared" si="31"/>
        <v>-50</v>
      </c>
      <c r="L62" s="163">
        <f t="shared" si="32"/>
        <v>-140</v>
      </c>
      <c r="M62" s="164">
        <f t="shared" si="29"/>
        <v>2.8142377918364591E-5</v>
      </c>
    </row>
    <row r="63" spans="2:13" x14ac:dyDescent="0.25">
      <c r="B63" s="168" t="s">
        <v>145</v>
      </c>
      <c r="C63" s="169">
        <f t="shared" ref="C63:H63" si="34">C55-SUM(C56:C62)</f>
        <v>5642</v>
      </c>
      <c r="D63" s="169">
        <f t="shared" si="34"/>
        <v>6555</v>
      </c>
      <c r="E63" s="169">
        <f t="shared" si="34"/>
        <v>2106</v>
      </c>
      <c r="F63" s="169">
        <f t="shared" si="34"/>
        <v>5986</v>
      </c>
      <c r="G63" s="169">
        <f t="shared" si="34"/>
        <v>6958</v>
      </c>
      <c r="H63" s="169">
        <f t="shared" si="34"/>
        <v>7262</v>
      </c>
      <c r="I63" s="171">
        <f t="shared" si="33"/>
        <v>4.3690715722908946E-2</v>
      </c>
      <c r="J63" s="170">
        <f t="shared" si="30"/>
        <v>0.10785659801678116</v>
      </c>
      <c r="K63" s="168">
        <f>H63-G63</f>
        <v>304</v>
      </c>
      <c r="L63" s="169">
        <f t="shared" si="32"/>
        <v>707</v>
      </c>
      <c r="M63" s="170">
        <f t="shared" si="29"/>
        <v>2.2707772049240407E-3</v>
      </c>
    </row>
    <row r="64" spans="2:13" x14ac:dyDescent="0.25">
      <c r="B64" s="153" t="s">
        <v>47</v>
      </c>
      <c r="C64" s="151"/>
      <c r="D64" s="151"/>
      <c r="E64" s="151"/>
      <c r="F64" s="151"/>
      <c r="G64" s="151"/>
      <c r="H64" s="152"/>
      <c r="I64" s="152"/>
      <c r="J64" s="152"/>
      <c r="K64" s="152"/>
      <c r="L64" s="151"/>
      <c r="M64" s="151"/>
    </row>
    <row r="65" spans="2:13" x14ac:dyDescent="0.25">
      <c r="B65" s="154" t="s">
        <v>68</v>
      </c>
      <c r="C65" s="176">
        <f>C66+C69</f>
        <v>102442</v>
      </c>
      <c r="D65" s="176">
        <f t="shared" ref="D65:H65" si="35">D66+D69</f>
        <v>102355</v>
      </c>
      <c r="E65" s="176">
        <f t="shared" si="35"/>
        <v>36134</v>
      </c>
      <c r="F65" s="176">
        <f t="shared" si="35"/>
        <v>110290</v>
      </c>
      <c r="G65" s="176">
        <f t="shared" si="35"/>
        <v>131067</v>
      </c>
      <c r="H65" s="176">
        <f t="shared" si="35"/>
        <v>146251</v>
      </c>
      <c r="I65" s="177">
        <f>IFERROR(H65/G65-1,"-")</f>
        <v>0.11584914585669925</v>
      </c>
      <c r="J65" s="177">
        <f>IFERROR(H65/D65-1,"-")</f>
        <v>0.42886033901616916</v>
      </c>
      <c r="K65" s="176">
        <f>H65-G65</f>
        <v>15184</v>
      </c>
      <c r="L65" s="176">
        <f>H65-D65</f>
        <v>43896</v>
      </c>
      <c r="M65" s="177">
        <f t="shared" ref="M65:M77" si="36">H65/H$9</f>
        <v>4.5731676810430444E-2</v>
      </c>
    </row>
    <row r="66" spans="2:13" x14ac:dyDescent="0.25">
      <c r="B66" s="157" t="s">
        <v>97</v>
      </c>
      <c r="C66" s="158">
        <v>28406</v>
      </c>
      <c r="D66" s="158">
        <v>33428</v>
      </c>
      <c r="E66" s="158">
        <v>16811</v>
      </c>
      <c r="F66" s="158">
        <v>28303</v>
      </c>
      <c r="G66" s="158">
        <v>37924</v>
      </c>
      <c r="H66" s="158">
        <v>46749</v>
      </c>
      <c r="I66" s="160">
        <f>IFERROR(H66/G66-1,"-")</f>
        <v>0.23270224659846006</v>
      </c>
      <c r="J66" s="159">
        <f t="shared" ref="J66:J77" si="37">IFERROR(H66/D66-1,"-")</f>
        <v>0.39849826492760565</v>
      </c>
      <c r="K66" s="157">
        <f t="shared" ref="K66:K76" si="38">H66-G66</f>
        <v>8825</v>
      </c>
      <c r="L66" s="158">
        <f t="shared" ref="L66:L77" si="39">H66-D66</f>
        <v>13321</v>
      </c>
      <c r="M66" s="159">
        <f t="shared" si="36"/>
        <v>1.4618089170062513E-2</v>
      </c>
    </row>
    <row r="67" spans="2:13" x14ac:dyDescent="0.25">
      <c r="B67" s="162" t="s">
        <v>103</v>
      </c>
      <c r="C67" s="163">
        <v>16166</v>
      </c>
      <c r="D67" s="163">
        <v>18193</v>
      </c>
      <c r="E67" s="163">
        <v>5981</v>
      </c>
      <c r="F67" s="163">
        <v>22434</v>
      </c>
      <c r="G67" s="163">
        <v>27984</v>
      </c>
      <c r="H67" s="163">
        <v>28822</v>
      </c>
      <c r="I67" s="165">
        <f>IFERROR(H67/G67-1,"-")</f>
        <v>2.9945683247569965E-2</v>
      </c>
      <c r="J67" s="164">
        <f t="shared" si="37"/>
        <v>0.5842356950475458</v>
      </c>
      <c r="K67" s="162">
        <f t="shared" si="38"/>
        <v>838</v>
      </c>
      <c r="L67" s="163">
        <f t="shared" si="39"/>
        <v>10629</v>
      </c>
      <c r="M67" s="164">
        <f t="shared" si="36"/>
        <v>9.0124401818122684E-3</v>
      </c>
    </row>
    <row r="68" spans="2:13" x14ac:dyDescent="0.25">
      <c r="B68" s="162" t="s">
        <v>100</v>
      </c>
      <c r="C68" s="163">
        <v>12240</v>
      </c>
      <c r="D68" s="163">
        <v>15235</v>
      </c>
      <c r="E68" s="163">
        <v>10830</v>
      </c>
      <c r="F68" s="163">
        <v>5869</v>
      </c>
      <c r="G68" s="163">
        <v>9940</v>
      </c>
      <c r="H68" s="163">
        <v>17927</v>
      </c>
      <c r="I68" s="165">
        <f>IFERROR(H68/G68-1,"-")</f>
        <v>0.80352112676056331</v>
      </c>
      <c r="J68" s="164">
        <f t="shared" si="37"/>
        <v>0.17669839186084668</v>
      </c>
      <c r="K68" s="162">
        <f t="shared" si="38"/>
        <v>7987</v>
      </c>
      <c r="L68" s="163">
        <f t="shared" si="39"/>
        <v>2692</v>
      </c>
      <c r="M68" s="164">
        <f t="shared" si="36"/>
        <v>5.6056489882502442E-3</v>
      </c>
    </row>
    <row r="69" spans="2:13" x14ac:dyDescent="0.25">
      <c r="B69" s="157" t="s">
        <v>107</v>
      </c>
      <c r="C69" s="158">
        <v>74036</v>
      </c>
      <c r="D69" s="158">
        <v>68927</v>
      </c>
      <c r="E69" s="158">
        <v>19323</v>
      </c>
      <c r="F69" s="158">
        <v>81987</v>
      </c>
      <c r="G69" s="158">
        <v>93143</v>
      </c>
      <c r="H69" s="158">
        <v>99502</v>
      </c>
      <c r="I69" s="160">
        <f>IFERROR(H69/G69-1,"-")</f>
        <v>6.82713676819513E-2</v>
      </c>
      <c r="J69" s="159">
        <f t="shared" si="37"/>
        <v>0.44358524235785679</v>
      </c>
      <c r="K69" s="157">
        <f t="shared" si="38"/>
        <v>6359</v>
      </c>
      <c r="L69" s="158">
        <f t="shared" si="39"/>
        <v>30575</v>
      </c>
      <c r="M69" s="159">
        <f t="shared" si="36"/>
        <v>3.1113587640367927E-2</v>
      </c>
    </row>
    <row r="70" spans="2:13" x14ac:dyDescent="0.25">
      <c r="B70" s="162" t="s">
        <v>110</v>
      </c>
      <c r="C70" s="163">
        <v>34186</v>
      </c>
      <c r="D70" s="163">
        <v>30426</v>
      </c>
      <c r="E70" s="163">
        <v>7331</v>
      </c>
      <c r="F70" s="163">
        <v>38844</v>
      </c>
      <c r="G70" s="163">
        <v>35609</v>
      </c>
      <c r="H70" s="163">
        <v>34444</v>
      </c>
      <c r="I70" s="165">
        <f t="shared" ref="I70:I77" si="40">IFERROR(H70/G70-1,"-")</f>
        <v>-3.2716448088966232E-2</v>
      </c>
      <c r="J70" s="164">
        <f t="shared" si="37"/>
        <v>0.13205810819693675</v>
      </c>
      <c r="K70" s="162">
        <f t="shared" si="38"/>
        <v>-1165</v>
      </c>
      <c r="L70" s="163">
        <f t="shared" si="39"/>
        <v>4018</v>
      </c>
      <c r="M70" s="164">
        <f t="shared" si="36"/>
        <v>1.0770400722446111E-2</v>
      </c>
    </row>
    <row r="71" spans="2:13" x14ac:dyDescent="0.25">
      <c r="B71" s="162" t="s">
        <v>113</v>
      </c>
      <c r="C71" s="163">
        <v>9289</v>
      </c>
      <c r="D71" s="163">
        <v>8021</v>
      </c>
      <c r="E71" s="163">
        <v>2362</v>
      </c>
      <c r="F71" s="163">
        <v>5542</v>
      </c>
      <c r="G71" s="163">
        <v>6459</v>
      </c>
      <c r="H71" s="163">
        <v>6633</v>
      </c>
      <c r="I71" s="165">
        <f t="shared" si="40"/>
        <v>2.6939154667905196E-2</v>
      </c>
      <c r="J71" s="164">
        <f t="shared" si="37"/>
        <v>-0.17304575489340479</v>
      </c>
      <c r="K71" s="162">
        <f t="shared" si="38"/>
        <v>174</v>
      </c>
      <c r="L71" s="163">
        <f t="shared" si="39"/>
        <v>-1388</v>
      </c>
      <c r="M71" s="164">
        <f t="shared" si="36"/>
        <v>2.0740932525834701E-3</v>
      </c>
    </row>
    <row r="72" spans="2:13" x14ac:dyDescent="0.25">
      <c r="B72" s="162" t="s">
        <v>116</v>
      </c>
      <c r="C72" s="163">
        <v>4902</v>
      </c>
      <c r="D72" s="163">
        <v>7764</v>
      </c>
      <c r="E72" s="163">
        <v>2592</v>
      </c>
      <c r="F72" s="163">
        <v>11009</v>
      </c>
      <c r="G72" s="163">
        <v>10476</v>
      </c>
      <c r="H72" s="163">
        <v>13838</v>
      </c>
      <c r="I72" s="165">
        <f t="shared" si="40"/>
        <v>0.32092401680030536</v>
      </c>
      <c r="J72" s="164">
        <f t="shared" si="37"/>
        <v>0.78232869654817105</v>
      </c>
      <c r="K72" s="162">
        <f t="shared" si="38"/>
        <v>3362</v>
      </c>
      <c r="L72" s="163">
        <f t="shared" si="39"/>
        <v>6074</v>
      </c>
      <c r="M72" s="164">
        <f t="shared" si="36"/>
        <v>4.3270469514925464E-3</v>
      </c>
    </row>
    <row r="73" spans="2:13" x14ac:dyDescent="0.25">
      <c r="B73" s="162" t="s">
        <v>123</v>
      </c>
      <c r="C73" s="163">
        <v>1562</v>
      </c>
      <c r="D73" s="163">
        <v>1267</v>
      </c>
      <c r="E73" s="163">
        <v>258</v>
      </c>
      <c r="F73" s="163">
        <v>1360</v>
      </c>
      <c r="G73" s="163">
        <v>2515</v>
      </c>
      <c r="H73" s="163">
        <v>3267</v>
      </c>
      <c r="I73" s="165">
        <f t="shared" si="40"/>
        <v>0.29900596421471182</v>
      </c>
      <c r="J73" s="164">
        <f t="shared" si="37"/>
        <v>1.5785319652722967</v>
      </c>
      <c r="K73" s="162">
        <f t="shared" si="38"/>
        <v>752</v>
      </c>
      <c r="L73" s="163">
        <f t="shared" si="39"/>
        <v>2000</v>
      </c>
      <c r="M73" s="164">
        <f t="shared" si="36"/>
        <v>1.0215683184366345E-3</v>
      </c>
    </row>
    <row r="74" spans="2:13" x14ac:dyDescent="0.25">
      <c r="B74" s="162" t="s">
        <v>119</v>
      </c>
      <c r="C74" s="163">
        <v>2033</v>
      </c>
      <c r="D74" s="163">
        <v>1598</v>
      </c>
      <c r="E74" s="163">
        <v>729</v>
      </c>
      <c r="F74" s="163">
        <v>2196</v>
      </c>
      <c r="G74" s="163">
        <v>1917</v>
      </c>
      <c r="H74" s="163">
        <v>2865</v>
      </c>
      <c r="I74" s="165">
        <f t="shared" si="40"/>
        <v>0.49452269170579033</v>
      </c>
      <c r="J74" s="164">
        <f t="shared" si="37"/>
        <v>0.79286608260325409</v>
      </c>
      <c r="K74" s="162">
        <f t="shared" si="38"/>
        <v>948</v>
      </c>
      <c r="L74" s="163">
        <f t="shared" si="39"/>
        <v>1267</v>
      </c>
      <c r="M74" s="164">
        <f t="shared" si="36"/>
        <v>8.9586569706793942E-4</v>
      </c>
    </row>
    <row r="75" spans="2:13" x14ac:dyDescent="0.25">
      <c r="B75" s="162" t="s">
        <v>128</v>
      </c>
      <c r="C75" s="163">
        <v>897</v>
      </c>
      <c r="D75" s="163">
        <v>1183</v>
      </c>
      <c r="E75" s="163">
        <v>634</v>
      </c>
      <c r="F75" s="163">
        <v>897</v>
      </c>
      <c r="G75" s="163">
        <v>3209</v>
      </c>
      <c r="H75" s="163">
        <v>1645</v>
      </c>
      <c r="I75" s="165">
        <f t="shared" si="40"/>
        <v>-0.4873792458709878</v>
      </c>
      <c r="J75" s="164">
        <f t="shared" si="37"/>
        <v>0.39053254437869822</v>
      </c>
      <c r="K75" s="162">
        <f t="shared" si="38"/>
        <v>-1564</v>
      </c>
      <c r="L75" s="163">
        <f t="shared" si="39"/>
        <v>462</v>
      </c>
      <c r="M75" s="164">
        <f t="shared" si="36"/>
        <v>5.1438012973010832E-4</v>
      </c>
    </row>
    <row r="76" spans="2:13" x14ac:dyDescent="0.25">
      <c r="B76" s="162" t="s">
        <v>131</v>
      </c>
      <c r="C76" s="163">
        <v>1839</v>
      </c>
      <c r="D76" s="163">
        <v>1338</v>
      </c>
      <c r="E76" s="163">
        <v>781</v>
      </c>
      <c r="F76" s="163">
        <v>291</v>
      </c>
      <c r="G76" s="163">
        <v>930</v>
      </c>
      <c r="H76" s="163">
        <v>205</v>
      </c>
      <c r="I76" s="165">
        <f t="shared" si="40"/>
        <v>-0.77956989247311825</v>
      </c>
      <c r="J76" s="164">
        <f t="shared" si="37"/>
        <v>-0.84678624813153958</v>
      </c>
      <c r="K76" s="162">
        <f t="shared" si="38"/>
        <v>-725</v>
      </c>
      <c r="L76" s="163">
        <f t="shared" si="39"/>
        <v>-1133</v>
      </c>
      <c r="M76" s="164">
        <f t="shared" si="36"/>
        <v>6.4102083036274895E-5</v>
      </c>
    </row>
    <row r="77" spans="2:13" x14ac:dyDescent="0.25">
      <c r="B77" s="168" t="s">
        <v>145</v>
      </c>
      <c r="C77" s="169">
        <f t="shared" ref="C77:H77" si="41">C69-SUM(C70:C76)</f>
        <v>19328</v>
      </c>
      <c r="D77" s="169">
        <f t="shared" si="41"/>
        <v>17330</v>
      </c>
      <c r="E77" s="169">
        <f t="shared" si="41"/>
        <v>4636</v>
      </c>
      <c r="F77" s="169">
        <f t="shared" si="41"/>
        <v>21848</v>
      </c>
      <c r="G77" s="169">
        <f t="shared" si="41"/>
        <v>32028</v>
      </c>
      <c r="H77" s="169">
        <f t="shared" si="41"/>
        <v>36605</v>
      </c>
      <c r="I77" s="171">
        <f t="shared" si="40"/>
        <v>0.14290620706881474</v>
      </c>
      <c r="J77" s="170">
        <f t="shared" si="37"/>
        <v>1.1122331217541834</v>
      </c>
      <c r="K77" s="168">
        <f>H77-G77</f>
        <v>4577</v>
      </c>
      <c r="L77" s="169">
        <f t="shared" si="39"/>
        <v>19275</v>
      </c>
      <c r="M77" s="170">
        <f t="shared" si="36"/>
        <v>1.1446130485574843E-2</v>
      </c>
    </row>
    <row r="78" spans="2:13" x14ac:dyDescent="0.25">
      <c r="B78" s="153" t="s">
        <v>48</v>
      </c>
      <c r="C78" s="151"/>
      <c r="D78" s="151"/>
      <c r="E78" s="151"/>
      <c r="F78" s="151"/>
      <c r="G78" s="151"/>
      <c r="H78" s="152"/>
      <c r="I78" s="152"/>
      <c r="J78" s="152"/>
      <c r="K78" s="152"/>
      <c r="L78" s="151"/>
      <c r="M78" s="151"/>
    </row>
    <row r="79" spans="2:13" x14ac:dyDescent="0.25">
      <c r="B79" s="154" t="s">
        <v>68</v>
      </c>
      <c r="C79" s="176">
        <f>C80+C83</f>
        <v>493210</v>
      </c>
      <c r="D79" s="176">
        <f t="shared" ref="D79:H79" si="42">D80+D83</f>
        <v>473735</v>
      </c>
      <c r="E79" s="176">
        <f t="shared" si="42"/>
        <v>147476</v>
      </c>
      <c r="F79" s="176">
        <f t="shared" si="42"/>
        <v>423670</v>
      </c>
      <c r="G79" s="176">
        <f t="shared" si="42"/>
        <v>487148</v>
      </c>
      <c r="H79" s="176">
        <f t="shared" si="42"/>
        <v>557192</v>
      </c>
      <c r="I79" s="177">
        <f>IFERROR(H79/G79-1,"-")</f>
        <v>0.14378381929105744</v>
      </c>
      <c r="J79" s="177">
        <f>IFERROR(H79/D79-1,"-")</f>
        <v>0.17616811086366857</v>
      </c>
      <c r="K79" s="176">
        <f>H79-G79</f>
        <v>70044</v>
      </c>
      <c r="L79" s="176">
        <f>H79-D79</f>
        <v>83457</v>
      </c>
      <c r="M79" s="177">
        <f t="shared" ref="M79:M91" si="43">H79/H$9</f>
        <v>0.17423008707877113</v>
      </c>
    </row>
    <row r="80" spans="2:13" x14ac:dyDescent="0.25">
      <c r="B80" s="157" t="s">
        <v>97</v>
      </c>
      <c r="C80" s="158">
        <v>225164</v>
      </c>
      <c r="D80" s="158">
        <v>220486</v>
      </c>
      <c r="E80" s="158">
        <v>63362</v>
      </c>
      <c r="F80" s="158">
        <v>217516</v>
      </c>
      <c r="G80" s="158">
        <v>224955</v>
      </c>
      <c r="H80" s="158">
        <v>237197</v>
      </c>
      <c r="I80" s="160">
        <f>IFERROR(H80/G80-1,"-")</f>
        <v>5.441977284345767E-2</v>
      </c>
      <c r="J80" s="159">
        <f t="shared" ref="J80:J91" si="44">IFERROR(H80/D80-1,"-")</f>
        <v>7.5791660241466552E-2</v>
      </c>
      <c r="K80" s="157">
        <f t="shared" ref="K80:K90" si="45">H80-G80</f>
        <v>12242</v>
      </c>
      <c r="L80" s="158">
        <f t="shared" ref="L80:L91" si="46">H80-D80</f>
        <v>16711</v>
      </c>
      <c r="M80" s="159">
        <f t="shared" si="43"/>
        <v>7.4169862390025834E-2</v>
      </c>
    </row>
    <row r="81" spans="2:13" x14ac:dyDescent="0.25">
      <c r="B81" s="162" t="s">
        <v>103</v>
      </c>
      <c r="C81" s="163">
        <v>51682</v>
      </c>
      <c r="D81" s="163">
        <v>37912</v>
      </c>
      <c r="E81" s="163">
        <v>12845</v>
      </c>
      <c r="F81" s="163">
        <v>52132</v>
      </c>
      <c r="G81" s="163">
        <v>48829</v>
      </c>
      <c r="H81" s="163">
        <v>58314</v>
      </c>
      <c r="I81" s="165">
        <f>IFERROR(H81/G81-1,"-")</f>
        <v>0.19424931905220255</v>
      </c>
      <c r="J81" s="164">
        <f t="shared" si="44"/>
        <v>0.53814095800801853</v>
      </c>
      <c r="K81" s="162">
        <f t="shared" si="45"/>
        <v>9485</v>
      </c>
      <c r="L81" s="163">
        <f t="shared" si="46"/>
        <v>20402</v>
      </c>
      <c r="M81" s="164">
        <f t="shared" si="43"/>
        <v>1.8234384732572363E-2</v>
      </c>
    </row>
    <row r="82" spans="2:13" x14ac:dyDescent="0.25">
      <c r="B82" s="162" t="s">
        <v>100</v>
      </c>
      <c r="C82" s="163">
        <v>173482</v>
      </c>
      <c r="D82" s="163">
        <v>182574</v>
      </c>
      <c r="E82" s="163">
        <v>50517</v>
      </c>
      <c r="F82" s="163">
        <v>165384</v>
      </c>
      <c r="G82" s="163">
        <v>176126</v>
      </c>
      <c r="H82" s="163">
        <v>178883</v>
      </c>
      <c r="I82" s="165">
        <f>IFERROR(H82/G82-1,"-")</f>
        <v>1.565356619692726E-2</v>
      </c>
      <c r="J82" s="164">
        <f t="shared" si="44"/>
        <v>-2.0216460175052298E-2</v>
      </c>
      <c r="K82" s="162">
        <f t="shared" si="45"/>
        <v>2757</v>
      </c>
      <c r="L82" s="163">
        <f t="shared" si="46"/>
        <v>-3691</v>
      </c>
      <c r="M82" s="164">
        <f t="shared" si="43"/>
        <v>5.5935477657453478E-2</v>
      </c>
    </row>
    <row r="83" spans="2:13" x14ac:dyDescent="0.25">
      <c r="B83" s="157" t="s">
        <v>107</v>
      </c>
      <c r="C83" s="158">
        <v>268046</v>
      </c>
      <c r="D83" s="158">
        <v>253249</v>
      </c>
      <c r="E83" s="158">
        <v>84114</v>
      </c>
      <c r="F83" s="158">
        <v>206154</v>
      </c>
      <c r="G83" s="158">
        <v>262193</v>
      </c>
      <c r="H83" s="158">
        <v>319995</v>
      </c>
      <c r="I83" s="160">
        <f>IFERROR(H83/G83-1,"-")</f>
        <v>0.22045592368980094</v>
      </c>
      <c r="J83" s="159">
        <f t="shared" si="44"/>
        <v>0.26355878996560689</v>
      </c>
      <c r="K83" s="157">
        <f t="shared" si="45"/>
        <v>57802</v>
      </c>
      <c r="L83" s="158">
        <f t="shared" si="46"/>
        <v>66746</v>
      </c>
      <c r="M83" s="159">
        <f t="shared" si="43"/>
        <v>0.1000602246887453</v>
      </c>
    </row>
    <row r="84" spans="2:13" x14ac:dyDescent="0.25">
      <c r="B84" s="162" t="s">
        <v>110</v>
      </c>
      <c r="C84" s="163">
        <v>39304</v>
      </c>
      <c r="D84" s="163">
        <v>46406</v>
      </c>
      <c r="E84" s="163">
        <v>16144</v>
      </c>
      <c r="F84" s="163">
        <v>44073</v>
      </c>
      <c r="G84" s="163">
        <v>58110</v>
      </c>
      <c r="H84" s="163">
        <v>70739</v>
      </c>
      <c r="I84" s="165">
        <f t="shared" ref="I84:I91" si="47">IFERROR(H84/G84-1,"-")</f>
        <v>0.21732920323524341</v>
      </c>
      <c r="J84" s="164">
        <f t="shared" si="44"/>
        <v>0.52435029953023315</v>
      </c>
      <c r="K84" s="162">
        <f t="shared" si="45"/>
        <v>12629</v>
      </c>
      <c r="L84" s="163">
        <f t="shared" si="46"/>
        <v>24333</v>
      </c>
      <c r="M84" s="164">
        <f t="shared" si="43"/>
        <v>2.2119596350746586E-2</v>
      </c>
    </row>
    <row r="85" spans="2:13" x14ac:dyDescent="0.25">
      <c r="B85" s="162" t="s">
        <v>113</v>
      </c>
      <c r="C85" s="163">
        <v>123881</v>
      </c>
      <c r="D85" s="163">
        <v>101891</v>
      </c>
      <c r="E85" s="163">
        <v>30159</v>
      </c>
      <c r="F85" s="163">
        <v>66273</v>
      </c>
      <c r="G85" s="163">
        <v>77508</v>
      </c>
      <c r="H85" s="163">
        <v>86026</v>
      </c>
      <c r="I85" s="165">
        <f t="shared" si="47"/>
        <v>0.1098983330752954</v>
      </c>
      <c r="J85" s="164">
        <f t="shared" si="44"/>
        <v>-0.15570560697215652</v>
      </c>
      <c r="K85" s="162">
        <f t="shared" si="45"/>
        <v>8518</v>
      </c>
      <c r="L85" s="163">
        <f t="shared" si="46"/>
        <v>-15865</v>
      </c>
      <c r="M85" s="164">
        <f t="shared" si="43"/>
        <v>2.6899735586724802E-2</v>
      </c>
    </row>
    <row r="86" spans="2:13" x14ac:dyDescent="0.25">
      <c r="B86" s="162" t="s">
        <v>116</v>
      </c>
      <c r="C86" s="163">
        <v>13721</v>
      </c>
      <c r="D86" s="163">
        <v>15440</v>
      </c>
      <c r="E86" s="163">
        <v>5720</v>
      </c>
      <c r="F86" s="163">
        <v>18921</v>
      </c>
      <c r="G86" s="163">
        <v>26888</v>
      </c>
      <c r="H86" s="163">
        <v>39888</v>
      </c>
      <c r="I86" s="165">
        <f t="shared" si="47"/>
        <v>0.48348705742338582</v>
      </c>
      <c r="J86" s="164">
        <f t="shared" si="44"/>
        <v>1.5834196891191712</v>
      </c>
      <c r="K86" s="162">
        <f t="shared" si="45"/>
        <v>13000</v>
      </c>
      <c r="L86" s="163">
        <f t="shared" si="46"/>
        <v>24448</v>
      </c>
      <c r="M86" s="164">
        <f t="shared" si="43"/>
        <v>1.2472701893419187E-2</v>
      </c>
    </row>
    <row r="87" spans="2:13" x14ac:dyDescent="0.25">
      <c r="B87" s="162" t="s">
        <v>123</v>
      </c>
      <c r="C87" s="163">
        <v>6069</v>
      </c>
      <c r="D87" s="163">
        <v>4756</v>
      </c>
      <c r="E87" s="163">
        <v>1339</v>
      </c>
      <c r="F87" s="163">
        <v>3967</v>
      </c>
      <c r="G87" s="163">
        <v>5102</v>
      </c>
      <c r="H87" s="163">
        <v>9067</v>
      </c>
      <c r="I87" s="165">
        <f t="shared" si="47"/>
        <v>0.77714621716973742</v>
      </c>
      <c r="J87" s="164">
        <f t="shared" si="44"/>
        <v>0.90643397813288473</v>
      </c>
      <c r="K87" s="162">
        <f t="shared" si="45"/>
        <v>3965</v>
      </c>
      <c r="L87" s="163">
        <f t="shared" si="46"/>
        <v>4311</v>
      </c>
      <c r="M87" s="164">
        <f t="shared" si="43"/>
        <v>2.8351882287312416E-3</v>
      </c>
    </row>
    <row r="88" spans="2:13" x14ac:dyDescent="0.25">
      <c r="B88" s="162" t="s">
        <v>119</v>
      </c>
      <c r="C88" s="163">
        <v>4725</v>
      </c>
      <c r="D88" s="163">
        <v>4424</v>
      </c>
      <c r="E88" s="163">
        <v>1599</v>
      </c>
      <c r="F88" s="163">
        <v>3647</v>
      </c>
      <c r="G88" s="163">
        <v>4571</v>
      </c>
      <c r="H88" s="163">
        <v>5773</v>
      </c>
      <c r="I88" s="165">
        <f t="shared" si="47"/>
        <v>0.26296215270181578</v>
      </c>
      <c r="J88" s="164">
        <f t="shared" si="44"/>
        <v>0.30492766726943943</v>
      </c>
      <c r="K88" s="162">
        <f t="shared" si="45"/>
        <v>1202</v>
      </c>
      <c r="L88" s="163">
        <f t="shared" si="46"/>
        <v>1349</v>
      </c>
      <c r="M88" s="164">
        <f t="shared" si="43"/>
        <v>1.8051771969190976E-3</v>
      </c>
    </row>
    <row r="89" spans="2:13" x14ac:dyDescent="0.25">
      <c r="B89" s="162" t="s">
        <v>128</v>
      </c>
      <c r="C89" s="163">
        <v>2100</v>
      </c>
      <c r="D89" s="163">
        <v>2595</v>
      </c>
      <c r="E89" s="163">
        <v>1697</v>
      </c>
      <c r="F89" s="163">
        <v>1992</v>
      </c>
      <c r="G89" s="163">
        <v>2564</v>
      </c>
      <c r="H89" s="163">
        <v>2547</v>
      </c>
      <c r="I89" s="165">
        <f t="shared" si="47"/>
        <v>-6.6302652106083881E-3</v>
      </c>
      <c r="J89" s="164">
        <f t="shared" si="44"/>
        <v>-1.8497109826589586E-2</v>
      </c>
      <c r="K89" s="162">
        <f t="shared" si="45"/>
        <v>-17</v>
      </c>
      <c r="L89" s="163">
        <f t="shared" si="46"/>
        <v>-48</v>
      </c>
      <c r="M89" s="164">
        <f t="shared" si="43"/>
        <v>7.9642929508971793E-4</v>
      </c>
    </row>
    <row r="90" spans="2:13" x14ac:dyDescent="0.25">
      <c r="B90" s="162" t="s">
        <v>131</v>
      </c>
      <c r="C90" s="163">
        <v>4907</v>
      </c>
      <c r="D90" s="163">
        <v>4041</v>
      </c>
      <c r="E90" s="163">
        <v>2284</v>
      </c>
      <c r="F90" s="163">
        <v>1771</v>
      </c>
      <c r="G90" s="163">
        <v>2587</v>
      </c>
      <c r="H90" s="163">
        <v>3118</v>
      </c>
      <c r="I90" s="165">
        <f t="shared" si="47"/>
        <v>0.20525705450328569</v>
      </c>
      <c r="J90" s="164">
        <f t="shared" si="44"/>
        <v>-0.2284088097005692</v>
      </c>
      <c r="K90" s="162">
        <f t="shared" si="45"/>
        <v>531</v>
      </c>
      <c r="L90" s="163">
        <f t="shared" si="46"/>
        <v>-923</v>
      </c>
      <c r="M90" s="164">
        <f t="shared" si="43"/>
        <v>9.7497704832734215E-4</v>
      </c>
    </row>
    <row r="91" spans="2:13" x14ac:dyDescent="0.25">
      <c r="B91" s="168" t="s">
        <v>145</v>
      </c>
      <c r="C91" s="169">
        <f t="shared" ref="C91:H91" si="48">C83-SUM(C84:C90)</f>
        <v>73339</v>
      </c>
      <c r="D91" s="169">
        <f t="shared" si="48"/>
        <v>73696</v>
      </c>
      <c r="E91" s="169">
        <f t="shared" si="48"/>
        <v>25172</v>
      </c>
      <c r="F91" s="169">
        <f t="shared" si="48"/>
        <v>65510</v>
      </c>
      <c r="G91" s="169">
        <f t="shared" si="48"/>
        <v>84863</v>
      </c>
      <c r="H91" s="169">
        <f t="shared" si="48"/>
        <v>102837</v>
      </c>
      <c r="I91" s="171">
        <f t="shared" si="47"/>
        <v>0.211800195609394</v>
      </c>
      <c r="J91" s="170">
        <f t="shared" si="44"/>
        <v>0.39542173252279644</v>
      </c>
      <c r="K91" s="168">
        <f>H91-G91</f>
        <v>17974</v>
      </c>
      <c r="L91" s="169">
        <f t="shared" si="46"/>
        <v>29141</v>
      </c>
      <c r="M91" s="170">
        <f t="shared" si="43"/>
        <v>3.2156419088787323E-2</v>
      </c>
    </row>
    <row r="92" spans="2:13" x14ac:dyDescent="0.25">
      <c r="B92" s="153" t="s">
        <v>49</v>
      </c>
      <c r="C92" s="151"/>
      <c r="D92" s="151"/>
      <c r="E92" s="151"/>
      <c r="F92" s="151"/>
      <c r="G92" s="151"/>
      <c r="H92" s="152"/>
      <c r="I92" s="152"/>
      <c r="J92" s="152"/>
      <c r="K92" s="152"/>
      <c r="L92" s="151"/>
      <c r="M92" s="151"/>
    </row>
    <row r="93" spans="2:13" x14ac:dyDescent="0.25">
      <c r="B93" s="154" t="s">
        <v>68</v>
      </c>
      <c r="C93" s="176">
        <f>C94+C97</f>
        <v>38635</v>
      </c>
      <c r="D93" s="176">
        <f t="shared" ref="D93:H93" si="49">D94+D97</f>
        <v>39423</v>
      </c>
      <c r="E93" s="176">
        <f t="shared" si="49"/>
        <v>17295</v>
      </c>
      <c r="F93" s="176">
        <f t="shared" si="49"/>
        <v>37456</v>
      </c>
      <c r="G93" s="176">
        <f t="shared" si="49"/>
        <v>44189</v>
      </c>
      <c r="H93" s="176">
        <f t="shared" si="49"/>
        <v>41777</v>
      </c>
      <c r="I93" s="177">
        <f>IFERROR(H93/G93-1,"-")</f>
        <v>-5.4583719930299424E-2</v>
      </c>
      <c r="J93" s="177">
        <f>IFERROR(H93/D93-1,"-")</f>
        <v>5.9711336022119088E-2</v>
      </c>
      <c r="K93" s="176">
        <f>H93-G93</f>
        <v>-2412</v>
      </c>
      <c r="L93" s="176">
        <f>H93-D93</f>
        <v>2354</v>
      </c>
      <c r="M93" s="177">
        <f t="shared" ref="M93:M105" si="50">H93/H$9</f>
        <v>1.306337913661686E-2</v>
      </c>
    </row>
    <row r="94" spans="2:13" x14ac:dyDescent="0.25">
      <c r="B94" s="157" t="s">
        <v>97</v>
      </c>
      <c r="C94" s="158">
        <v>24706</v>
      </c>
      <c r="D94" s="158">
        <v>26258</v>
      </c>
      <c r="E94" s="158">
        <v>11031</v>
      </c>
      <c r="F94" s="158">
        <v>24786</v>
      </c>
      <c r="G94" s="158">
        <v>29860</v>
      </c>
      <c r="H94" s="158">
        <v>26153</v>
      </c>
      <c r="I94" s="160">
        <f>IFERROR(H94/G94-1,"-")</f>
        <v>-0.12414601473543196</v>
      </c>
      <c r="J94" s="159">
        <f t="shared" ref="J94:J105" si="51">IFERROR(H94/D94-1,"-")</f>
        <v>-3.9987813237870595E-3</v>
      </c>
      <c r="K94" s="157">
        <f t="shared" ref="K94:K104" si="52">H94-G94</f>
        <v>-3707</v>
      </c>
      <c r="L94" s="158">
        <f t="shared" ref="L94:L105" si="53">H94-D94</f>
        <v>-105</v>
      </c>
      <c r="M94" s="159">
        <f t="shared" si="50"/>
        <v>8.1778623299887682E-3</v>
      </c>
    </row>
    <row r="95" spans="2:13" x14ac:dyDescent="0.25">
      <c r="B95" s="162" t="s">
        <v>103</v>
      </c>
      <c r="C95" s="163">
        <v>12054</v>
      </c>
      <c r="D95" s="163">
        <v>12910</v>
      </c>
      <c r="E95" s="163">
        <v>5930</v>
      </c>
      <c r="F95" s="163">
        <v>11891</v>
      </c>
      <c r="G95" s="163">
        <v>9535</v>
      </c>
      <c r="H95" s="163">
        <v>8202</v>
      </c>
      <c r="I95" s="165">
        <f>IFERROR(H95/G95-1,"-")</f>
        <v>-0.13980073413738858</v>
      </c>
      <c r="J95" s="164">
        <f t="shared" si="51"/>
        <v>-0.36467854376452358</v>
      </c>
      <c r="K95" s="162">
        <f t="shared" si="52"/>
        <v>-1333</v>
      </c>
      <c r="L95" s="163">
        <f t="shared" si="53"/>
        <v>-4708</v>
      </c>
      <c r="M95" s="164">
        <f t="shared" si="50"/>
        <v>2.5647087076269598E-3</v>
      </c>
    </row>
    <row r="96" spans="2:13" x14ac:dyDescent="0.25">
      <c r="B96" s="162" t="s">
        <v>100</v>
      </c>
      <c r="C96" s="163">
        <v>12652</v>
      </c>
      <c r="D96" s="163">
        <v>13348</v>
      </c>
      <c r="E96" s="163">
        <v>5101</v>
      </c>
      <c r="F96" s="163">
        <v>12895</v>
      </c>
      <c r="G96" s="163">
        <v>20325</v>
      </c>
      <c r="H96" s="163">
        <v>17951</v>
      </c>
      <c r="I96" s="165">
        <f>IFERROR(H96/G96-1,"-")</f>
        <v>-0.11680196801968024</v>
      </c>
      <c r="J96" s="164">
        <f t="shared" si="51"/>
        <v>0.34484566976326048</v>
      </c>
      <c r="K96" s="162">
        <f t="shared" si="52"/>
        <v>-2374</v>
      </c>
      <c r="L96" s="163">
        <f t="shared" si="53"/>
        <v>4603</v>
      </c>
      <c r="M96" s="164">
        <f t="shared" si="50"/>
        <v>5.613153622361808E-3</v>
      </c>
    </row>
    <row r="97" spans="2:13" x14ac:dyDescent="0.25">
      <c r="B97" s="157" t="s">
        <v>107</v>
      </c>
      <c r="C97" s="158">
        <v>13929</v>
      </c>
      <c r="D97" s="158">
        <v>13165</v>
      </c>
      <c r="E97" s="158">
        <v>6264</v>
      </c>
      <c r="F97" s="158">
        <v>12670</v>
      </c>
      <c r="G97" s="158">
        <v>14329</v>
      </c>
      <c r="H97" s="158">
        <v>15624</v>
      </c>
      <c r="I97" s="160">
        <f>IFERROR(H97/G97-1,"-")</f>
        <v>9.0376160234489467E-2</v>
      </c>
      <c r="J97" s="159">
        <f t="shared" si="51"/>
        <v>0.18678313710596273</v>
      </c>
      <c r="K97" s="157">
        <f t="shared" si="52"/>
        <v>1295</v>
      </c>
      <c r="L97" s="158">
        <f t="shared" si="53"/>
        <v>2459</v>
      </c>
      <c r="M97" s="159">
        <f t="shared" si="50"/>
        <v>4.8855168066280928E-3</v>
      </c>
    </row>
    <row r="98" spans="2:13" x14ac:dyDescent="0.25">
      <c r="B98" s="162" t="s">
        <v>110</v>
      </c>
      <c r="C98" s="163">
        <v>1655</v>
      </c>
      <c r="D98" s="163">
        <v>1768</v>
      </c>
      <c r="E98" s="163">
        <v>1042</v>
      </c>
      <c r="F98" s="163">
        <v>1661</v>
      </c>
      <c r="G98" s="163">
        <v>2018</v>
      </c>
      <c r="H98" s="163">
        <v>2246</v>
      </c>
      <c r="I98" s="165">
        <f t="shared" ref="I98:I105" si="54">IFERROR(H98/G98-1,"-")</f>
        <v>0.11298315163528239</v>
      </c>
      <c r="J98" s="164">
        <f t="shared" si="51"/>
        <v>0.27036199095022617</v>
      </c>
      <c r="K98" s="162">
        <f t="shared" si="52"/>
        <v>228</v>
      </c>
      <c r="L98" s="163">
        <f t="shared" si="53"/>
        <v>478</v>
      </c>
      <c r="M98" s="164">
        <f t="shared" si="50"/>
        <v>7.0230867560718739E-4</v>
      </c>
    </row>
    <row r="99" spans="2:13" x14ac:dyDescent="0.25">
      <c r="B99" s="162" t="s">
        <v>113</v>
      </c>
      <c r="C99" s="163">
        <v>3049</v>
      </c>
      <c r="D99" s="163">
        <v>2593</v>
      </c>
      <c r="E99" s="163">
        <v>1199</v>
      </c>
      <c r="F99" s="163">
        <v>2396</v>
      </c>
      <c r="G99" s="163">
        <v>2589</v>
      </c>
      <c r="H99" s="163">
        <v>3010</v>
      </c>
      <c r="I99" s="165">
        <f t="shared" si="54"/>
        <v>0.16261104673619164</v>
      </c>
      <c r="J99" s="164">
        <f t="shared" si="51"/>
        <v>0.16081758580794436</v>
      </c>
      <c r="K99" s="162">
        <f t="shared" si="52"/>
        <v>421</v>
      </c>
      <c r="L99" s="163">
        <f t="shared" si="53"/>
        <v>417</v>
      </c>
      <c r="M99" s="164">
        <f t="shared" si="50"/>
        <v>9.4120619482530464E-4</v>
      </c>
    </row>
    <row r="100" spans="2:13" x14ac:dyDescent="0.25">
      <c r="B100" s="162" t="s">
        <v>116</v>
      </c>
      <c r="C100" s="163">
        <v>3051</v>
      </c>
      <c r="D100" s="163">
        <v>2809</v>
      </c>
      <c r="E100" s="163">
        <v>1494</v>
      </c>
      <c r="F100" s="163">
        <v>2543</v>
      </c>
      <c r="G100" s="163">
        <v>2839</v>
      </c>
      <c r="H100" s="163">
        <v>2752</v>
      </c>
      <c r="I100" s="165">
        <f t="shared" si="54"/>
        <v>-3.0644593166607947E-2</v>
      </c>
      <c r="J100" s="164">
        <f t="shared" si="51"/>
        <v>-2.0291918832324618E-2</v>
      </c>
      <c r="K100" s="162">
        <f t="shared" si="52"/>
        <v>-87</v>
      </c>
      <c r="L100" s="163">
        <f t="shared" si="53"/>
        <v>-57</v>
      </c>
      <c r="M100" s="164">
        <f t="shared" si="50"/>
        <v>8.6053137812599275E-4</v>
      </c>
    </row>
    <row r="101" spans="2:13" x14ac:dyDescent="0.25">
      <c r="B101" s="162" t="s">
        <v>123</v>
      </c>
      <c r="C101" s="163">
        <v>392</v>
      </c>
      <c r="D101" s="163">
        <v>442</v>
      </c>
      <c r="E101" s="163">
        <v>280</v>
      </c>
      <c r="F101" s="163">
        <v>886</v>
      </c>
      <c r="G101" s="163">
        <v>646</v>
      </c>
      <c r="H101" s="163">
        <v>701</v>
      </c>
      <c r="I101" s="165">
        <f t="shared" si="54"/>
        <v>8.5139318885449011E-2</v>
      </c>
      <c r="J101" s="164">
        <f t="shared" si="51"/>
        <v>0.58597285067873295</v>
      </c>
      <c r="K101" s="162">
        <f t="shared" si="52"/>
        <v>55</v>
      </c>
      <c r="L101" s="163">
        <f t="shared" si="53"/>
        <v>259</v>
      </c>
      <c r="M101" s="164">
        <f t="shared" si="50"/>
        <v>2.1919785467526198E-4</v>
      </c>
    </row>
    <row r="102" spans="2:13" x14ac:dyDescent="0.25">
      <c r="B102" s="162" t="s">
        <v>119</v>
      </c>
      <c r="C102" s="163">
        <v>331</v>
      </c>
      <c r="D102" s="163">
        <v>373</v>
      </c>
      <c r="E102" s="163">
        <v>217</v>
      </c>
      <c r="F102" s="163">
        <v>523</v>
      </c>
      <c r="G102" s="163">
        <v>426</v>
      </c>
      <c r="H102" s="163">
        <v>639</v>
      </c>
      <c r="I102" s="165">
        <f t="shared" si="54"/>
        <v>0.5</v>
      </c>
      <c r="J102" s="164">
        <f t="shared" si="51"/>
        <v>0.71313672922252014</v>
      </c>
      <c r="K102" s="162">
        <f t="shared" si="52"/>
        <v>213</v>
      </c>
      <c r="L102" s="163">
        <f t="shared" si="53"/>
        <v>266</v>
      </c>
      <c r="M102" s="164">
        <f t="shared" si="50"/>
        <v>1.9981088322038859E-4</v>
      </c>
    </row>
    <row r="103" spans="2:13" x14ac:dyDescent="0.25">
      <c r="B103" s="162" t="s">
        <v>128</v>
      </c>
      <c r="C103" s="163">
        <v>98</v>
      </c>
      <c r="D103" s="163">
        <v>107</v>
      </c>
      <c r="E103" s="163">
        <v>114</v>
      </c>
      <c r="F103" s="163">
        <v>222</v>
      </c>
      <c r="G103" s="163">
        <v>106</v>
      </c>
      <c r="H103" s="163">
        <v>178</v>
      </c>
      <c r="I103" s="165">
        <f t="shared" si="54"/>
        <v>0.679245283018868</v>
      </c>
      <c r="J103" s="164">
        <f t="shared" si="51"/>
        <v>0.66355140186915884</v>
      </c>
      <c r="K103" s="162">
        <f t="shared" si="52"/>
        <v>72</v>
      </c>
      <c r="L103" s="163">
        <f t="shared" si="53"/>
        <v>71</v>
      </c>
      <c r="M103" s="164">
        <f t="shared" si="50"/>
        <v>5.5659369660765523E-5</v>
      </c>
    </row>
    <row r="104" spans="2:13" x14ac:dyDescent="0.25">
      <c r="B104" s="162" t="s">
        <v>131</v>
      </c>
      <c r="C104" s="163">
        <v>239</v>
      </c>
      <c r="D104" s="163">
        <v>146</v>
      </c>
      <c r="E104" s="163">
        <v>66</v>
      </c>
      <c r="F104" s="163">
        <v>114</v>
      </c>
      <c r="G104" s="163">
        <v>190</v>
      </c>
      <c r="H104" s="163">
        <v>282</v>
      </c>
      <c r="I104" s="165">
        <f t="shared" si="54"/>
        <v>0.48421052631578942</v>
      </c>
      <c r="J104" s="164">
        <f t="shared" si="51"/>
        <v>0.93150684931506844</v>
      </c>
      <c r="K104" s="162">
        <f t="shared" si="52"/>
        <v>92</v>
      </c>
      <c r="L104" s="163">
        <f t="shared" si="53"/>
        <v>136</v>
      </c>
      <c r="M104" s="164">
        <f t="shared" si="50"/>
        <v>8.8179450810875714E-5</v>
      </c>
    </row>
    <row r="105" spans="2:13" x14ac:dyDescent="0.25">
      <c r="B105" s="168" t="s">
        <v>145</v>
      </c>
      <c r="C105" s="169">
        <f t="shared" ref="C105:H105" si="55">C97-SUM(C98:C104)</f>
        <v>5114</v>
      </c>
      <c r="D105" s="169">
        <f t="shared" si="55"/>
        <v>4927</v>
      </c>
      <c r="E105" s="169">
        <f t="shared" si="55"/>
        <v>1852</v>
      </c>
      <c r="F105" s="169">
        <f t="shared" si="55"/>
        <v>4325</v>
      </c>
      <c r="G105" s="169">
        <f t="shared" si="55"/>
        <v>5515</v>
      </c>
      <c r="H105" s="169">
        <f t="shared" si="55"/>
        <v>5816</v>
      </c>
      <c r="I105" s="171">
        <f t="shared" si="54"/>
        <v>5.4578422484134137E-2</v>
      </c>
      <c r="J105" s="170">
        <f t="shared" si="51"/>
        <v>0.18043434138420955</v>
      </c>
      <c r="K105" s="168">
        <f>H105-G105</f>
        <v>301</v>
      </c>
      <c r="L105" s="169">
        <f t="shared" si="53"/>
        <v>889</v>
      </c>
      <c r="M105" s="170">
        <f t="shared" si="50"/>
        <v>1.8186229997023161E-3</v>
      </c>
    </row>
    <row r="106" spans="2:13" x14ac:dyDescent="0.25">
      <c r="B106" s="153" t="s">
        <v>50</v>
      </c>
      <c r="C106" s="151"/>
      <c r="D106" s="151"/>
      <c r="E106" s="151"/>
      <c r="F106" s="151"/>
      <c r="G106" s="151"/>
      <c r="H106" s="152"/>
      <c r="I106" s="152"/>
      <c r="J106" s="152"/>
      <c r="K106" s="152"/>
      <c r="L106" s="151"/>
      <c r="M106" s="151"/>
    </row>
    <row r="107" spans="2:13" x14ac:dyDescent="0.25">
      <c r="B107" s="154" t="s">
        <v>68</v>
      </c>
      <c r="C107" s="176">
        <f>C108+C111</f>
        <v>63183</v>
      </c>
      <c r="D107" s="176">
        <f t="shared" ref="D107:H107" si="56">D108+D111</f>
        <v>63582</v>
      </c>
      <c r="E107" s="176">
        <f t="shared" si="56"/>
        <v>45963</v>
      </c>
      <c r="F107" s="176">
        <f t="shared" si="56"/>
        <v>124607</v>
      </c>
      <c r="G107" s="176">
        <f t="shared" si="56"/>
        <v>163429</v>
      </c>
      <c r="H107" s="176">
        <f t="shared" si="56"/>
        <v>157299</v>
      </c>
      <c r="I107" s="177">
        <f>IFERROR(H107/G107-1,"-")</f>
        <v>-3.7508642896915467E-2</v>
      </c>
      <c r="J107" s="177">
        <f>IFERROR(H107/D107-1,"-")</f>
        <v>1.4739548928942154</v>
      </c>
      <c r="K107" s="176">
        <f>H107-G107</f>
        <v>-6130</v>
      </c>
      <c r="L107" s="176">
        <f>H107-D107</f>
        <v>93717</v>
      </c>
      <c r="M107" s="177">
        <f t="shared" ref="M107:M119" si="57">H107/H$9</f>
        <v>4.9186310046453685E-2</v>
      </c>
    </row>
    <row r="108" spans="2:13" x14ac:dyDescent="0.25">
      <c r="B108" s="157" t="s">
        <v>97</v>
      </c>
      <c r="C108" s="158">
        <v>12496</v>
      </c>
      <c r="D108" s="158">
        <v>13571</v>
      </c>
      <c r="E108" s="158">
        <v>22313</v>
      </c>
      <c r="F108" s="158">
        <v>31290</v>
      </c>
      <c r="G108" s="158">
        <v>37406</v>
      </c>
      <c r="H108" s="158">
        <v>35367</v>
      </c>
      <c r="I108" s="160">
        <f>IFERROR(H108/G108-1,"-")</f>
        <v>-5.4509971662300205E-2</v>
      </c>
      <c r="J108" s="159">
        <f t="shared" ref="J108:J119" si="58">IFERROR(H108/D108-1,"-")</f>
        <v>1.6060717706874952</v>
      </c>
      <c r="K108" s="157">
        <f t="shared" ref="K108:K118" si="59">H108-G108</f>
        <v>-2039</v>
      </c>
      <c r="L108" s="158">
        <f t="shared" ref="L108:L119" si="60">H108-D108</f>
        <v>21796</v>
      </c>
      <c r="M108" s="159">
        <f t="shared" si="57"/>
        <v>1.1059016442653339E-2</v>
      </c>
    </row>
    <row r="109" spans="2:13" x14ac:dyDescent="0.25">
      <c r="B109" s="162" t="s">
        <v>103</v>
      </c>
      <c r="C109" s="163">
        <v>2063</v>
      </c>
      <c r="D109" s="163">
        <v>2488</v>
      </c>
      <c r="E109" s="163">
        <v>606</v>
      </c>
      <c r="F109" s="163">
        <v>8698</v>
      </c>
      <c r="G109" s="163">
        <v>12435</v>
      </c>
      <c r="H109" s="163">
        <v>10145</v>
      </c>
      <c r="I109" s="165">
        <f>IFERROR(H109/G109-1,"-")</f>
        <v>-0.18415761962203459</v>
      </c>
      <c r="J109" s="164">
        <f t="shared" si="58"/>
        <v>3.077572347266881</v>
      </c>
      <c r="K109" s="162">
        <f t="shared" si="59"/>
        <v>-2290</v>
      </c>
      <c r="L109" s="163">
        <f t="shared" si="60"/>
        <v>7657</v>
      </c>
      <c r="M109" s="164">
        <f t="shared" si="57"/>
        <v>3.172271377575653E-3</v>
      </c>
    </row>
    <row r="110" spans="2:13" x14ac:dyDescent="0.25">
      <c r="B110" s="162" t="s">
        <v>100</v>
      </c>
      <c r="C110" s="163">
        <v>10433</v>
      </c>
      <c r="D110" s="163">
        <v>11083</v>
      </c>
      <c r="E110" s="163">
        <v>21707</v>
      </c>
      <c r="F110" s="163">
        <v>22592</v>
      </c>
      <c r="G110" s="163">
        <v>24971</v>
      </c>
      <c r="H110" s="163">
        <v>25222</v>
      </c>
      <c r="I110" s="165">
        <f>IFERROR(H110/G110-1,"-")</f>
        <v>1.0051659925513601E-2</v>
      </c>
      <c r="J110" s="164">
        <f t="shared" si="58"/>
        <v>1.2757376161689074</v>
      </c>
      <c r="K110" s="162">
        <f t="shared" si="59"/>
        <v>251</v>
      </c>
      <c r="L110" s="163">
        <f t="shared" si="60"/>
        <v>14139</v>
      </c>
      <c r="M110" s="164">
        <f t="shared" si="57"/>
        <v>7.8867450650776851E-3</v>
      </c>
    </row>
    <row r="111" spans="2:13" x14ac:dyDescent="0.25">
      <c r="B111" s="157" t="s">
        <v>107</v>
      </c>
      <c r="C111" s="158">
        <v>50687</v>
      </c>
      <c r="D111" s="158">
        <v>50011</v>
      </c>
      <c r="E111" s="158">
        <v>23650</v>
      </c>
      <c r="F111" s="158">
        <v>93317</v>
      </c>
      <c r="G111" s="158">
        <v>126023</v>
      </c>
      <c r="H111" s="158">
        <v>121932</v>
      </c>
      <c r="I111" s="160">
        <f>IFERROR(H111/G111-1,"-")</f>
        <v>-3.2462328305150612E-2</v>
      </c>
      <c r="J111" s="159">
        <f t="shared" si="58"/>
        <v>1.4381036172042152</v>
      </c>
      <c r="K111" s="157">
        <f t="shared" si="59"/>
        <v>-4091</v>
      </c>
      <c r="L111" s="158">
        <f t="shared" si="60"/>
        <v>71921</v>
      </c>
      <c r="M111" s="159">
        <f t="shared" si="57"/>
        <v>3.812729360380035E-2</v>
      </c>
    </row>
    <row r="112" spans="2:13" x14ac:dyDescent="0.25">
      <c r="B112" s="162" t="s">
        <v>110</v>
      </c>
      <c r="C112" s="163">
        <v>26886</v>
      </c>
      <c r="D112" s="163">
        <v>28201</v>
      </c>
      <c r="E112" s="163">
        <v>11536</v>
      </c>
      <c r="F112" s="163">
        <v>56042</v>
      </c>
      <c r="G112" s="163">
        <v>83042</v>
      </c>
      <c r="H112" s="163">
        <v>76715</v>
      </c>
      <c r="I112" s="165">
        <f t="shared" ref="I112:I119" si="61">IFERROR(H112/G112-1,"-")</f>
        <v>-7.6190361503817305E-2</v>
      </c>
      <c r="J112" s="164">
        <f t="shared" si="58"/>
        <v>1.7202936066096948</v>
      </c>
      <c r="K112" s="162">
        <f t="shared" si="59"/>
        <v>-6327</v>
      </c>
      <c r="L112" s="163">
        <f t="shared" si="60"/>
        <v>48514</v>
      </c>
      <c r="M112" s="164">
        <f t="shared" si="57"/>
        <v>2.3988250244525996E-2</v>
      </c>
    </row>
    <row r="113" spans="2:13" x14ac:dyDescent="0.25">
      <c r="B113" s="162" t="s">
        <v>113</v>
      </c>
      <c r="C113" s="163">
        <v>3868</v>
      </c>
      <c r="D113" s="163">
        <v>3326</v>
      </c>
      <c r="E113" s="163">
        <v>1861</v>
      </c>
      <c r="F113" s="163">
        <v>4079</v>
      </c>
      <c r="G113" s="163">
        <v>5399</v>
      </c>
      <c r="H113" s="163">
        <v>5111</v>
      </c>
      <c r="I113" s="165">
        <f t="shared" si="61"/>
        <v>-5.3343211705871418E-2</v>
      </c>
      <c r="J113" s="164">
        <f t="shared" si="58"/>
        <v>0.53668069753457615</v>
      </c>
      <c r="K113" s="162">
        <f t="shared" si="59"/>
        <v>-288</v>
      </c>
      <c r="L113" s="163">
        <f t="shared" si="60"/>
        <v>1785</v>
      </c>
      <c r="M113" s="164">
        <f t="shared" si="57"/>
        <v>1.5981743726751268E-3</v>
      </c>
    </row>
    <row r="114" spans="2:13" x14ac:dyDescent="0.25">
      <c r="B114" s="162" t="s">
        <v>116</v>
      </c>
      <c r="C114" s="163">
        <v>8940</v>
      </c>
      <c r="D114" s="163">
        <v>7744</v>
      </c>
      <c r="E114" s="163">
        <v>1351</v>
      </c>
      <c r="F114" s="163">
        <v>6231</v>
      </c>
      <c r="G114" s="163">
        <v>9908</v>
      </c>
      <c r="H114" s="163">
        <v>9298</v>
      </c>
      <c r="I114" s="165">
        <f t="shared" si="61"/>
        <v>-6.1566410981025443E-2</v>
      </c>
      <c r="J114" s="164">
        <f t="shared" si="58"/>
        <v>0.20067148760330578</v>
      </c>
      <c r="K114" s="162">
        <f t="shared" si="59"/>
        <v>-610</v>
      </c>
      <c r="L114" s="163">
        <f t="shared" si="60"/>
        <v>1554</v>
      </c>
      <c r="M114" s="164">
        <f t="shared" si="57"/>
        <v>2.907420332055044E-3</v>
      </c>
    </row>
    <row r="115" spans="2:13" x14ac:dyDescent="0.25">
      <c r="B115" s="162" t="s">
        <v>123</v>
      </c>
      <c r="C115" s="163">
        <v>1206</v>
      </c>
      <c r="D115" s="163">
        <v>798</v>
      </c>
      <c r="E115" s="163">
        <v>891</v>
      </c>
      <c r="F115" s="163">
        <v>4297</v>
      </c>
      <c r="G115" s="163">
        <v>3974</v>
      </c>
      <c r="H115" s="163">
        <v>4038</v>
      </c>
      <c r="I115" s="165">
        <f t="shared" si="61"/>
        <v>1.6104680422747819E-2</v>
      </c>
      <c r="J115" s="164">
        <f t="shared" si="58"/>
        <v>4.0601503759398501</v>
      </c>
      <c r="K115" s="162">
        <f t="shared" si="59"/>
        <v>64</v>
      </c>
      <c r="L115" s="163">
        <f t="shared" si="60"/>
        <v>3240</v>
      </c>
      <c r="M115" s="164">
        <f t="shared" si="57"/>
        <v>1.2626546892706245E-3</v>
      </c>
    </row>
    <row r="116" spans="2:13" x14ac:dyDescent="0.25">
      <c r="B116" s="162" t="s">
        <v>119</v>
      </c>
      <c r="C116" s="163">
        <v>2236</v>
      </c>
      <c r="D116" s="163">
        <v>2385</v>
      </c>
      <c r="E116" s="163">
        <v>2271</v>
      </c>
      <c r="F116" s="163">
        <v>3452</v>
      </c>
      <c r="G116" s="163">
        <v>3657</v>
      </c>
      <c r="H116" s="163">
        <v>3285</v>
      </c>
      <c r="I116" s="165">
        <f t="shared" si="61"/>
        <v>-0.10172272354388845</v>
      </c>
      <c r="J116" s="164">
        <f t="shared" si="58"/>
        <v>0.37735849056603765</v>
      </c>
      <c r="K116" s="162">
        <f t="shared" si="59"/>
        <v>-372</v>
      </c>
      <c r="L116" s="163">
        <f t="shared" si="60"/>
        <v>900</v>
      </c>
      <c r="M116" s="164">
        <f t="shared" si="57"/>
        <v>1.0271967940203076E-3</v>
      </c>
    </row>
    <row r="117" spans="2:13" x14ac:dyDescent="0.25">
      <c r="B117" s="162" t="s">
        <v>128</v>
      </c>
      <c r="C117" s="163">
        <v>315</v>
      </c>
      <c r="D117" s="163">
        <v>247</v>
      </c>
      <c r="E117" s="163">
        <v>223</v>
      </c>
      <c r="F117" s="163">
        <v>484</v>
      </c>
      <c r="G117" s="163">
        <v>797</v>
      </c>
      <c r="H117" s="163">
        <v>839</v>
      </c>
      <c r="I117" s="165">
        <f t="shared" si="61"/>
        <v>5.2697616060225938E-2</v>
      </c>
      <c r="J117" s="164">
        <f t="shared" si="58"/>
        <v>2.3967611336032388</v>
      </c>
      <c r="K117" s="162">
        <f t="shared" si="59"/>
        <v>42</v>
      </c>
      <c r="L117" s="163">
        <f t="shared" si="60"/>
        <v>592</v>
      </c>
      <c r="M117" s="164">
        <f t="shared" si="57"/>
        <v>2.6234950081675432E-4</v>
      </c>
    </row>
    <row r="118" spans="2:13" x14ac:dyDescent="0.25">
      <c r="B118" s="162" t="s">
        <v>131</v>
      </c>
      <c r="C118" s="163">
        <v>874</v>
      </c>
      <c r="D118" s="163">
        <v>696</v>
      </c>
      <c r="E118" s="163">
        <v>534</v>
      </c>
      <c r="F118" s="163">
        <v>645</v>
      </c>
      <c r="G118" s="163">
        <v>414</v>
      </c>
      <c r="H118" s="163">
        <v>1046</v>
      </c>
      <c r="I118" s="165">
        <f t="shared" si="61"/>
        <v>1.5265700483091789</v>
      </c>
      <c r="J118" s="164">
        <f t="shared" si="58"/>
        <v>0.50287356321839072</v>
      </c>
      <c r="K118" s="162">
        <f t="shared" si="59"/>
        <v>632</v>
      </c>
      <c r="L118" s="163">
        <f t="shared" si="60"/>
        <v>350</v>
      </c>
      <c r="M118" s="164">
        <f t="shared" si="57"/>
        <v>3.2707697002899288E-4</v>
      </c>
    </row>
    <row r="119" spans="2:13" x14ac:dyDescent="0.25">
      <c r="B119" s="168" t="s">
        <v>145</v>
      </c>
      <c r="C119" s="169">
        <f t="shared" ref="C119:H119" si="62">C111-SUM(C112:C118)</f>
        <v>6362</v>
      </c>
      <c r="D119" s="169">
        <f t="shared" si="62"/>
        <v>6614</v>
      </c>
      <c r="E119" s="169">
        <f t="shared" si="62"/>
        <v>4983</v>
      </c>
      <c r="F119" s="169">
        <f t="shared" si="62"/>
        <v>18087</v>
      </c>
      <c r="G119" s="169">
        <f t="shared" si="62"/>
        <v>18832</v>
      </c>
      <c r="H119" s="169">
        <f t="shared" si="62"/>
        <v>21600</v>
      </c>
      <c r="I119" s="171">
        <f t="shared" si="61"/>
        <v>0.14698385726423102</v>
      </c>
      <c r="J119" s="170">
        <f t="shared" si="58"/>
        <v>2.2657998185666766</v>
      </c>
      <c r="K119" s="168">
        <f>H119-G119</f>
        <v>2768</v>
      </c>
      <c r="L119" s="169">
        <f t="shared" si="60"/>
        <v>14986</v>
      </c>
      <c r="M119" s="170">
        <f t="shared" si="57"/>
        <v>6.7541707004075014E-3</v>
      </c>
    </row>
    <row r="120" spans="2:13" x14ac:dyDescent="0.25">
      <c r="B120" s="153" t="s">
        <v>51</v>
      </c>
      <c r="C120" s="151"/>
      <c r="D120" s="151"/>
      <c r="E120" s="151"/>
      <c r="F120" s="151"/>
      <c r="G120" s="151"/>
      <c r="H120" s="152"/>
      <c r="I120" s="152"/>
      <c r="J120" s="152"/>
      <c r="K120" s="152"/>
      <c r="L120" s="151"/>
      <c r="M120" s="151"/>
    </row>
    <row r="121" spans="2:13" x14ac:dyDescent="0.25">
      <c r="B121" s="154" t="s">
        <v>68</v>
      </c>
      <c r="C121" s="176">
        <f>C122+C125</f>
        <v>169824</v>
      </c>
      <c r="D121" s="176">
        <f t="shared" ref="D121:H121" si="63">D122+D125</f>
        <v>159130</v>
      </c>
      <c r="E121" s="176">
        <f t="shared" si="63"/>
        <v>67052</v>
      </c>
      <c r="F121" s="176">
        <f t="shared" si="63"/>
        <v>157983</v>
      </c>
      <c r="G121" s="176">
        <f t="shared" si="63"/>
        <v>174312</v>
      </c>
      <c r="H121" s="176">
        <f t="shared" si="63"/>
        <v>181820</v>
      </c>
      <c r="I121" s="177">
        <f>IFERROR(H121/G121-1,"-")</f>
        <v>4.307219239065585E-2</v>
      </c>
      <c r="J121" s="177">
        <f>IFERROR(H121/D121-1,"-")</f>
        <v>0.14258782127820013</v>
      </c>
      <c r="K121" s="176">
        <f>H121-G121</f>
        <v>7508</v>
      </c>
      <c r="L121" s="176">
        <f>H121-D121</f>
        <v>22690</v>
      </c>
      <c r="M121" s="177">
        <f t="shared" ref="M121:M133" si="64">H121/H$9</f>
        <v>5.6853857256856107E-2</v>
      </c>
    </row>
    <row r="122" spans="2:13" x14ac:dyDescent="0.25">
      <c r="B122" s="157" t="s">
        <v>97</v>
      </c>
      <c r="C122" s="158">
        <v>101126</v>
      </c>
      <c r="D122" s="158">
        <v>87514</v>
      </c>
      <c r="E122" s="158">
        <v>36330</v>
      </c>
      <c r="F122" s="158">
        <v>97242</v>
      </c>
      <c r="G122" s="158">
        <v>108324</v>
      </c>
      <c r="H122" s="158">
        <v>115851</v>
      </c>
      <c r="I122" s="160">
        <f>IFERROR(H122/G122-1,"-")</f>
        <v>6.9485986484989493E-2</v>
      </c>
      <c r="J122" s="159">
        <f t="shared" ref="J122:J133" si="65">IFERROR(H122/D122-1,"-")</f>
        <v>0.32379962063212742</v>
      </c>
      <c r="K122" s="157">
        <f t="shared" ref="K122:K132" si="66">H122-G122</f>
        <v>7527</v>
      </c>
      <c r="L122" s="158">
        <f t="shared" ref="L122:L133" si="67">H122-D122</f>
        <v>28337</v>
      </c>
      <c r="M122" s="159">
        <f t="shared" si="64"/>
        <v>3.6225806935782846E-2</v>
      </c>
    </row>
    <row r="123" spans="2:13" x14ac:dyDescent="0.25">
      <c r="B123" s="162" t="s">
        <v>103</v>
      </c>
      <c r="C123" s="163">
        <v>56527</v>
      </c>
      <c r="D123" s="163">
        <v>44251</v>
      </c>
      <c r="E123" s="163">
        <v>16691</v>
      </c>
      <c r="F123" s="163">
        <v>50706</v>
      </c>
      <c r="G123" s="163">
        <v>48815</v>
      </c>
      <c r="H123" s="163">
        <v>57435</v>
      </c>
      <c r="I123" s="165">
        <f>IFERROR(H123/G123-1,"-")</f>
        <v>0.17658506606575841</v>
      </c>
      <c r="J123" s="164">
        <f t="shared" si="65"/>
        <v>0.29793676979051331</v>
      </c>
      <c r="K123" s="162">
        <f t="shared" si="66"/>
        <v>8620</v>
      </c>
      <c r="L123" s="163">
        <f t="shared" si="67"/>
        <v>13184</v>
      </c>
      <c r="M123" s="164">
        <f t="shared" si="64"/>
        <v>1.7959527508236334E-2</v>
      </c>
    </row>
    <row r="124" spans="2:13" x14ac:dyDescent="0.25">
      <c r="B124" s="162" t="s">
        <v>100</v>
      </c>
      <c r="C124" s="163">
        <v>44599</v>
      </c>
      <c r="D124" s="163">
        <v>43263</v>
      </c>
      <c r="E124" s="163">
        <v>19639</v>
      </c>
      <c r="F124" s="163">
        <v>46536</v>
      </c>
      <c r="G124" s="163">
        <v>59509</v>
      </c>
      <c r="H124" s="163">
        <v>58416</v>
      </c>
      <c r="I124" s="165">
        <f>IFERROR(H124/G124-1,"-")</f>
        <v>-1.8366969702061864E-2</v>
      </c>
      <c r="J124" s="164">
        <f t="shared" si="65"/>
        <v>0.35025310311351499</v>
      </c>
      <c r="K124" s="162">
        <f t="shared" si="66"/>
        <v>-1093</v>
      </c>
      <c r="L124" s="163">
        <f t="shared" si="67"/>
        <v>15153</v>
      </c>
      <c r="M124" s="164">
        <f t="shared" si="64"/>
        <v>1.8266279427546508E-2</v>
      </c>
    </row>
    <row r="125" spans="2:13" x14ac:dyDescent="0.25">
      <c r="B125" s="157" t="s">
        <v>107</v>
      </c>
      <c r="C125" s="158">
        <v>68698</v>
      </c>
      <c r="D125" s="158">
        <v>71616</v>
      </c>
      <c r="E125" s="158">
        <v>30722</v>
      </c>
      <c r="F125" s="158">
        <v>60741</v>
      </c>
      <c r="G125" s="158">
        <v>65988</v>
      </c>
      <c r="H125" s="158">
        <v>65969</v>
      </c>
      <c r="I125" s="160">
        <f>IFERROR(H125/G125-1,"-")</f>
        <v>-2.8793113899494571E-4</v>
      </c>
      <c r="J125" s="159">
        <f t="shared" si="65"/>
        <v>-7.8851094727435234E-2</v>
      </c>
      <c r="K125" s="157">
        <f t="shared" si="66"/>
        <v>-19</v>
      </c>
      <c r="L125" s="158">
        <f t="shared" si="67"/>
        <v>-5647</v>
      </c>
      <c r="M125" s="159">
        <f t="shared" si="64"/>
        <v>2.0628050321073264E-2</v>
      </c>
    </row>
    <row r="126" spans="2:13" x14ac:dyDescent="0.25">
      <c r="B126" s="162" t="s">
        <v>110</v>
      </c>
      <c r="C126" s="163">
        <v>8686</v>
      </c>
      <c r="D126" s="163">
        <v>7655</v>
      </c>
      <c r="E126" s="163">
        <v>3019</v>
      </c>
      <c r="F126" s="163">
        <v>6689</v>
      </c>
      <c r="G126" s="163">
        <v>8681</v>
      </c>
      <c r="H126" s="163">
        <v>7798</v>
      </c>
      <c r="I126" s="165">
        <f t="shared" ref="I126:I133" si="68">IFERROR(H126/G126-1,"-")</f>
        <v>-0.10171639212072336</v>
      </c>
      <c r="J126" s="164">
        <f t="shared" si="65"/>
        <v>1.8680600914434908E-2</v>
      </c>
      <c r="K126" s="162">
        <f t="shared" si="66"/>
        <v>-883</v>
      </c>
      <c r="L126" s="163">
        <f t="shared" si="67"/>
        <v>143</v>
      </c>
      <c r="M126" s="164">
        <f t="shared" si="64"/>
        <v>2.4383807000823007E-3</v>
      </c>
    </row>
    <row r="127" spans="2:13" x14ac:dyDescent="0.25">
      <c r="B127" s="162" t="s">
        <v>113</v>
      </c>
      <c r="C127" s="163">
        <v>7661</v>
      </c>
      <c r="D127" s="163">
        <v>6494</v>
      </c>
      <c r="E127" s="163">
        <v>3185</v>
      </c>
      <c r="F127" s="163">
        <v>6371</v>
      </c>
      <c r="G127" s="163">
        <v>9226</v>
      </c>
      <c r="H127" s="163">
        <v>8815</v>
      </c>
      <c r="I127" s="165">
        <f t="shared" si="68"/>
        <v>-4.4548016475178809E-2</v>
      </c>
      <c r="J127" s="164">
        <f t="shared" si="65"/>
        <v>0.35740683708038179</v>
      </c>
      <c r="K127" s="162">
        <f t="shared" si="66"/>
        <v>-411</v>
      </c>
      <c r="L127" s="163">
        <f t="shared" si="67"/>
        <v>2321</v>
      </c>
      <c r="M127" s="164">
        <f t="shared" si="64"/>
        <v>2.7563895705598209E-3</v>
      </c>
    </row>
    <row r="128" spans="2:13" x14ac:dyDescent="0.25">
      <c r="B128" s="162" t="s">
        <v>116</v>
      </c>
      <c r="C128" s="163">
        <v>4862</v>
      </c>
      <c r="D128" s="163">
        <v>4919</v>
      </c>
      <c r="E128" s="163">
        <v>2224</v>
      </c>
      <c r="F128" s="163">
        <v>5877</v>
      </c>
      <c r="G128" s="163">
        <v>6321</v>
      </c>
      <c r="H128" s="163">
        <v>6241</v>
      </c>
      <c r="I128" s="165">
        <f t="shared" si="68"/>
        <v>-1.2656225280810007E-2</v>
      </c>
      <c r="J128" s="164">
        <f t="shared" si="65"/>
        <v>0.26875381175035584</v>
      </c>
      <c r="K128" s="162">
        <f t="shared" si="66"/>
        <v>-80</v>
      </c>
      <c r="L128" s="163">
        <f t="shared" si="67"/>
        <v>1322</v>
      </c>
      <c r="M128" s="164">
        <f t="shared" si="64"/>
        <v>1.9515175620945934E-3</v>
      </c>
    </row>
    <row r="129" spans="2:13" x14ac:dyDescent="0.25">
      <c r="B129" s="162" t="s">
        <v>123</v>
      </c>
      <c r="C129" s="163">
        <v>1164</v>
      </c>
      <c r="D129" s="163">
        <v>1219</v>
      </c>
      <c r="E129" s="163">
        <v>594</v>
      </c>
      <c r="F129" s="163">
        <v>1853</v>
      </c>
      <c r="G129" s="163">
        <v>1896</v>
      </c>
      <c r="H129" s="163">
        <v>1689</v>
      </c>
      <c r="I129" s="165">
        <f t="shared" si="68"/>
        <v>-0.10917721518987344</v>
      </c>
      <c r="J129" s="164">
        <f t="shared" si="65"/>
        <v>0.38556193601312549</v>
      </c>
      <c r="K129" s="162">
        <f t="shared" si="66"/>
        <v>-207</v>
      </c>
      <c r="L129" s="163">
        <f t="shared" si="67"/>
        <v>470</v>
      </c>
      <c r="M129" s="164">
        <f t="shared" si="64"/>
        <v>5.2813862560130876E-4</v>
      </c>
    </row>
    <row r="130" spans="2:13" x14ac:dyDescent="0.25">
      <c r="B130" s="162" t="s">
        <v>119</v>
      </c>
      <c r="C130" s="163">
        <v>1243</v>
      </c>
      <c r="D130" s="163">
        <v>1035</v>
      </c>
      <c r="E130" s="163">
        <v>578</v>
      </c>
      <c r="F130" s="163">
        <v>1263</v>
      </c>
      <c r="G130" s="163">
        <v>1296</v>
      </c>
      <c r="H130" s="163">
        <v>1391</v>
      </c>
      <c r="I130" s="165">
        <f t="shared" si="68"/>
        <v>7.3302469135802406E-2</v>
      </c>
      <c r="J130" s="164">
        <f t="shared" si="65"/>
        <v>0.34396135265700489</v>
      </c>
      <c r="K130" s="162">
        <f t="shared" si="66"/>
        <v>95</v>
      </c>
      <c r="L130" s="163">
        <f t="shared" si="67"/>
        <v>356</v>
      </c>
      <c r="M130" s="164">
        <f t="shared" si="64"/>
        <v>4.3495608538272385E-4</v>
      </c>
    </row>
    <row r="131" spans="2:13" x14ac:dyDescent="0.25">
      <c r="B131" s="162" t="s">
        <v>128</v>
      </c>
      <c r="C131" s="163">
        <v>1013</v>
      </c>
      <c r="D131" s="163">
        <v>1136</v>
      </c>
      <c r="E131" s="163">
        <v>637</v>
      </c>
      <c r="F131" s="163">
        <v>655</v>
      </c>
      <c r="G131" s="163">
        <v>861</v>
      </c>
      <c r="H131" s="163">
        <v>946</v>
      </c>
      <c r="I131" s="165">
        <f t="shared" si="68"/>
        <v>9.8722415795586604E-2</v>
      </c>
      <c r="J131" s="164">
        <f t="shared" si="65"/>
        <v>-0.16725352112676062</v>
      </c>
      <c r="K131" s="162">
        <f t="shared" si="66"/>
        <v>85</v>
      </c>
      <c r="L131" s="163">
        <f t="shared" si="67"/>
        <v>-190</v>
      </c>
      <c r="M131" s="164">
        <f t="shared" si="64"/>
        <v>2.9580766123081005E-4</v>
      </c>
    </row>
    <row r="132" spans="2:13" x14ac:dyDescent="0.25">
      <c r="B132" s="162" t="s">
        <v>131</v>
      </c>
      <c r="C132" s="163">
        <v>1887</v>
      </c>
      <c r="D132" s="163">
        <v>1688</v>
      </c>
      <c r="E132" s="163">
        <v>1010</v>
      </c>
      <c r="F132" s="163">
        <v>1105</v>
      </c>
      <c r="G132" s="163">
        <v>1564</v>
      </c>
      <c r="H132" s="163">
        <v>1427</v>
      </c>
      <c r="I132" s="165">
        <f t="shared" si="68"/>
        <v>-8.7595907928388783E-2</v>
      </c>
      <c r="J132" s="164">
        <f t="shared" si="65"/>
        <v>-0.15462085308056872</v>
      </c>
      <c r="K132" s="162">
        <f t="shared" si="66"/>
        <v>-137</v>
      </c>
      <c r="L132" s="163">
        <f t="shared" si="67"/>
        <v>-261</v>
      </c>
      <c r="M132" s="164">
        <f t="shared" si="64"/>
        <v>4.4621303655006966E-4</v>
      </c>
    </row>
    <row r="133" spans="2:13" x14ac:dyDescent="0.25">
      <c r="B133" s="168" t="s">
        <v>145</v>
      </c>
      <c r="C133" s="169">
        <f t="shared" ref="C133:H133" si="69">C125-SUM(C126:C132)</f>
        <v>42182</v>
      </c>
      <c r="D133" s="169">
        <f t="shared" si="69"/>
        <v>47470</v>
      </c>
      <c r="E133" s="169">
        <f t="shared" si="69"/>
        <v>19475</v>
      </c>
      <c r="F133" s="169">
        <f t="shared" si="69"/>
        <v>36928</v>
      </c>
      <c r="G133" s="169">
        <f t="shared" si="69"/>
        <v>36143</v>
      </c>
      <c r="H133" s="169">
        <f t="shared" si="69"/>
        <v>37662</v>
      </c>
      <c r="I133" s="171">
        <f t="shared" si="68"/>
        <v>4.2027501867581529E-2</v>
      </c>
      <c r="J133" s="170">
        <f t="shared" si="65"/>
        <v>-0.20661470402359383</v>
      </c>
      <c r="K133" s="168">
        <f>H133-G133</f>
        <v>1519</v>
      </c>
      <c r="L133" s="169">
        <f t="shared" si="67"/>
        <v>-9808</v>
      </c>
      <c r="M133" s="170">
        <f t="shared" si="64"/>
        <v>1.1776647079571635E-2</v>
      </c>
    </row>
    <row r="134" spans="2:13" x14ac:dyDescent="0.25">
      <c r="B134" s="153" t="s">
        <v>52</v>
      </c>
      <c r="C134" s="151"/>
      <c r="D134" s="151"/>
      <c r="E134" s="151"/>
      <c r="F134" s="151"/>
      <c r="G134" s="151"/>
      <c r="H134" s="152"/>
      <c r="I134" s="152"/>
      <c r="J134" s="152"/>
      <c r="K134" s="152"/>
      <c r="L134" s="151"/>
      <c r="M134" s="151"/>
    </row>
    <row r="135" spans="2:13" x14ac:dyDescent="0.25">
      <c r="B135" s="154" t="s">
        <v>68</v>
      </c>
      <c r="C135" s="176">
        <f>C136+C139</f>
        <v>129286</v>
      </c>
      <c r="D135" s="176">
        <f t="shared" ref="D135:H135" si="70">D136+D139</f>
        <v>133515</v>
      </c>
      <c r="E135" s="176">
        <f t="shared" si="70"/>
        <v>55367</v>
      </c>
      <c r="F135" s="176">
        <f t="shared" si="70"/>
        <v>157275</v>
      </c>
      <c r="G135" s="176">
        <f t="shared" si="70"/>
        <v>168976</v>
      </c>
      <c r="H135" s="176">
        <f t="shared" si="70"/>
        <v>176312</v>
      </c>
      <c r="I135" s="177">
        <f>IFERROR(H135/G135-1,"-")</f>
        <v>4.3414449389262311E-2</v>
      </c>
      <c r="J135" s="177">
        <f>IFERROR(H135/D135-1,"-")</f>
        <v>0.32054076321012626</v>
      </c>
      <c r="K135" s="176">
        <f>H135-G135</f>
        <v>7336</v>
      </c>
      <c r="L135" s="176">
        <f>H135-D135</f>
        <v>42797</v>
      </c>
      <c r="M135" s="177">
        <f t="shared" ref="M135:M147" si="71">H135/H$9</f>
        <v>5.5131543728252193E-2</v>
      </c>
    </row>
    <row r="136" spans="2:13" x14ac:dyDescent="0.25">
      <c r="B136" s="157" t="s">
        <v>97</v>
      </c>
      <c r="C136" s="158">
        <v>27490</v>
      </c>
      <c r="D136" s="158">
        <v>28853</v>
      </c>
      <c r="E136" s="158">
        <v>11787</v>
      </c>
      <c r="F136" s="158">
        <v>17845</v>
      </c>
      <c r="G136" s="158">
        <v>18970</v>
      </c>
      <c r="H136" s="158">
        <v>16443</v>
      </c>
      <c r="I136" s="160">
        <f>IFERROR(H136/G136-1,"-")</f>
        <v>-0.13321033210332101</v>
      </c>
      <c r="J136" s="159">
        <f t="shared" ref="J136:J147" si="72">IFERROR(H136/D136-1,"-")</f>
        <v>-0.43011125359581326</v>
      </c>
      <c r="K136" s="157">
        <f t="shared" ref="K136:K146" si="73">H136-G136</f>
        <v>-2527</v>
      </c>
      <c r="L136" s="158">
        <f t="shared" ref="L136:L147" si="74">H136-D136</f>
        <v>-12410</v>
      </c>
      <c r="M136" s="159">
        <f t="shared" si="71"/>
        <v>5.1416124456852104E-3</v>
      </c>
    </row>
    <row r="137" spans="2:13" x14ac:dyDescent="0.25">
      <c r="B137" s="162" t="s">
        <v>103</v>
      </c>
      <c r="C137" s="163">
        <v>18122</v>
      </c>
      <c r="D137" s="163">
        <v>14702</v>
      </c>
      <c r="E137" s="163">
        <v>7683</v>
      </c>
      <c r="F137" s="163">
        <v>12496</v>
      </c>
      <c r="G137" s="163">
        <v>12229</v>
      </c>
      <c r="H137" s="163">
        <v>10288</v>
      </c>
      <c r="I137" s="165">
        <f>IFERROR(H137/G137-1,"-")</f>
        <v>-0.15872107285959602</v>
      </c>
      <c r="J137" s="164">
        <f t="shared" si="72"/>
        <v>-0.30023126105291797</v>
      </c>
      <c r="K137" s="162">
        <f t="shared" si="73"/>
        <v>-1941</v>
      </c>
      <c r="L137" s="163">
        <f t="shared" si="74"/>
        <v>-4414</v>
      </c>
      <c r="M137" s="164">
        <f t="shared" si="71"/>
        <v>3.2169864891570545E-3</v>
      </c>
    </row>
    <row r="138" spans="2:13" x14ac:dyDescent="0.25">
      <c r="B138" s="162" t="s">
        <v>100</v>
      </c>
      <c r="C138" s="163">
        <v>9368</v>
      </c>
      <c r="D138" s="163">
        <v>14151</v>
      </c>
      <c r="E138" s="163">
        <v>4104</v>
      </c>
      <c r="F138" s="163">
        <v>5349</v>
      </c>
      <c r="G138" s="163">
        <v>6741</v>
      </c>
      <c r="H138" s="163">
        <v>6155</v>
      </c>
      <c r="I138" s="165">
        <f>IFERROR(H138/G138-1,"-")</f>
        <v>-8.6930722444741093E-2</v>
      </c>
      <c r="J138" s="164">
        <f t="shared" si="72"/>
        <v>-0.56504840647304078</v>
      </c>
      <c r="K138" s="162">
        <f t="shared" si="73"/>
        <v>-586</v>
      </c>
      <c r="L138" s="163">
        <f t="shared" si="74"/>
        <v>-7996</v>
      </c>
      <c r="M138" s="164">
        <f t="shared" si="71"/>
        <v>1.9246259565281561E-3</v>
      </c>
    </row>
    <row r="139" spans="2:13" x14ac:dyDescent="0.25">
      <c r="B139" s="157" t="s">
        <v>107</v>
      </c>
      <c r="C139" s="158">
        <v>101796</v>
      </c>
      <c r="D139" s="158">
        <v>104662</v>
      </c>
      <c r="E139" s="158">
        <v>43580</v>
      </c>
      <c r="F139" s="158">
        <v>139430</v>
      </c>
      <c r="G139" s="158">
        <v>150006</v>
      </c>
      <c r="H139" s="158">
        <v>159869</v>
      </c>
      <c r="I139" s="160">
        <f>IFERROR(H139/G139-1,"-")</f>
        <v>6.5750703305201164E-2</v>
      </c>
      <c r="J139" s="159">
        <f t="shared" si="72"/>
        <v>0.52747893218168973</v>
      </c>
      <c r="K139" s="157">
        <f t="shared" si="73"/>
        <v>9863</v>
      </c>
      <c r="L139" s="158">
        <f t="shared" si="74"/>
        <v>55207</v>
      </c>
      <c r="M139" s="159">
        <f t="shared" si="71"/>
        <v>4.9989931282566985E-2</v>
      </c>
    </row>
    <row r="140" spans="2:13" x14ac:dyDescent="0.25">
      <c r="B140" s="162" t="s">
        <v>110</v>
      </c>
      <c r="C140" s="163">
        <v>48281</v>
      </c>
      <c r="D140" s="163">
        <v>50071</v>
      </c>
      <c r="E140" s="163">
        <v>15952</v>
      </c>
      <c r="F140" s="163">
        <v>61036</v>
      </c>
      <c r="G140" s="163">
        <v>65615</v>
      </c>
      <c r="H140" s="163">
        <v>72783</v>
      </c>
      <c r="I140" s="165">
        <f t="shared" ref="I140:I147" si="75">IFERROR(H140/G140-1,"-")</f>
        <v>0.1092433132667836</v>
      </c>
      <c r="J140" s="164">
        <f t="shared" si="72"/>
        <v>0.45359589383076027</v>
      </c>
      <c r="K140" s="162">
        <f t="shared" si="73"/>
        <v>7168</v>
      </c>
      <c r="L140" s="163">
        <f t="shared" si="74"/>
        <v>22712</v>
      </c>
      <c r="M140" s="164">
        <f t="shared" si="71"/>
        <v>2.2758741022581443E-2</v>
      </c>
    </row>
    <row r="141" spans="2:13" x14ac:dyDescent="0.25">
      <c r="B141" s="162" t="s">
        <v>113</v>
      </c>
      <c r="C141" s="163">
        <v>8636</v>
      </c>
      <c r="D141" s="163">
        <v>8942</v>
      </c>
      <c r="E141" s="163">
        <v>3597</v>
      </c>
      <c r="F141" s="163">
        <v>8746</v>
      </c>
      <c r="G141" s="163">
        <v>12856</v>
      </c>
      <c r="H141" s="163">
        <v>13363</v>
      </c>
      <c r="I141" s="165">
        <f t="shared" si="75"/>
        <v>3.9436838830118282E-2</v>
      </c>
      <c r="J141" s="164">
        <f t="shared" si="72"/>
        <v>0.49440840975173339</v>
      </c>
      <c r="K141" s="162">
        <f t="shared" si="73"/>
        <v>507</v>
      </c>
      <c r="L141" s="163">
        <f t="shared" si="74"/>
        <v>4421</v>
      </c>
      <c r="M141" s="164">
        <f t="shared" si="71"/>
        <v>4.178517734701178E-3</v>
      </c>
    </row>
    <row r="142" spans="2:13" x14ac:dyDescent="0.25">
      <c r="B142" s="162" t="s">
        <v>116</v>
      </c>
      <c r="C142" s="163">
        <v>13095</v>
      </c>
      <c r="D142" s="163">
        <v>12570</v>
      </c>
      <c r="E142" s="163">
        <v>4152</v>
      </c>
      <c r="F142" s="163">
        <v>17705</v>
      </c>
      <c r="G142" s="163">
        <v>16022</v>
      </c>
      <c r="H142" s="163">
        <v>16112</v>
      </c>
      <c r="I142" s="165">
        <f t="shared" si="75"/>
        <v>5.6172762451629499E-3</v>
      </c>
      <c r="J142" s="164">
        <f t="shared" si="72"/>
        <v>0.28178202068416858</v>
      </c>
      <c r="K142" s="162">
        <f t="shared" si="73"/>
        <v>90</v>
      </c>
      <c r="L142" s="163">
        <f t="shared" si="74"/>
        <v>3542</v>
      </c>
      <c r="M142" s="164">
        <f t="shared" si="71"/>
        <v>5.0381110335632256E-3</v>
      </c>
    </row>
    <row r="143" spans="2:13" x14ac:dyDescent="0.25">
      <c r="B143" s="162" t="s">
        <v>123</v>
      </c>
      <c r="C143" s="163">
        <v>2203</v>
      </c>
      <c r="D143" s="163">
        <v>1965</v>
      </c>
      <c r="E143" s="163">
        <v>562</v>
      </c>
      <c r="F143" s="163">
        <v>6612</v>
      </c>
      <c r="G143" s="163">
        <v>5654</v>
      </c>
      <c r="H143" s="163">
        <v>3805</v>
      </c>
      <c r="I143" s="165">
        <f t="shared" si="75"/>
        <v>-0.32702511496285813</v>
      </c>
      <c r="J143" s="164">
        <f t="shared" si="72"/>
        <v>0.93638676844783708</v>
      </c>
      <c r="K143" s="162">
        <f t="shared" si="73"/>
        <v>-1849</v>
      </c>
      <c r="L143" s="163">
        <f t="shared" si="74"/>
        <v>1840</v>
      </c>
      <c r="M143" s="164">
        <f t="shared" si="71"/>
        <v>1.1897971997708585E-3</v>
      </c>
    </row>
    <row r="144" spans="2:13" x14ac:dyDescent="0.25">
      <c r="B144" s="162" t="s">
        <v>119</v>
      </c>
      <c r="C144" s="163">
        <v>2695</v>
      </c>
      <c r="D144" s="163">
        <v>2687</v>
      </c>
      <c r="E144" s="163">
        <v>1346</v>
      </c>
      <c r="F144" s="163">
        <v>2635</v>
      </c>
      <c r="G144" s="163">
        <v>3343</v>
      </c>
      <c r="H144" s="163">
        <v>3755</v>
      </c>
      <c r="I144" s="165">
        <f t="shared" si="75"/>
        <v>0.12324259647023639</v>
      </c>
      <c r="J144" s="164">
        <f t="shared" si="72"/>
        <v>0.39746929661332331</v>
      </c>
      <c r="K144" s="162">
        <f t="shared" si="73"/>
        <v>412</v>
      </c>
      <c r="L144" s="163">
        <f t="shared" si="74"/>
        <v>1068</v>
      </c>
      <c r="M144" s="164">
        <f t="shared" si="71"/>
        <v>1.1741625453717671E-3</v>
      </c>
    </row>
    <row r="145" spans="2:13" x14ac:dyDescent="0.25">
      <c r="B145" s="162" t="s">
        <v>128</v>
      </c>
      <c r="C145" s="163">
        <v>807</v>
      </c>
      <c r="D145" s="163">
        <v>963</v>
      </c>
      <c r="E145" s="163">
        <v>1581</v>
      </c>
      <c r="F145" s="163">
        <v>1657</v>
      </c>
      <c r="G145" s="163">
        <v>1964</v>
      </c>
      <c r="H145" s="163">
        <v>1842</v>
      </c>
      <c r="I145" s="165">
        <f t="shared" si="75"/>
        <v>-6.2118126272912466E-2</v>
      </c>
      <c r="J145" s="164">
        <f t="shared" si="72"/>
        <v>0.91277258566978192</v>
      </c>
      <c r="K145" s="162">
        <f t="shared" si="73"/>
        <v>-122</v>
      </c>
      <c r="L145" s="163">
        <f t="shared" si="74"/>
        <v>879</v>
      </c>
      <c r="M145" s="164">
        <f t="shared" si="71"/>
        <v>5.7598066806252861E-4</v>
      </c>
    </row>
    <row r="146" spans="2:13" x14ac:dyDescent="0.25">
      <c r="B146" s="162" t="s">
        <v>131</v>
      </c>
      <c r="C146" s="163">
        <v>4018</v>
      </c>
      <c r="D146" s="163">
        <v>3193</v>
      </c>
      <c r="E146" s="163">
        <v>3280</v>
      </c>
      <c r="F146" s="163">
        <v>742</v>
      </c>
      <c r="G146" s="163">
        <v>1329</v>
      </c>
      <c r="H146" s="163">
        <v>1170</v>
      </c>
      <c r="I146" s="165">
        <f t="shared" si="75"/>
        <v>-0.11963882618510158</v>
      </c>
      <c r="J146" s="164">
        <f t="shared" si="72"/>
        <v>-0.63357344190416542</v>
      </c>
      <c r="K146" s="162">
        <f t="shared" si="73"/>
        <v>-159</v>
      </c>
      <c r="L146" s="163">
        <f t="shared" si="74"/>
        <v>-2023</v>
      </c>
      <c r="M146" s="164">
        <f t="shared" si="71"/>
        <v>3.6585091293873966E-4</v>
      </c>
    </row>
    <row r="147" spans="2:13" x14ac:dyDescent="0.25">
      <c r="B147" s="168" t="s">
        <v>145</v>
      </c>
      <c r="C147" s="169">
        <f t="shared" ref="C147:H147" si="76">C139-SUM(C140:C146)</f>
        <v>22061</v>
      </c>
      <c r="D147" s="169">
        <f t="shared" si="76"/>
        <v>24271</v>
      </c>
      <c r="E147" s="169">
        <f t="shared" si="76"/>
        <v>13110</v>
      </c>
      <c r="F147" s="169">
        <f t="shared" si="76"/>
        <v>40297</v>
      </c>
      <c r="G147" s="169">
        <f t="shared" si="76"/>
        <v>43223</v>
      </c>
      <c r="H147" s="169">
        <f t="shared" si="76"/>
        <v>47039</v>
      </c>
      <c r="I147" s="171">
        <f t="shared" si="75"/>
        <v>8.8286329037780886E-2</v>
      </c>
      <c r="J147" s="170">
        <f t="shared" si="72"/>
        <v>0.93807424498372538</v>
      </c>
      <c r="K147" s="168">
        <f>H147-G147</f>
        <v>3816</v>
      </c>
      <c r="L147" s="169">
        <f t="shared" si="74"/>
        <v>22768</v>
      </c>
      <c r="M147" s="170">
        <f t="shared" si="71"/>
        <v>1.4708770165577244E-2</v>
      </c>
    </row>
    <row r="148" spans="2:13" x14ac:dyDescent="0.25">
      <c r="B148" s="153" t="s">
        <v>53</v>
      </c>
      <c r="C148" s="151"/>
      <c r="D148" s="151"/>
      <c r="E148" s="151"/>
      <c r="F148" s="151"/>
      <c r="G148" s="151"/>
      <c r="H148" s="152"/>
      <c r="I148" s="152"/>
      <c r="J148" s="152"/>
      <c r="K148" s="152"/>
      <c r="L148" s="151"/>
      <c r="M148" s="151"/>
    </row>
    <row r="149" spans="2:13" x14ac:dyDescent="0.25">
      <c r="B149" s="154" t="s">
        <v>68</v>
      </c>
      <c r="C149" s="176">
        <f>C150+C153</f>
        <v>91875</v>
      </c>
      <c r="D149" s="176">
        <f t="shared" ref="D149:H149" si="77">D150+D153</f>
        <v>92030</v>
      </c>
      <c r="E149" s="176">
        <f t="shared" si="77"/>
        <v>30427</v>
      </c>
      <c r="F149" s="176">
        <f t="shared" si="77"/>
        <v>78991</v>
      </c>
      <c r="G149" s="176">
        <f t="shared" si="77"/>
        <v>82998</v>
      </c>
      <c r="H149" s="176">
        <f t="shared" si="77"/>
        <v>86316</v>
      </c>
      <c r="I149" s="177">
        <f>IFERROR(H149/G149-1,"-")</f>
        <v>3.9976866912455611E-2</v>
      </c>
      <c r="J149" s="177">
        <f>IFERROR(H149/D149-1,"-")</f>
        <v>-6.2088449418667868E-2</v>
      </c>
      <c r="K149" s="176">
        <f>H149-G149</f>
        <v>3318</v>
      </c>
      <c r="L149" s="176">
        <f>H149-D149</f>
        <v>-5714</v>
      </c>
      <c r="M149" s="177">
        <f t="shared" ref="M149:M161" si="78">H149/H$9</f>
        <v>2.6990416582239534E-2</v>
      </c>
    </row>
    <row r="150" spans="2:13" x14ac:dyDescent="0.25">
      <c r="B150" s="157" t="s">
        <v>97</v>
      </c>
      <c r="C150" s="158">
        <v>38967</v>
      </c>
      <c r="D150" s="158">
        <v>41635</v>
      </c>
      <c r="E150" s="158">
        <v>13736</v>
      </c>
      <c r="F150" s="158">
        <v>43308</v>
      </c>
      <c r="G150" s="158">
        <v>44260</v>
      </c>
      <c r="H150" s="158">
        <v>40512</v>
      </c>
      <c r="I150" s="160">
        <f>IFERROR(H150/G150-1,"-")</f>
        <v>-8.4681427925892505E-2</v>
      </c>
      <c r="J150" s="159">
        <f t="shared" ref="J150:J161" si="79">IFERROR(H150/D150-1,"-")</f>
        <v>-2.6972499099315428E-2</v>
      </c>
      <c r="K150" s="157">
        <f t="shared" ref="K150:K160" si="80">H150-G150</f>
        <v>-3748</v>
      </c>
      <c r="L150" s="158">
        <f t="shared" ref="L150:L161" si="81">H150-D150</f>
        <v>-1123</v>
      </c>
      <c r="M150" s="159">
        <f t="shared" si="78"/>
        <v>1.2667822380319847E-2</v>
      </c>
    </row>
    <row r="151" spans="2:13" x14ac:dyDescent="0.25">
      <c r="B151" s="162" t="s">
        <v>103</v>
      </c>
      <c r="C151" s="163">
        <v>24010</v>
      </c>
      <c r="D151" s="163">
        <v>25217</v>
      </c>
      <c r="E151" s="163">
        <v>7506</v>
      </c>
      <c r="F151" s="163">
        <v>31628</v>
      </c>
      <c r="G151" s="163">
        <v>32698</v>
      </c>
      <c r="H151" s="163">
        <v>28035</v>
      </c>
      <c r="I151" s="165">
        <f>IFERROR(H151/G151-1,"-")</f>
        <v>-0.14260811058780354</v>
      </c>
      <c r="J151" s="164">
        <f t="shared" si="79"/>
        <v>0.11175000991394701</v>
      </c>
      <c r="K151" s="162">
        <f t="shared" si="80"/>
        <v>-4663</v>
      </c>
      <c r="L151" s="163">
        <f t="shared" si="81"/>
        <v>2818</v>
      </c>
      <c r="M151" s="164">
        <f t="shared" si="78"/>
        <v>8.7663507215705698E-3</v>
      </c>
    </row>
    <row r="152" spans="2:13" x14ac:dyDescent="0.25">
      <c r="B152" s="162" t="s">
        <v>100</v>
      </c>
      <c r="C152" s="163">
        <v>14957</v>
      </c>
      <c r="D152" s="163">
        <v>16418</v>
      </c>
      <c r="E152" s="163">
        <v>6230</v>
      </c>
      <c r="F152" s="163">
        <v>11680</v>
      </c>
      <c r="G152" s="163">
        <v>11562</v>
      </c>
      <c r="H152" s="163">
        <v>12477</v>
      </c>
      <c r="I152" s="165">
        <f>IFERROR(H152/G152-1,"-")</f>
        <v>7.9138557343020333E-2</v>
      </c>
      <c r="J152" s="164">
        <f t="shared" si="79"/>
        <v>-0.24004141795590206</v>
      </c>
      <c r="K152" s="162">
        <f t="shared" si="80"/>
        <v>915</v>
      </c>
      <c r="L152" s="163">
        <f t="shared" si="81"/>
        <v>-3941</v>
      </c>
      <c r="M152" s="164">
        <f t="shared" si="78"/>
        <v>3.9014716587492779E-3</v>
      </c>
    </row>
    <row r="153" spans="2:13" x14ac:dyDescent="0.25">
      <c r="B153" s="157" t="s">
        <v>107</v>
      </c>
      <c r="C153" s="158">
        <v>52908</v>
      </c>
      <c r="D153" s="158">
        <v>50395</v>
      </c>
      <c r="E153" s="158">
        <v>16691</v>
      </c>
      <c r="F153" s="158">
        <v>35683</v>
      </c>
      <c r="G153" s="158">
        <v>38738</v>
      </c>
      <c r="H153" s="158">
        <v>45804</v>
      </c>
      <c r="I153" s="160">
        <f>IFERROR(H153/G153-1,"-")</f>
        <v>0.18240487376736025</v>
      </c>
      <c r="J153" s="159">
        <f t="shared" si="79"/>
        <v>-9.1100307570195493E-2</v>
      </c>
      <c r="K153" s="157">
        <f t="shared" si="80"/>
        <v>7066</v>
      </c>
      <c r="L153" s="158">
        <f t="shared" si="81"/>
        <v>-4591</v>
      </c>
      <c r="M153" s="159">
        <f t="shared" si="78"/>
        <v>1.4322594201919685E-2</v>
      </c>
    </row>
    <row r="154" spans="2:13" x14ac:dyDescent="0.25">
      <c r="B154" s="162" t="s">
        <v>110</v>
      </c>
      <c r="C154" s="163">
        <v>16433</v>
      </c>
      <c r="D154" s="163">
        <v>15957</v>
      </c>
      <c r="E154" s="163">
        <v>4971</v>
      </c>
      <c r="F154" s="163">
        <v>13562</v>
      </c>
      <c r="G154" s="163">
        <v>13219</v>
      </c>
      <c r="H154" s="163">
        <v>14840</v>
      </c>
      <c r="I154" s="165">
        <f t="shared" ref="I154:I161" si="82">IFERROR(H154/G154-1,"-")</f>
        <v>0.12262652242983574</v>
      </c>
      <c r="J154" s="164">
        <f t="shared" si="79"/>
        <v>-7.0000626684213807E-2</v>
      </c>
      <c r="K154" s="162">
        <f t="shared" si="80"/>
        <v>1621</v>
      </c>
      <c r="L154" s="163">
        <f t="shared" si="81"/>
        <v>-1117</v>
      </c>
      <c r="M154" s="164">
        <f t="shared" si="78"/>
        <v>4.6403654256503392E-3</v>
      </c>
    </row>
    <row r="155" spans="2:13" x14ac:dyDescent="0.25">
      <c r="B155" s="162" t="s">
        <v>113</v>
      </c>
      <c r="C155" s="163">
        <v>15080</v>
      </c>
      <c r="D155" s="163">
        <v>12139</v>
      </c>
      <c r="E155" s="163">
        <v>4075</v>
      </c>
      <c r="F155" s="163">
        <v>6586</v>
      </c>
      <c r="G155" s="163">
        <v>6774</v>
      </c>
      <c r="H155" s="163">
        <v>6659</v>
      </c>
      <c r="I155" s="165">
        <f t="shared" si="82"/>
        <v>-1.6976675524062568E-2</v>
      </c>
      <c r="J155" s="164">
        <f t="shared" si="79"/>
        <v>-0.4514375154460829</v>
      </c>
      <c r="K155" s="162">
        <f t="shared" si="80"/>
        <v>-115</v>
      </c>
      <c r="L155" s="163">
        <f t="shared" si="81"/>
        <v>-5480</v>
      </c>
      <c r="M155" s="164">
        <f t="shared" si="78"/>
        <v>2.0822232728709977E-3</v>
      </c>
    </row>
    <row r="156" spans="2:13" x14ac:dyDescent="0.25">
      <c r="B156" s="162" t="s">
        <v>116</v>
      </c>
      <c r="C156" s="163">
        <v>8312</v>
      </c>
      <c r="D156" s="163">
        <v>7619</v>
      </c>
      <c r="E156" s="163">
        <v>1941</v>
      </c>
      <c r="F156" s="163">
        <v>4498</v>
      </c>
      <c r="G156" s="163">
        <v>6381</v>
      </c>
      <c r="H156" s="163">
        <v>8091</v>
      </c>
      <c r="I156" s="165">
        <f t="shared" si="82"/>
        <v>0.26798307475317351</v>
      </c>
      <c r="J156" s="164">
        <f t="shared" si="79"/>
        <v>6.1950387189919853E-2</v>
      </c>
      <c r="K156" s="162">
        <f t="shared" si="80"/>
        <v>1710</v>
      </c>
      <c r="L156" s="163">
        <f t="shared" si="81"/>
        <v>472</v>
      </c>
      <c r="M156" s="164">
        <f t="shared" si="78"/>
        <v>2.5299997748609768E-3</v>
      </c>
    </row>
    <row r="157" spans="2:13" x14ac:dyDescent="0.25">
      <c r="B157" s="162" t="s">
        <v>123</v>
      </c>
      <c r="C157" s="163">
        <v>912</v>
      </c>
      <c r="D157" s="163">
        <v>1008</v>
      </c>
      <c r="E157" s="163">
        <v>538</v>
      </c>
      <c r="F157" s="163">
        <v>1073</v>
      </c>
      <c r="G157" s="163">
        <v>981</v>
      </c>
      <c r="H157" s="163">
        <v>1306</v>
      </c>
      <c r="I157" s="165">
        <f t="shared" si="82"/>
        <v>0.33129459734964328</v>
      </c>
      <c r="J157" s="164">
        <f t="shared" si="79"/>
        <v>0.29563492063492069</v>
      </c>
      <c r="K157" s="162">
        <f t="shared" si="80"/>
        <v>325</v>
      </c>
      <c r="L157" s="163">
        <f t="shared" si="81"/>
        <v>298</v>
      </c>
      <c r="M157" s="164">
        <f t="shared" si="78"/>
        <v>4.083771729042684E-4</v>
      </c>
    </row>
    <row r="158" spans="2:13" x14ac:dyDescent="0.25">
      <c r="B158" s="162" t="s">
        <v>119</v>
      </c>
      <c r="C158" s="163">
        <v>1693</v>
      </c>
      <c r="D158" s="163">
        <v>2306</v>
      </c>
      <c r="E158" s="163">
        <v>1049</v>
      </c>
      <c r="F158" s="163">
        <v>2288</v>
      </c>
      <c r="G158" s="163">
        <v>2061</v>
      </c>
      <c r="H158" s="163">
        <v>2535</v>
      </c>
      <c r="I158" s="165">
        <f t="shared" si="82"/>
        <v>0.22998544395924303</v>
      </c>
      <c r="J158" s="164">
        <f t="shared" si="79"/>
        <v>9.9306157849089249E-2</v>
      </c>
      <c r="K158" s="162">
        <f t="shared" si="80"/>
        <v>474</v>
      </c>
      <c r="L158" s="163">
        <f t="shared" si="81"/>
        <v>229</v>
      </c>
      <c r="M158" s="164">
        <f t="shared" si="78"/>
        <v>7.9267697803393593E-4</v>
      </c>
    </row>
    <row r="159" spans="2:13" x14ac:dyDescent="0.25">
      <c r="B159" s="162" t="s">
        <v>128</v>
      </c>
      <c r="C159" s="163">
        <v>281</v>
      </c>
      <c r="D159" s="163">
        <v>320</v>
      </c>
      <c r="E159" s="163">
        <v>217</v>
      </c>
      <c r="F159" s="163">
        <v>277</v>
      </c>
      <c r="G159" s="163">
        <v>267</v>
      </c>
      <c r="H159" s="163">
        <v>285</v>
      </c>
      <c r="I159" s="165">
        <f t="shared" si="82"/>
        <v>6.7415730337078594E-2</v>
      </c>
      <c r="J159" s="164">
        <f t="shared" si="79"/>
        <v>-0.109375</v>
      </c>
      <c r="K159" s="162">
        <f t="shared" si="80"/>
        <v>18</v>
      </c>
      <c r="L159" s="163">
        <f t="shared" si="81"/>
        <v>-35</v>
      </c>
      <c r="M159" s="164">
        <f t="shared" si="78"/>
        <v>8.9117530074821202E-5</v>
      </c>
    </row>
    <row r="160" spans="2:13" x14ac:dyDescent="0.25">
      <c r="B160" s="162" t="s">
        <v>131</v>
      </c>
      <c r="C160" s="163">
        <v>775</v>
      </c>
      <c r="D160" s="163">
        <v>576</v>
      </c>
      <c r="E160" s="163">
        <v>277</v>
      </c>
      <c r="F160" s="163">
        <v>403</v>
      </c>
      <c r="G160" s="163">
        <v>540</v>
      </c>
      <c r="H160" s="163">
        <v>396</v>
      </c>
      <c r="I160" s="165">
        <f t="shared" si="82"/>
        <v>-0.26666666666666672</v>
      </c>
      <c r="J160" s="164">
        <f t="shared" si="79"/>
        <v>-0.3125</v>
      </c>
      <c r="K160" s="162">
        <f t="shared" si="80"/>
        <v>-144</v>
      </c>
      <c r="L160" s="163">
        <f t="shared" si="81"/>
        <v>-180</v>
      </c>
      <c r="M160" s="164">
        <f t="shared" si="78"/>
        <v>1.2382646284080421E-4</v>
      </c>
    </row>
    <row r="161" spans="2:13" x14ac:dyDescent="0.25">
      <c r="B161" s="168" t="s">
        <v>145</v>
      </c>
      <c r="C161" s="169">
        <f t="shared" ref="C161:H161" si="83">C153-SUM(C154:C160)</f>
        <v>9422</v>
      </c>
      <c r="D161" s="169">
        <f t="shared" si="83"/>
        <v>10470</v>
      </c>
      <c r="E161" s="169">
        <f t="shared" si="83"/>
        <v>3623</v>
      </c>
      <c r="F161" s="169">
        <f t="shared" si="83"/>
        <v>6996</v>
      </c>
      <c r="G161" s="169">
        <f t="shared" si="83"/>
        <v>8515</v>
      </c>
      <c r="H161" s="169">
        <f t="shared" si="83"/>
        <v>11692</v>
      </c>
      <c r="I161" s="171">
        <f t="shared" si="82"/>
        <v>0.37310628302994719</v>
      </c>
      <c r="J161" s="170">
        <f t="shared" si="79"/>
        <v>0.11671442215854833</v>
      </c>
      <c r="K161" s="168">
        <f>H161-G161</f>
        <v>3177</v>
      </c>
      <c r="L161" s="169">
        <f t="shared" si="81"/>
        <v>1222</v>
      </c>
      <c r="M161" s="170">
        <f t="shared" si="78"/>
        <v>3.6560075846835422E-3</v>
      </c>
    </row>
    <row r="162" spans="2:13" x14ac:dyDescent="0.25">
      <c r="C162" s="79"/>
      <c r="D162" s="79"/>
      <c r="E162" s="79"/>
      <c r="F162" s="79"/>
      <c r="G162" s="79"/>
      <c r="H162" s="79"/>
      <c r="I162" s="79"/>
    </row>
    <row r="163" spans="2:13" x14ac:dyDescent="0.25">
      <c r="B163" s="105" t="s">
        <v>55</v>
      </c>
      <c r="C163" s="105"/>
      <c r="D163" s="105"/>
      <c r="E163" s="105"/>
      <c r="F163" s="105"/>
      <c r="G163" s="105"/>
      <c r="H163" s="105"/>
      <c r="I163" s="105"/>
      <c r="J163" s="105"/>
      <c r="K163" s="105"/>
      <c r="L163" s="105"/>
      <c r="M163" s="105"/>
    </row>
  </sheetData>
  <mergeCells count="3">
    <mergeCell ref="B4:J4"/>
    <mergeCell ref="C6:M6"/>
    <mergeCell ref="Q6:AA6"/>
  </mergeCells>
  <pageMargins left="0.25" right="0.25" top="0.75" bottom="0.75" header="0.3" footer="0.3"/>
  <pageSetup paperSize="9" scale="88" orientation="landscape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DA18E7-4EF7-4741-9729-624A232EC05E}">
  <sheetPr>
    <tabColor theme="7" tint="0.79998168889431442"/>
    <pageSetUpPr fitToPage="1"/>
  </sheetPr>
  <dimension ref="A1:AA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  <col min="15" max="27" width="0" hidden="1" customWidth="1"/>
  </cols>
  <sheetData>
    <row r="1" spans="1:27" ht="42.75" customHeight="1" x14ac:dyDescent="0.25"/>
    <row r="4" spans="1:27" ht="42" customHeight="1" thickBot="1" x14ac:dyDescent="0.3">
      <c r="B4" s="270" t="str">
        <f>CONCATENATE("Viajeros entrados en los apartamentos de Tenerife según lugar de residencia y municipio de alojamiento")</f>
        <v>Viajeros entrados en los apartamentos de Tenerife según lugar de residencia y municipio de alojamiento</v>
      </c>
      <c r="C4" s="270"/>
      <c r="D4" s="270"/>
      <c r="E4" s="270"/>
      <c r="F4" s="270"/>
      <c r="G4" s="270"/>
      <c r="H4" s="270"/>
      <c r="I4" s="270"/>
      <c r="J4" s="270"/>
      <c r="K4" s="142"/>
      <c r="L4" s="142"/>
      <c r="M4" s="142"/>
      <c r="P4" s="141" t="s">
        <v>268</v>
      </c>
      <c r="Q4" s="142"/>
      <c r="R4" s="142"/>
      <c r="S4" s="142"/>
      <c r="T4" s="142"/>
      <c r="U4" s="142"/>
      <c r="V4" s="142"/>
      <c r="W4" s="142"/>
      <c r="X4" s="142"/>
      <c r="Y4" s="142"/>
      <c r="Z4" s="142"/>
      <c r="AA4" s="142"/>
    </row>
    <row r="5" spans="1:27" ht="6" customHeight="1" x14ac:dyDescent="0.25"/>
    <row r="6" spans="1:27" ht="15.75" x14ac:dyDescent="0.25">
      <c r="B6" s="143"/>
      <c r="C6" s="302" t="s">
        <v>43</v>
      </c>
      <c r="D6" s="303"/>
      <c r="E6" s="303"/>
      <c r="F6" s="303"/>
      <c r="G6" s="303"/>
      <c r="H6" s="303"/>
      <c r="I6" s="303"/>
      <c r="J6" s="303"/>
      <c r="K6" s="303"/>
      <c r="L6" s="303"/>
      <c r="M6" s="303"/>
      <c r="P6" s="143"/>
      <c r="Q6" s="302" t="s">
        <v>43</v>
      </c>
      <c r="R6" s="303"/>
      <c r="S6" s="303"/>
      <c r="T6" s="303"/>
      <c r="U6" s="303"/>
      <c r="V6" s="303"/>
      <c r="W6" s="303"/>
      <c r="X6" s="303"/>
      <c r="Y6" s="303"/>
      <c r="Z6" s="303"/>
      <c r="AA6" s="303"/>
    </row>
    <row r="7" spans="1:27" s="144" customFormat="1" ht="72" customHeight="1" x14ac:dyDescent="0.25">
      <c r="B7" s="145"/>
      <c r="C7" s="172" t="s">
        <v>261</v>
      </c>
      <c r="D7" s="172" t="s">
        <v>262</v>
      </c>
      <c r="E7" s="172" t="s">
        <v>263</v>
      </c>
      <c r="F7" s="172" t="s">
        <v>264</v>
      </c>
      <c r="G7" s="172" t="s">
        <v>265</v>
      </c>
      <c r="H7" s="172" t="s">
        <v>266</v>
      </c>
      <c r="I7" s="173" t="str">
        <f>CONCATENATE("var. ",RIGHT(H7,2),"/",RIGHT(G7,2))</f>
        <v>var. 24/23</v>
      </c>
      <c r="J7" s="173" t="str">
        <f>CONCATENATE("var. ",RIGHT(H7,2),"/",RIGHT(D7,2))</f>
        <v>var. 24/19</v>
      </c>
      <c r="K7" s="172" t="str">
        <f>CONCATENATE("dif. ",RIGHT(H7,2),"/",RIGHT(G7,2))</f>
        <v>dif. 24/23</v>
      </c>
      <c r="L7" s="172" t="str">
        <f>CONCATENATE("dif. ",RIGHT(H7,2),"/",RIGHT(D7,2))</f>
        <v>dif. 24/19</v>
      </c>
      <c r="M7" s="173" t="str">
        <f>CONCATENATE("Cuota s/ total lugares de residencia ",RIGHT(H7,4))</f>
        <v>Cuota s/ total lugares de residencia 2024</v>
      </c>
      <c r="P7" s="145"/>
      <c r="Q7" s="172" t="s">
        <v>261</v>
      </c>
      <c r="R7" s="172" t="s">
        <v>262</v>
      </c>
      <c r="S7" s="172" t="s">
        <v>263</v>
      </c>
      <c r="T7" s="172" t="s">
        <v>264</v>
      </c>
      <c r="U7" s="172" t="s">
        <v>265</v>
      </c>
      <c r="V7" s="172" t="s">
        <v>266</v>
      </c>
      <c r="W7" s="173" t="str">
        <f>CONCATENATE("var. ",RIGHT(V7,2),"/",RIGHT(U7,2))</f>
        <v>var. 24/23</v>
      </c>
      <c r="X7" s="173" t="str">
        <f>CONCATENATE("var. ",RIGHT(V7,2),"/",RIGHT(R7,2))</f>
        <v>var. 24/19</v>
      </c>
      <c r="Y7" s="172" t="str">
        <f>CONCATENATE("dif. ",RIGHT(V7,2),"/",RIGHT(U7,2))</f>
        <v>dif. 24/23</v>
      </c>
      <c r="Z7" s="172" t="str">
        <f>CONCATENATE("dif. ",RIGHT(V7,2),"/",RIGHT(R7,2))</f>
        <v>dif. 24/19</v>
      </c>
      <c r="AA7" s="173" t="str">
        <f>CONCATENATE("Cuota s/ total lugares de residencia ",RIGHT(V7,4))</f>
        <v>Cuota s/ total lugares de residencia 2024</v>
      </c>
    </row>
    <row r="8" spans="1:27" x14ac:dyDescent="0.25">
      <c r="A8" s="1"/>
      <c r="B8" s="150" t="s">
        <v>43</v>
      </c>
      <c r="C8" s="151"/>
      <c r="D8" s="151"/>
      <c r="E8" s="151"/>
      <c r="F8" s="151"/>
      <c r="G8" s="151"/>
      <c r="H8" s="152"/>
      <c r="I8" s="152"/>
      <c r="J8" s="152"/>
      <c r="K8" s="152"/>
      <c r="L8" s="151"/>
      <c r="M8" s="151"/>
      <c r="P8" s="153" t="s">
        <v>49</v>
      </c>
      <c r="Q8" s="151"/>
      <c r="R8" s="151"/>
      <c r="S8" s="151"/>
      <c r="T8" s="151"/>
      <c r="U8" s="151"/>
      <c r="V8" s="152"/>
      <c r="W8" s="152"/>
      <c r="X8" s="152"/>
      <c r="Y8" s="152"/>
      <c r="Z8" s="151"/>
      <c r="AA8" s="151"/>
    </row>
    <row r="9" spans="1:27" x14ac:dyDescent="0.25">
      <c r="A9" s="1" t="s">
        <v>96</v>
      </c>
      <c r="B9" s="154" t="s">
        <v>68</v>
      </c>
      <c r="C9" s="176">
        <f>C10+C13</f>
        <v>1003834</v>
      </c>
      <c r="D9" s="176">
        <f t="shared" ref="D9:H9" si="0">D10+D13</f>
        <v>967793</v>
      </c>
      <c r="E9" s="176">
        <f t="shared" si="0"/>
        <v>303151</v>
      </c>
      <c r="F9" s="176">
        <f t="shared" si="0"/>
        <v>721826</v>
      </c>
      <c r="G9" s="176">
        <f t="shared" si="0"/>
        <v>817155</v>
      </c>
      <c r="H9" s="176">
        <f t="shared" si="0"/>
        <v>897594</v>
      </c>
      <c r="I9" s="177">
        <f>IFERROR(H9/G9-1,"-")</f>
        <v>9.8437872863777365E-2</v>
      </c>
      <c r="J9" s="177">
        <f>IFERROR(H9/D9-1,"-")</f>
        <v>-7.2535139229153334E-2</v>
      </c>
      <c r="K9" s="176">
        <f>H9-G9</f>
        <v>80439</v>
      </c>
      <c r="L9" s="176">
        <f>H9-D9</f>
        <v>-70199</v>
      </c>
      <c r="M9" s="177">
        <f t="shared" ref="M9:M21" si="1">H9/H$9</f>
        <v>1</v>
      </c>
      <c r="P9" s="154" t="s">
        <v>68</v>
      </c>
      <c r="Q9" s="176" t="e">
        <f>Q10+Q13</f>
        <v>#REF!</v>
      </c>
      <c r="R9" s="176" t="e">
        <f t="shared" ref="R9:V9" si="2">R10+R13</f>
        <v>#REF!</v>
      </c>
      <c r="S9" s="176" t="e">
        <f t="shared" si="2"/>
        <v>#REF!</v>
      </c>
      <c r="T9" s="176" t="e">
        <f t="shared" si="2"/>
        <v>#REF!</v>
      </c>
      <c r="U9" s="176" t="e">
        <f t="shared" si="2"/>
        <v>#REF!</v>
      </c>
      <c r="V9" s="176" t="e">
        <f t="shared" si="2"/>
        <v>#REF!</v>
      </c>
      <c r="W9" s="177" t="str">
        <f>IFERROR(V9/U9-1,"-")</f>
        <v>-</v>
      </c>
      <c r="X9" s="177" t="str">
        <f>IFERROR(V9/R9-1,"-")</f>
        <v>-</v>
      </c>
      <c r="Y9" s="176" t="e">
        <f>V9-U9</f>
        <v>#REF!</v>
      </c>
      <c r="Z9" s="176" t="e">
        <f>V9-R9</f>
        <v>#REF!</v>
      </c>
      <c r="AA9" s="177" t="e">
        <f t="shared" ref="AA9:AA21" si="3">V9/V$9</f>
        <v>#REF!</v>
      </c>
    </row>
    <row r="10" spans="1:27" x14ac:dyDescent="0.25">
      <c r="A10" s="161" t="s">
        <v>103</v>
      </c>
      <c r="B10" s="157" t="s">
        <v>97</v>
      </c>
      <c r="C10" s="158">
        <v>165326</v>
      </c>
      <c r="D10" s="158">
        <v>153883</v>
      </c>
      <c r="E10" s="158">
        <v>59454</v>
      </c>
      <c r="F10" s="158">
        <v>128004</v>
      </c>
      <c r="G10" s="158">
        <v>133108</v>
      </c>
      <c r="H10" s="158">
        <v>140162</v>
      </c>
      <c r="I10" s="160">
        <f>IFERROR(H10/G10-1,"-")</f>
        <v>5.2994560807765101E-2</v>
      </c>
      <c r="J10" s="159">
        <f t="shared" ref="J10:J21" si="4">IFERROR(H10/D10-1,"-")</f>
        <v>-8.9165144947785047E-2</v>
      </c>
      <c r="K10" s="157">
        <f t="shared" ref="K10:K20" si="5">H10-G10</f>
        <v>7054</v>
      </c>
      <c r="L10" s="158">
        <f t="shared" ref="L10:L21" si="6">H10-D10</f>
        <v>-13721</v>
      </c>
      <c r="M10" s="159">
        <f t="shared" si="1"/>
        <v>0.15615300458782033</v>
      </c>
      <c r="P10" s="157" t="s">
        <v>97</v>
      </c>
      <c r="Q10" s="158" t="e">
        <v>#REF!</v>
      </c>
      <c r="R10" s="158" t="e">
        <v>#REF!</v>
      </c>
      <c r="S10" s="158" t="e">
        <v>#REF!</v>
      </c>
      <c r="T10" s="158" t="e">
        <v>#REF!</v>
      </c>
      <c r="U10" s="158" t="e">
        <v>#REF!</v>
      </c>
      <c r="V10" s="158" t="e">
        <v>#REF!</v>
      </c>
      <c r="W10" s="160" t="str">
        <f>IFERROR(V10/U10-1,"-")</f>
        <v>-</v>
      </c>
      <c r="X10" s="159" t="str">
        <f t="shared" ref="X10:X21" si="7">IFERROR(V10/R10-1,"-")</f>
        <v>-</v>
      </c>
      <c r="Y10" s="157" t="e">
        <f t="shared" ref="Y10:Y20" si="8">V10-U10</f>
        <v>#REF!</v>
      </c>
      <c r="Z10" s="158" t="e">
        <f t="shared" ref="Z10:Z21" si="9">V10-R10</f>
        <v>#REF!</v>
      </c>
      <c r="AA10" s="159" t="e">
        <f t="shared" si="3"/>
        <v>#REF!</v>
      </c>
    </row>
    <row r="11" spans="1:27" x14ac:dyDescent="0.25">
      <c r="A11" s="161" t="s">
        <v>100</v>
      </c>
      <c r="B11" s="162" t="s">
        <v>103</v>
      </c>
      <c r="C11" s="163">
        <v>87492</v>
      </c>
      <c r="D11" s="163">
        <v>85019</v>
      </c>
      <c r="E11" s="163">
        <v>41346</v>
      </c>
      <c r="F11" s="163">
        <v>76324</v>
      </c>
      <c r="G11" s="163">
        <v>75288</v>
      </c>
      <c r="H11" s="163">
        <v>68554</v>
      </c>
      <c r="I11" s="165">
        <f>IFERROR(H11/G11-1,"-")</f>
        <v>-8.9443204760386807E-2</v>
      </c>
      <c r="J11" s="164">
        <f t="shared" si="4"/>
        <v>-0.19366259306743194</v>
      </c>
      <c r="K11" s="162">
        <f t="shared" si="5"/>
        <v>-6734</v>
      </c>
      <c r="L11" s="163">
        <f t="shared" si="6"/>
        <v>-16465</v>
      </c>
      <c r="M11" s="164">
        <f t="shared" si="1"/>
        <v>7.6375287713598805E-2</v>
      </c>
      <c r="P11" s="162" t="s">
        <v>103</v>
      </c>
      <c r="Q11" s="163" t="e">
        <v>#REF!</v>
      </c>
      <c r="R11" s="163" t="e">
        <v>#REF!</v>
      </c>
      <c r="S11" s="163" t="e">
        <v>#REF!</v>
      </c>
      <c r="T11" s="163" t="e">
        <v>#REF!</v>
      </c>
      <c r="U11" s="163" t="e">
        <v>#REF!</v>
      </c>
      <c r="V11" s="163" t="e">
        <v>#REF!</v>
      </c>
      <c r="W11" s="165" t="str">
        <f>IFERROR(V11/U11-1,"-")</f>
        <v>-</v>
      </c>
      <c r="X11" s="164" t="str">
        <f t="shared" si="7"/>
        <v>-</v>
      </c>
      <c r="Y11" s="162" t="e">
        <f t="shared" si="8"/>
        <v>#REF!</v>
      </c>
      <c r="Z11" s="163" t="e">
        <f t="shared" si="9"/>
        <v>#REF!</v>
      </c>
      <c r="AA11" s="164" t="e">
        <f>V11/V$9</f>
        <v>#REF!</v>
      </c>
    </row>
    <row r="12" spans="1:27" x14ac:dyDescent="0.25">
      <c r="A12" s="1"/>
      <c r="B12" s="162" t="s">
        <v>100</v>
      </c>
      <c r="C12" s="163">
        <v>77834</v>
      </c>
      <c r="D12" s="163">
        <v>68864</v>
      </c>
      <c r="E12" s="163">
        <v>18108</v>
      </c>
      <c r="F12" s="163">
        <v>51680</v>
      </c>
      <c r="G12" s="163">
        <v>57820</v>
      </c>
      <c r="H12" s="163">
        <v>71608</v>
      </c>
      <c r="I12" s="165">
        <f>IFERROR(H12/G12-1,"-")</f>
        <v>0.23846419923901774</v>
      </c>
      <c r="J12" s="164">
        <f t="shared" si="4"/>
        <v>3.9846654275093041E-2</v>
      </c>
      <c r="K12" s="162">
        <f t="shared" si="5"/>
        <v>13788</v>
      </c>
      <c r="L12" s="163">
        <f t="shared" si="6"/>
        <v>2744</v>
      </c>
      <c r="M12" s="164">
        <f t="shared" si="1"/>
        <v>7.9777716874221527E-2</v>
      </c>
      <c r="P12" s="162" t="s">
        <v>100</v>
      </c>
      <c r="Q12" s="163" t="e">
        <v>#REF!</v>
      </c>
      <c r="R12" s="163" t="e">
        <v>#REF!</v>
      </c>
      <c r="S12" s="163" t="e">
        <v>#REF!</v>
      </c>
      <c r="T12" s="163" t="e">
        <v>#REF!</v>
      </c>
      <c r="U12" s="163" t="e">
        <v>#REF!</v>
      </c>
      <c r="V12" s="163" t="e">
        <v>#REF!</v>
      </c>
      <c r="W12" s="165" t="str">
        <f>IFERROR(V12/U12-1,"-")</f>
        <v>-</v>
      </c>
      <c r="X12" s="164" t="str">
        <f t="shared" si="7"/>
        <v>-</v>
      </c>
      <c r="Y12" s="162" t="e">
        <f t="shared" si="8"/>
        <v>#REF!</v>
      </c>
      <c r="Z12" s="163" t="e">
        <f t="shared" si="9"/>
        <v>#REF!</v>
      </c>
      <c r="AA12" s="164" t="e">
        <f t="shared" si="3"/>
        <v>#REF!</v>
      </c>
    </row>
    <row r="13" spans="1:27" s="56" customFormat="1" x14ac:dyDescent="0.25">
      <c r="B13" s="157" t="s">
        <v>107</v>
      </c>
      <c r="C13" s="158">
        <v>838508</v>
      </c>
      <c r="D13" s="158">
        <v>813910</v>
      </c>
      <c r="E13" s="158">
        <v>243697</v>
      </c>
      <c r="F13" s="158">
        <v>593822</v>
      </c>
      <c r="G13" s="158">
        <v>684047</v>
      </c>
      <c r="H13" s="158">
        <v>757432</v>
      </c>
      <c r="I13" s="160">
        <f>IFERROR(H13/G13-1,"-")</f>
        <v>0.10728064007297755</v>
      </c>
      <c r="J13" s="159">
        <f t="shared" si="4"/>
        <v>-6.9390964602965899E-2</v>
      </c>
      <c r="K13" s="157">
        <f t="shared" si="5"/>
        <v>73385</v>
      </c>
      <c r="L13" s="158">
        <f t="shared" si="6"/>
        <v>-56478</v>
      </c>
      <c r="M13" s="159">
        <f t="shared" si="1"/>
        <v>0.84384699541217967</v>
      </c>
      <c r="P13" s="157" t="s">
        <v>107</v>
      </c>
      <c r="Q13" s="158" t="e">
        <v>#REF!</v>
      </c>
      <c r="R13" s="158" t="e">
        <v>#REF!</v>
      </c>
      <c r="S13" s="158" t="e">
        <v>#REF!</v>
      </c>
      <c r="T13" s="158" t="e">
        <v>#REF!</v>
      </c>
      <c r="U13" s="158" t="e">
        <v>#REF!</v>
      </c>
      <c r="V13" s="158" t="e">
        <v>#REF!</v>
      </c>
      <c r="W13" s="160" t="str">
        <f>IFERROR(V13/U13-1,"-")</f>
        <v>-</v>
      </c>
      <c r="X13" s="159" t="str">
        <f t="shared" si="7"/>
        <v>-</v>
      </c>
      <c r="Y13" s="157" t="e">
        <f t="shared" si="8"/>
        <v>#REF!</v>
      </c>
      <c r="Z13" s="158" t="e">
        <f t="shared" si="9"/>
        <v>#REF!</v>
      </c>
      <c r="AA13" s="159" t="e">
        <f t="shared" si="3"/>
        <v>#REF!</v>
      </c>
    </row>
    <row r="14" spans="1:27" s="56" customFormat="1" x14ac:dyDescent="0.25">
      <c r="B14" s="162" t="s">
        <v>110</v>
      </c>
      <c r="C14" s="163">
        <v>452355</v>
      </c>
      <c r="D14" s="163">
        <v>448645</v>
      </c>
      <c r="E14" s="163">
        <v>101481</v>
      </c>
      <c r="F14" s="163">
        <v>292265</v>
      </c>
      <c r="G14" s="163">
        <v>357572</v>
      </c>
      <c r="H14" s="163">
        <v>411822</v>
      </c>
      <c r="I14" s="165">
        <f t="shared" ref="I14:I21" si="10">IFERROR(H14/G14-1,"-")</f>
        <v>0.15171769601646656</v>
      </c>
      <c r="J14" s="164">
        <f t="shared" si="4"/>
        <v>-8.207602893156063E-2</v>
      </c>
      <c r="K14" s="162">
        <f t="shared" si="5"/>
        <v>54250</v>
      </c>
      <c r="L14" s="163">
        <f t="shared" si="6"/>
        <v>-36823</v>
      </c>
      <c r="M14" s="164">
        <f t="shared" si="1"/>
        <v>0.45880654282448413</v>
      </c>
      <c r="P14" s="162" t="s">
        <v>110</v>
      </c>
      <c r="Q14" s="163" t="e">
        <v>#REF!</v>
      </c>
      <c r="R14" s="163" t="e">
        <v>#REF!</v>
      </c>
      <c r="S14" s="163" t="e">
        <v>#REF!</v>
      </c>
      <c r="T14" s="163" t="e">
        <v>#REF!</v>
      </c>
      <c r="U14" s="163" t="e">
        <v>#REF!</v>
      </c>
      <c r="V14" s="163" t="e">
        <v>#REF!</v>
      </c>
      <c r="W14" s="165" t="str">
        <f t="shared" ref="W14:W21" si="11">IFERROR(V14/U14-1,"-")</f>
        <v>-</v>
      </c>
      <c r="X14" s="164" t="str">
        <f t="shared" si="7"/>
        <v>-</v>
      </c>
      <c r="Y14" s="162" t="e">
        <f t="shared" si="8"/>
        <v>#REF!</v>
      </c>
      <c r="Z14" s="163" t="e">
        <f t="shared" si="9"/>
        <v>#REF!</v>
      </c>
      <c r="AA14" s="164" t="e">
        <f t="shared" si="3"/>
        <v>#REF!</v>
      </c>
    </row>
    <row r="15" spans="1:27" x14ac:dyDescent="0.25">
      <c r="A15" s="1"/>
      <c r="B15" s="162" t="s">
        <v>113</v>
      </c>
      <c r="C15" s="163">
        <v>69783</v>
      </c>
      <c r="D15" s="163">
        <v>56046</v>
      </c>
      <c r="E15" s="163">
        <v>18597</v>
      </c>
      <c r="F15" s="163">
        <v>32477</v>
      </c>
      <c r="G15" s="163">
        <v>34422</v>
      </c>
      <c r="H15" s="163">
        <v>38679</v>
      </c>
      <c r="I15" s="165">
        <f t="shared" si="10"/>
        <v>0.12367090814014303</v>
      </c>
      <c r="J15" s="164">
        <f t="shared" si="4"/>
        <v>-0.30987046354780001</v>
      </c>
      <c r="K15" s="162">
        <f t="shared" si="5"/>
        <v>4257</v>
      </c>
      <c r="L15" s="163">
        <f t="shared" si="6"/>
        <v>-17367</v>
      </c>
      <c r="M15" s="164">
        <f t="shared" si="1"/>
        <v>4.3091865587336811E-2</v>
      </c>
      <c r="P15" s="162" t="s">
        <v>113</v>
      </c>
      <c r="Q15" s="163" t="e">
        <v>#REF!</v>
      </c>
      <c r="R15" s="163" t="e">
        <v>#REF!</v>
      </c>
      <c r="S15" s="163" t="e">
        <v>#REF!</v>
      </c>
      <c r="T15" s="163" t="e">
        <v>#REF!</v>
      </c>
      <c r="U15" s="163" t="e">
        <v>#REF!</v>
      </c>
      <c r="V15" s="163" t="e">
        <v>#REF!</v>
      </c>
      <c r="W15" s="165" t="str">
        <f t="shared" si="11"/>
        <v>-</v>
      </c>
      <c r="X15" s="164" t="str">
        <f t="shared" si="7"/>
        <v>-</v>
      </c>
      <c r="Y15" s="162" t="e">
        <f t="shared" si="8"/>
        <v>#REF!</v>
      </c>
      <c r="Z15" s="163" t="e">
        <f t="shared" si="9"/>
        <v>#REF!</v>
      </c>
      <c r="AA15" s="164" t="e">
        <f t="shared" si="3"/>
        <v>#REF!</v>
      </c>
    </row>
    <row r="16" spans="1:27" x14ac:dyDescent="0.25">
      <c r="A16" s="1"/>
      <c r="B16" s="162" t="s">
        <v>116</v>
      </c>
      <c r="C16" s="163">
        <v>23297</v>
      </c>
      <c r="D16" s="163">
        <v>21697</v>
      </c>
      <c r="E16" s="163">
        <v>7192</v>
      </c>
      <c r="F16" s="163">
        <v>22104</v>
      </c>
      <c r="G16" s="163">
        <v>29027</v>
      </c>
      <c r="H16" s="163">
        <v>28862</v>
      </c>
      <c r="I16" s="165">
        <f t="shared" si="10"/>
        <v>-5.6843628346022745E-3</v>
      </c>
      <c r="J16" s="164">
        <f t="shared" si="4"/>
        <v>0.33022998571231055</v>
      </c>
      <c r="K16" s="162">
        <f t="shared" si="5"/>
        <v>-165</v>
      </c>
      <c r="L16" s="163">
        <f t="shared" si="6"/>
        <v>7165</v>
      </c>
      <c r="M16" s="164">
        <f t="shared" si="1"/>
        <v>3.2154849519938862E-2</v>
      </c>
      <c r="P16" s="162" t="s">
        <v>116</v>
      </c>
      <c r="Q16" s="163" t="e">
        <v>#REF!</v>
      </c>
      <c r="R16" s="163" t="e">
        <v>#REF!</v>
      </c>
      <c r="S16" s="163" t="e">
        <v>#REF!</v>
      </c>
      <c r="T16" s="163" t="e">
        <v>#REF!</v>
      </c>
      <c r="U16" s="163" t="e">
        <v>#REF!</v>
      </c>
      <c r="V16" s="163" t="e">
        <v>#REF!</v>
      </c>
      <c r="W16" s="165" t="str">
        <f t="shared" si="11"/>
        <v>-</v>
      </c>
      <c r="X16" s="164" t="str">
        <f t="shared" si="7"/>
        <v>-</v>
      </c>
      <c r="Y16" s="162" t="e">
        <f t="shared" si="8"/>
        <v>#REF!</v>
      </c>
      <c r="Z16" s="163" t="e">
        <f t="shared" si="9"/>
        <v>#REF!</v>
      </c>
      <c r="AA16" s="164" t="e">
        <f t="shared" si="3"/>
        <v>#REF!</v>
      </c>
    </row>
    <row r="17" spans="1:27" x14ac:dyDescent="0.25">
      <c r="A17" s="1"/>
      <c r="B17" s="162" t="s">
        <v>123</v>
      </c>
      <c r="C17" s="163">
        <v>36277</v>
      </c>
      <c r="D17" s="163">
        <v>36384</v>
      </c>
      <c r="E17" s="163">
        <v>10797</v>
      </c>
      <c r="F17" s="163">
        <v>37157</v>
      </c>
      <c r="G17" s="163">
        <v>35380</v>
      </c>
      <c r="H17" s="163">
        <v>35233</v>
      </c>
      <c r="I17" s="165">
        <f t="shared" si="10"/>
        <v>-4.1548897682306407E-3</v>
      </c>
      <c r="J17" s="164">
        <f t="shared" si="4"/>
        <v>-3.163478452066848E-2</v>
      </c>
      <c r="K17" s="162">
        <f t="shared" si="5"/>
        <v>-147</v>
      </c>
      <c r="L17" s="163">
        <f t="shared" si="6"/>
        <v>-1151</v>
      </c>
      <c r="M17" s="164">
        <f t="shared" si="1"/>
        <v>3.9252713364839785E-2</v>
      </c>
      <c r="P17" s="162" t="s">
        <v>123</v>
      </c>
      <c r="Q17" s="163" t="e">
        <v>#REF!</v>
      </c>
      <c r="R17" s="163" t="e">
        <v>#REF!</v>
      </c>
      <c r="S17" s="163" t="e">
        <v>#REF!</v>
      </c>
      <c r="T17" s="163" t="e">
        <v>#REF!</v>
      </c>
      <c r="U17" s="163" t="e">
        <v>#REF!</v>
      </c>
      <c r="V17" s="163" t="e">
        <v>#REF!</v>
      </c>
      <c r="W17" s="165" t="str">
        <f t="shared" si="11"/>
        <v>-</v>
      </c>
      <c r="X17" s="164" t="str">
        <f t="shared" si="7"/>
        <v>-</v>
      </c>
      <c r="Y17" s="162" t="e">
        <f t="shared" si="8"/>
        <v>#REF!</v>
      </c>
      <c r="Z17" s="163" t="e">
        <f t="shared" si="9"/>
        <v>#REF!</v>
      </c>
      <c r="AA17" s="164" t="e">
        <f t="shared" si="3"/>
        <v>#REF!</v>
      </c>
    </row>
    <row r="18" spans="1:27" x14ac:dyDescent="0.25">
      <c r="A18" s="1"/>
      <c r="B18" s="162" t="s">
        <v>119</v>
      </c>
      <c r="C18" s="163">
        <v>11818</v>
      </c>
      <c r="D18" s="163">
        <v>10972</v>
      </c>
      <c r="E18" s="163">
        <v>5388</v>
      </c>
      <c r="F18" s="163">
        <v>11054</v>
      </c>
      <c r="G18" s="163">
        <v>11638</v>
      </c>
      <c r="H18" s="163">
        <v>12245</v>
      </c>
      <c r="I18" s="165">
        <f t="shared" si="10"/>
        <v>5.2156727960130711E-2</v>
      </c>
      <c r="J18" s="164">
        <f t="shared" si="4"/>
        <v>0.11602260298942757</v>
      </c>
      <c r="K18" s="162">
        <f t="shared" si="5"/>
        <v>607</v>
      </c>
      <c r="L18" s="163">
        <f t="shared" si="6"/>
        <v>1273</v>
      </c>
      <c r="M18" s="164">
        <f t="shared" si="1"/>
        <v>1.3642025236354076E-2</v>
      </c>
      <c r="P18" s="162" t="s">
        <v>119</v>
      </c>
      <c r="Q18" s="163" t="e">
        <v>#REF!</v>
      </c>
      <c r="R18" s="163" t="e">
        <v>#REF!</v>
      </c>
      <c r="S18" s="163" t="e">
        <v>#REF!</v>
      </c>
      <c r="T18" s="163" t="e">
        <v>#REF!</v>
      </c>
      <c r="U18" s="163" t="e">
        <v>#REF!</v>
      </c>
      <c r="V18" s="163" t="e">
        <v>#REF!</v>
      </c>
      <c r="W18" s="165" t="str">
        <f t="shared" si="11"/>
        <v>-</v>
      </c>
      <c r="X18" s="164" t="str">
        <f t="shared" si="7"/>
        <v>-</v>
      </c>
      <c r="Y18" s="162" t="e">
        <f t="shared" si="8"/>
        <v>#REF!</v>
      </c>
      <c r="Z18" s="163" t="e">
        <f t="shared" si="9"/>
        <v>#REF!</v>
      </c>
      <c r="AA18" s="164" t="e">
        <f t="shared" si="3"/>
        <v>#REF!</v>
      </c>
    </row>
    <row r="19" spans="1:27" x14ac:dyDescent="0.25">
      <c r="A19" s="161" t="s">
        <v>144</v>
      </c>
      <c r="B19" s="162" t="s">
        <v>128</v>
      </c>
      <c r="C19" s="163">
        <v>17426</v>
      </c>
      <c r="D19" s="163">
        <v>20014</v>
      </c>
      <c r="E19" s="163">
        <v>10413</v>
      </c>
      <c r="F19" s="163">
        <v>13218</v>
      </c>
      <c r="G19" s="163">
        <v>15473</v>
      </c>
      <c r="H19" s="163">
        <v>14129</v>
      </c>
      <c r="I19" s="165">
        <f t="shared" si="10"/>
        <v>-8.6860983648936907E-2</v>
      </c>
      <c r="J19" s="164">
        <f t="shared" si="4"/>
        <v>-0.29404416908164288</v>
      </c>
      <c r="K19" s="162">
        <f t="shared" si="5"/>
        <v>-1344</v>
      </c>
      <c r="L19" s="163">
        <f t="shared" si="6"/>
        <v>-5885</v>
      </c>
      <c r="M19" s="164">
        <f t="shared" si="1"/>
        <v>1.5740969748015251E-2</v>
      </c>
      <c r="P19" s="162" t="s">
        <v>128</v>
      </c>
      <c r="Q19" s="163" t="e">
        <v>#REF!</v>
      </c>
      <c r="R19" s="163" t="e">
        <v>#REF!</v>
      </c>
      <c r="S19" s="163" t="e">
        <v>#REF!</v>
      </c>
      <c r="T19" s="163" t="e">
        <v>#REF!</v>
      </c>
      <c r="U19" s="163" t="e">
        <v>#REF!</v>
      </c>
      <c r="V19" s="163" t="e">
        <v>#REF!</v>
      </c>
      <c r="W19" s="165" t="str">
        <f t="shared" si="11"/>
        <v>-</v>
      </c>
      <c r="X19" s="164" t="str">
        <f t="shared" si="7"/>
        <v>-</v>
      </c>
      <c r="Y19" s="162" t="e">
        <f t="shared" si="8"/>
        <v>#REF!</v>
      </c>
      <c r="Z19" s="163" t="e">
        <f t="shared" si="9"/>
        <v>#REF!</v>
      </c>
      <c r="AA19" s="164" t="e">
        <f t="shared" si="3"/>
        <v>#REF!</v>
      </c>
    </row>
    <row r="20" spans="1:27" x14ac:dyDescent="0.25">
      <c r="A20" s="167" t="s">
        <v>145</v>
      </c>
      <c r="B20" s="162" t="s">
        <v>131</v>
      </c>
      <c r="C20" s="163">
        <v>31578</v>
      </c>
      <c r="D20" s="163">
        <v>27070</v>
      </c>
      <c r="E20" s="163">
        <v>16060</v>
      </c>
      <c r="F20" s="163">
        <v>11008</v>
      </c>
      <c r="G20" s="163">
        <v>14875</v>
      </c>
      <c r="H20" s="163">
        <v>17005</v>
      </c>
      <c r="I20" s="165">
        <f t="shared" si="10"/>
        <v>0.14319327731092435</v>
      </c>
      <c r="J20" s="164">
        <f t="shared" si="4"/>
        <v>-0.37181381603250829</v>
      </c>
      <c r="K20" s="162">
        <f t="shared" si="5"/>
        <v>2130</v>
      </c>
      <c r="L20" s="163">
        <f t="shared" si="6"/>
        <v>-10065</v>
      </c>
      <c r="M20" s="164">
        <f t="shared" si="1"/>
        <v>1.8945090987684855E-2</v>
      </c>
      <c r="P20" s="162" t="s">
        <v>131</v>
      </c>
      <c r="Q20" s="163" t="e">
        <v>#REF!</v>
      </c>
      <c r="R20" s="163" t="e">
        <v>#REF!</v>
      </c>
      <c r="S20" s="163" t="e">
        <v>#REF!</v>
      </c>
      <c r="T20" s="163" t="e">
        <v>#REF!</v>
      </c>
      <c r="U20" s="163" t="e">
        <v>#REF!</v>
      </c>
      <c r="V20" s="163" t="e">
        <v>#REF!</v>
      </c>
      <c r="W20" s="165" t="str">
        <f t="shared" si="11"/>
        <v>-</v>
      </c>
      <c r="X20" s="164" t="str">
        <f t="shared" si="7"/>
        <v>-</v>
      </c>
      <c r="Y20" s="162" t="e">
        <f t="shared" si="8"/>
        <v>#REF!</v>
      </c>
      <c r="Z20" s="163" t="e">
        <f t="shared" si="9"/>
        <v>#REF!</v>
      </c>
      <c r="AA20" s="164" t="e">
        <f t="shared" si="3"/>
        <v>#REF!</v>
      </c>
    </row>
    <row r="21" spans="1:27" x14ac:dyDescent="0.25">
      <c r="B21" s="168" t="s">
        <v>145</v>
      </c>
      <c r="C21" s="169">
        <f t="shared" ref="C21:H21" si="12">C13-SUM(C14:C20)</f>
        <v>195974</v>
      </c>
      <c r="D21" s="169">
        <f t="shared" si="12"/>
        <v>193082</v>
      </c>
      <c r="E21" s="169">
        <f t="shared" si="12"/>
        <v>73769</v>
      </c>
      <c r="F21" s="169">
        <f t="shared" si="12"/>
        <v>174539</v>
      </c>
      <c r="G21" s="169">
        <f t="shared" si="12"/>
        <v>185660</v>
      </c>
      <c r="H21" s="169">
        <f t="shared" si="12"/>
        <v>199457</v>
      </c>
      <c r="I21" s="171">
        <f t="shared" si="10"/>
        <v>7.4313260799310665E-2</v>
      </c>
      <c r="J21" s="170">
        <f t="shared" si="4"/>
        <v>3.3017060109176377E-2</v>
      </c>
      <c r="K21" s="168">
        <f>H21-G21</f>
        <v>13797</v>
      </c>
      <c r="L21" s="169">
        <f t="shared" si="6"/>
        <v>6375</v>
      </c>
      <c r="M21" s="170">
        <f t="shared" si="1"/>
        <v>0.22221293814352591</v>
      </c>
      <c r="P21" s="168" t="s">
        <v>145</v>
      </c>
      <c r="Q21" s="169" t="e">
        <f t="shared" ref="Q21:V21" si="13">Q13-SUM(Q14:Q20)</f>
        <v>#REF!</v>
      </c>
      <c r="R21" s="169" t="e">
        <f t="shared" si="13"/>
        <v>#REF!</v>
      </c>
      <c r="S21" s="169" t="e">
        <f t="shared" si="13"/>
        <v>#REF!</v>
      </c>
      <c r="T21" s="169" t="e">
        <f t="shared" si="13"/>
        <v>#REF!</v>
      </c>
      <c r="U21" s="169" t="e">
        <f t="shared" si="13"/>
        <v>#REF!</v>
      </c>
      <c r="V21" s="169" t="e">
        <f t="shared" si="13"/>
        <v>#REF!</v>
      </c>
      <c r="W21" s="171" t="str">
        <f t="shared" si="11"/>
        <v>-</v>
      </c>
      <c r="X21" s="170" t="str">
        <f t="shared" si="7"/>
        <v>-</v>
      </c>
      <c r="Y21" s="168" t="e">
        <f>V21-U21</f>
        <v>#REF!</v>
      </c>
      <c r="Z21" s="169" t="e">
        <f t="shared" si="9"/>
        <v>#REF!</v>
      </c>
      <c r="AA21" s="170" t="e">
        <f t="shared" si="3"/>
        <v>#REF!</v>
      </c>
    </row>
    <row r="22" spans="1:27" x14ac:dyDescent="0.25">
      <c r="B22" s="153" t="s">
        <v>44</v>
      </c>
      <c r="C22" s="151"/>
      <c r="D22" s="151"/>
      <c r="E22" s="151"/>
      <c r="F22" s="151"/>
      <c r="G22" s="151"/>
      <c r="H22" s="152"/>
      <c r="I22" s="152"/>
      <c r="J22" s="152"/>
      <c r="K22" s="152"/>
      <c r="L22" s="151"/>
      <c r="M22" s="151"/>
    </row>
    <row r="23" spans="1:27" x14ac:dyDescent="0.25">
      <c r="B23" s="154" t="s">
        <v>68</v>
      </c>
      <c r="C23" s="176">
        <f>C24+C27</f>
        <v>280946</v>
      </c>
      <c r="D23" s="176">
        <f t="shared" ref="D23:H23" si="14">D24+D27</f>
        <v>303292</v>
      </c>
      <c r="E23" s="176">
        <f t="shared" si="14"/>
        <v>81469</v>
      </c>
      <c r="F23" s="176">
        <f t="shared" si="14"/>
        <v>190775</v>
      </c>
      <c r="G23" s="176">
        <f t="shared" si="14"/>
        <v>255103</v>
      </c>
      <c r="H23" s="176">
        <f t="shared" si="14"/>
        <v>269491</v>
      </c>
      <c r="I23" s="177">
        <f>IFERROR(H23/G23-1,"-")</f>
        <v>5.6400747933187834E-2</v>
      </c>
      <c r="J23" s="177">
        <f>IFERROR(H23/D23-1,"-")</f>
        <v>-0.11144705432388591</v>
      </c>
      <c r="K23" s="176">
        <f>H23-G23</f>
        <v>14388</v>
      </c>
      <c r="L23" s="176">
        <f>H23-D23</f>
        <v>-33801</v>
      </c>
      <c r="M23" s="177">
        <f t="shared" ref="M23:M35" si="15">H23/H$9</f>
        <v>0.30023707823358892</v>
      </c>
    </row>
    <row r="24" spans="1:27" x14ac:dyDescent="0.25">
      <c r="B24" s="157" t="s">
        <v>97</v>
      </c>
      <c r="C24" s="158">
        <v>22847</v>
      </c>
      <c r="D24" s="158">
        <v>34383</v>
      </c>
      <c r="E24" s="158">
        <v>14523</v>
      </c>
      <c r="F24" s="158">
        <v>28134</v>
      </c>
      <c r="G24" s="158">
        <v>32334</v>
      </c>
      <c r="H24" s="158">
        <v>27615</v>
      </c>
      <c r="I24" s="160">
        <f>IFERROR(H24/G24-1,"-")</f>
        <v>-0.14594544442382629</v>
      </c>
      <c r="J24" s="159">
        <f t="shared" ref="J24:J35" si="16">IFERROR(H24/D24-1,"-")</f>
        <v>-0.1968414623505802</v>
      </c>
      <c r="K24" s="157">
        <f t="shared" ref="K24:K34" si="17">H24-G24</f>
        <v>-4719</v>
      </c>
      <c r="L24" s="158">
        <f t="shared" ref="L24:L35" si="18">H24-D24</f>
        <v>-6768</v>
      </c>
      <c r="M24" s="159">
        <f t="shared" si="15"/>
        <v>3.076557998382342E-2</v>
      </c>
    </row>
    <row r="25" spans="1:27" x14ac:dyDescent="0.25">
      <c r="B25" s="162" t="s">
        <v>103</v>
      </c>
      <c r="C25" s="163">
        <v>14758</v>
      </c>
      <c r="D25" s="163">
        <v>24688</v>
      </c>
      <c r="E25" s="163">
        <v>12553</v>
      </c>
      <c r="F25" s="163">
        <v>15790</v>
      </c>
      <c r="G25" s="163">
        <v>17325</v>
      </c>
      <c r="H25" s="163">
        <v>13907</v>
      </c>
      <c r="I25" s="165">
        <f>IFERROR(H25/G25-1,"-")</f>
        <v>-0.19728715728715729</v>
      </c>
      <c r="J25" s="164">
        <f t="shared" si="16"/>
        <v>-0.43668988982501622</v>
      </c>
      <c r="K25" s="162">
        <f t="shared" si="17"/>
        <v>-3418</v>
      </c>
      <c r="L25" s="163">
        <f t="shared" si="18"/>
        <v>-10781</v>
      </c>
      <c r="M25" s="164">
        <f t="shared" si="15"/>
        <v>1.5493641891545621E-2</v>
      </c>
    </row>
    <row r="26" spans="1:27" x14ac:dyDescent="0.25">
      <c r="B26" s="162" t="s">
        <v>100</v>
      </c>
      <c r="C26" s="163">
        <v>8089</v>
      </c>
      <c r="D26" s="163">
        <v>9695</v>
      </c>
      <c r="E26" s="163">
        <v>1970</v>
      </c>
      <c r="F26" s="163">
        <v>12344</v>
      </c>
      <c r="G26" s="163">
        <v>15009</v>
      </c>
      <c r="H26" s="163">
        <v>13708</v>
      </c>
      <c r="I26" s="165">
        <f>IFERROR(H26/G26-1,"-")</f>
        <v>-8.6681324538610216E-2</v>
      </c>
      <c r="J26" s="164">
        <f t="shared" si="16"/>
        <v>0.41392470345538945</v>
      </c>
      <c r="K26" s="162">
        <f t="shared" si="17"/>
        <v>-1301</v>
      </c>
      <c r="L26" s="163">
        <f t="shared" si="18"/>
        <v>4013</v>
      </c>
      <c r="M26" s="164">
        <f t="shared" si="15"/>
        <v>1.5271938092277801E-2</v>
      </c>
    </row>
    <row r="27" spans="1:27" x14ac:dyDescent="0.25">
      <c r="B27" s="157" t="s">
        <v>107</v>
      </c>
      <c r="C27" s="158">
        <v>258099</v>
      </c>
      <c r="D27" s="158">
        <v>268909</v>
      </c>
      <c r="E27" s="158">
        <v>66946</v>
      </c>
      <c r="F27" s="158">
        <v>162641</v>
      </c>
      <c r="G27" s="158">
        <v>222769</v>
      </c>
      <c r="H27" s="158">
        <v>241876</v>
      </c>
      <c r="I27" s="160">
        <f>IFERROR(H27/G27-1,"-")</f>
        <v>8.5770461778793328E-2</v>
      </c>
      <c r="J27" s="159">
        <f t="shared" si="16"/>
        <v>-0.10052843155119395</v>
      </c>
      <c r="K27" s="157">
        <f t="shared" si="17"/>
        <v>19107</v>
      </c>
      <c r="L27" s="158">
        <f t="shared" si="18"/>
        <v>-27033</v>
      </c>
      <c r="M27" s="159">
        <f t="shared" si="15"/>
        <v>0.26947149824976546</v>
      </c>
    </row>
    <row r="28" spans="1:27" x14ac:dyDescent="0.25">
      <c r="B28" s="162" t="s">
        <v>110</v>
      </c>
      <c r="C28" s="163">
        <v>158330</v>
      </c>
      <c r="D28" s="163">
        <v>165470</v>
      </c>
      <c r="E28" s="163">
        <v>35287</v>
      </c>
      <c r="F28" s="163">
        <v>87103</v>
      </c>
      <c r="G28" s="163">
        <v>127768</v>
      </c>
      <c r="H28" s="163">
        <v>145501</v>
      </c>
      <c r="I28" s="165">
        <f t="shared" ref="I28:I35" si="19">IFERROR(H28/G28-1,"-")</f>
        <v>0.13879062049965563</v>
      </c>
      <c r="J28" s="164">
        <f t="shared" si="16"/>
        <v>-0.12068048588868074</v>
      </c>
      <c r="K28" s="162">
        <f t="shared" si="17"/>
        <v>17733</v>
      </c>
      <c r="L28" s="163">
        <f t="shared" si="18"/>
        <v>-19969</v>
      </c>
      <c r="M28" s="164">
        <f t="shared" si="15"/>
        <v>0.16210112812697056</v>
      </c>
    </row>
    <row r="29" spans="1:27" x14ac:dyDescent="0.25">
      <c r="B29" s="162" t="s">
        <v>113</v>
      </c>
      <c r="C29" s="163">
        <v>24375</v>
      </c>
      <c r="D29" s="163">
        <v>21816</v>
      </c>
      <c r="E29" s="163">
        <v>6060</v>
      </c>
      <c r="F29" s="163">
        <v>9589</v>
      </c>
      <c r="G29" s="163">
        <v>10642</v>
      </c>
      <c r="H29" s="163">
        <v>11584</v>
      </c>
      <c r="I29" s="165">
        <f t="shared" si="19"/>
        <v>8.8517196015786448E-2</v>
      </c>
      <c r="J29" s="164">
        <f t="shared" si="16"/>
        <v>-0.46901356802346905</v>
      </c>
      <c r="K29" s="162">
        <f t="shared" si="17"/>
        <v>942</v>
      </c>
      <c r="L29" s="163">
        <f t="shared" si="18"/>
        <v>-10232</v>
      </c>
      <c r="M29" s="164">
        <f t="shared" si="15"/>
        <v>1.2905612114162973E-2</v>
      </c>
    </row>
    <row r="30" spans="1:27" x14ac:dyDescent="0.25">
      <c r="B30" s="162" t="s">
        <v>116</v>
      </c>
      <c r="C30" s="163">
        <v>4224</v>
      </c>
      <c r="D30" s="163">
        <v>7087</v>
      </c>
      <c r="E30" s="163">
        <v>2310</v>
      </c>
      <c r="F30" s="163">
        <v>7384</v>
      </c>
      <c r="G30" s="163">
        <v>13162</v>
      </c>
      <c r="H30" s="163">
        <v>12260</v>
      </c>
      <c r="I30" s="165">
        <f t="shared" si="19"/>
        <v>-6.8530618447044556E-2</v>
      </c>
      <c r="J30" s="164">
        <f t="shared" si="16"/>
        <v>0.72992803725130528</v>
      </c>
      <c r="K30" s="162">
        <f t="shared" si="17"/>
        <v>-902</v>
      </c>
      <c r="L30" s="163">
        <f t="shared" si="18"/>
        <v>5173</v>
      </c>
      <c r="M30" s="164">
        <f t="shared" si="15"/>
        <v>1.365873657800743E-2</v>
      </c>
    </row>
    <row r="31" spans="1:27" x14ac:dyDescent="0.25">
      <c r="B31" s="162" t="s">
        <v>123</v>
      </c>
      <c r="C31" s="163">
        <v>9140</v>
      </c>
      <c r="D31" s="163">
        <v>10334</v>
      </c>
      <c r="E31" s="163">
        <v>2594</v>
      </c>
      <c r="F31" s="163">
        <v>9242</v>
      </c>
      <c r="G31" s="163">
        <v>10119</v>
      </c>
      <c r="H31" s="163">
        <v>7745</v>
      </c>
      <c r="I31" s="165">
        <f t="shared" si="19"/>
        <v>-0.23460816286194286</v>
      </c>
      <c r="J31" s="164">
        <f t="shared" si="16"/>
        <v>-0.2505322237275015</v>
      </c>
      <c r="K31" s="162">
        <f t="shared" si="17"/>
        <v>-2374</v>
      </c>
      <c r="L31" s="163">
        <f t="shared" si="18"/>
        <v>-2589</v>
      </c>
      <c r="M31" s="164">
        <f t="shared" si="15"/>
        <v>8.6286227403480856E-3</v>
      </c>
    </row>
    <row r="32" spans="1:27" x14ac:dyDescent="0.25">
      <c r="B32" s="162" t="s">
        <v>119</v>
      </c>
      <c r="C32" s="163">
        <v>3247</v>
      </c>
      <c r="D32" s="163">
        <v>3719</v>
      </c>
      <c r="E32" s="163">
        <v>1704</v>
      </c>
      <c r="F32" s="163">
        <v>3655</v>
      </c>
      <c r="G32" s="163">
        <v>3957</v>
      </c>
      <c r="H32" s="163">
        <v>3859</v>
      </c>
      <c r="I32" s="165">
        <f t="shared" si="19"/>
        <v>-2.4766237048268858E-2</v>
      </c>
      <c r="J32" s="164">
        <f t="shared" si="16"/>
        <v>3.7644528098951247E-2</v>
      </c>
      <c r="K32" s="162">
        <f t="shared" si="17"/>
        <v>-98</v>
      </c>
      <c r="L32" s="163">
        <f t="shared" si="18"/>
        <v>140</v>
      </c>
      <c r="M32" s="164">
        <f t="shared" si="15"/>
        <v>4.2992711626860247E-3</v>
      </c>
    </row>
    <row r="33" spans="2:13" x14ac:dyDescent="0.25">
      <c r="B33" s="162" t="s">
        <v>128</v>
      </c>
      <c r="C33" s="163">
        <v>2477</v>
      </c>
      <c r="D33" s="163">
        <v>3120</v>
      </c>
      <c r="E33" s="163">
        <v>1994</v>
      </c>
      <c r="F33" s="163">
        <v>1623</v>
      </c>
      <c r="G33" s="163">
        <v>2475</v>
      </c>
      <c r="H33" s="163">
        <v>1946</v>
      </c>
      <c r="I33" s="165">
        <f t="shared" si="19"/>
        <v>-0.21373737373737378</v>
      </c>
      <c r="J33" s="164">
        <f t="shared" si="16"/>
        <v>-0.37628205128205128</v>
      </c>
      <c r="K33" s="162">
        <f t="shared" si="17"/>
        <v>-529</v>
      </c>
      <c r="L33" s="163">
        <f t="shared" si="18"/>
        <v>-1174</v>
      </c>
      <c r="M33" s="164">
        <f t="shared" si="15"/>
        <v>2.168018057161701E-3</v>
      </c>
    </row>
    <row r="34" spans="2:13" x14ac:dyDescent="0.25">
      <c r="B34" s="162" t="s">
        <v>131</v>
      </c>
      <c r="C34" s="163">
        <v>3892</v>
      </c>
      <c r="D34" s="163">
        <v>3867</v>
      </c>
      <c r="E34" s="163">
        <v>1709</v>
      </c>
      <c r="F34" s="163">
        <v>919</v>
      </c>
      <c r="G34" s="163">
        <v>2007</v>
      </c>
      <c r="H34" s="163">
        <v>2239</v>
      </c>
      <c r="I34" s="165">
        <f t="shared" si="19"/>
        <v>0.1155954160438466</v>
      </c>
      <c r="J34" s="164">
        <f t="shared" si="16"/>
        <v>-0.42099818981122317</v>
      </c>
      <c r="K34" s="162">
        <f t="shared" si="17"/>
        <v>232</v>
      </c>
      <c r="L34" s="163">
        <f t="shared" si="18"/>
        <v>-1628</v>
      </c>
      <c r="M34" s="164">
        <f t="shared" si="15"/>
        <v>2.494446264123869E-3</v>
      </c>
    </row>
    <row r="35" spans="2:13" x14ac:dyDescent="0.25">
      <c r="B35" s="168" t="s">
        <v>145</v>
      </c>
      <c r="C35" s="169">
        <f t="shared" ref="C35:H35" si="20">C27-SUM(C28:C34)</f>
        <v>52414</v>
      </c>
      <c r="D35" s="169">
        <f t="shared" si="20"/>
        <v>53496</v>
      </c>
      <c r="E35" s="169">
        <f t="shared" si="20"/>
        <v>15288</v>
      </c>
      <c r="F35" s="169">
        <f t="shared" si="20"/>
        <v>43126</v>
      </c>
      <c r="G35" s="169">
        <f t="shared" si="20"/>
        <v>52639</v>
      </c>
      <c r="H35" s="169">
        <f t="shared" si="20"/>
        <v>56742</v>
      </c>
      <c r="I35" s="171">
        <f t="shared" si="19"/>
        <v>7.7946009612644529E-2</v>
      </c>
      <c r="J35" s="170">
        <f t="shared" si="16"/>
        <v>6.0677433826828109E-2</v>
      </c>
      <c r="K35" s="168">
        <f>H35-G35</f>
        <v>4103</v>
      </c>
      <c r="L35" s="169">
        <f t="shared" si="18"/>
        <v>3246</v>
      </c>
      <c r="M35" s="170">
        <f t="shared" si="15"/>
        <v>6.3215663206304853E-2</v>
      </c>
    </row>
    <row r="36" spans="2:13" x14ac:dyDescent="0.25">
      <c r="B36" s="153" t="s">
        <v>45</v>
      </c>
      <c r="C36" s="151"/>
      <c r="D36" s="151"/>
      <c r="E36" s="151"/>
      <c r="F36" s="151"/>
      <c r="G36" s="151"/>
      <c r="H36" s="152"/>
      <c r="I36" s="152"/>
      <c r="J36" s="152"/>
      <c r="K36" s="152"/>
      <c r="L36" s="151"/>
      <c r="M36" s="151"/>
    </row>
    <row r="37" spans="2:13" x14ac:dyDescent="0.25">
      <c r="B37" s="154" t="s">
        <v>68</v>
      </c>
      <c r="C37" s="176">
        <f>C38+C41</f>
        <v>457298</v>
      </c>
      <c r="D37" s="176">
        <f t="shared" ref="D37:H37" si="21">D38+D41</f>
        <v>436171</v>
      </c>
      <c r="E37" s="176">
        <f t="shared" si="21"/>
        <v>128188</v>
      </c>
      <c r="F37" s="176">
        <f t="shared" si="21"/>
        <v>367054</v>
      </c>
      <c r="G37" s="176">
        <f t="shared" si="21"/>
        <v>376530</v>
      </c>
      <c r="H37" s="176">
        <f t="shared" si="21"/>
        <v>394071</v>
      </c>
      <c r="I37" s="177">
        <f>IFERROR(H37/G37-1,"-")</f>
        <v>4.6585929408015314E-2</v>
      </c>
      <c r="J37" s="177">
        <f>IFERROR(H37/D37-1,"-")</f>
        <v>-9.6521777009475618E-2</v>
      </c>
      <c r="K37" s="176">
        <f>H37-G37</f>
        <v>17541</v>
      </c>
      <c r="L37" s="176">
        <f>H37-D37</f>
        <v>-42100</v>
      </c>
      <c r="M37" s="177">
        <f t="shared" ref="M37:M49" si="22">H37/H$9</f>
        <v>0.43903034111190581</v>
      </c>
    </row>
    <row r="38" spans="2:13" x14ac:dyDescent="0.25">
      <c r="B38" s="157" t="s">
        <v>97</v>
      </c>
      <c r="C38" s="158">
        <v>46018</v>
      </c>
      <c r="D38" s="158">
        <v>38460</v>
      </c>
      <c r="E38" s="158">
        <v>16968</v>
      </c>
      <c r="F38" s="158">
        <v>34751</v>
      </c>
      <c r="G38" s="158">
        <v>31088</v>
      </c>
      <c r="H38" s="158">
        <v>27628</v>
      </c>
      <c r="I38" s="160">
        <f>IFERROR(H38/G38-1,"-")</f>
        <v>-0.11129696345856921</v>
      </c>
      <c r="J38" s="159">
        <f t="shared" ref="J38:J49" si="23">IFERROR(H38/D38-1,"-")</f>
        <v>-0.28164326573062926</v>
      </c>
      <c r="K38" s="157">
        <f t="shared" ref="K38:K48" si="24">H38-G38</f>
        <v>-3460</v>
      </c>
      <c r="L38" s="158">
        <f t="shared" ref="L38:L49" si="25">H38-D38</f>
        <v>-10832</v>
      </c>
      <c r="M38" s="159">
        <f t="shared" si="22"/>
        <v>3.078006314658966E-2</v>
      </c>
    </row>
    <row r="39" spans="2:13" x14ac:dyDescent="0.25">
      <c r="B39" s="162" t="s">
        <v>103</v>
      </c>
      <c r="C39" s="163">
        <v>25510</v>
      </c>
      <c r="D39" s="163">
        <v>27149</v>
      </c>
      <c r="E39" s="163">
        <v>12932</v>
      </c>
      <c r="F39" s="163">
        <v>26190</v>
      </c>
      <c r="G39" s="163">
        <v>19276</v>
      </c>
      <c r="H39" s="163">
        <v>15736</v>
      </c>
      <c r="I39" s="165">
        <f>IFERROR(H39/G39-1,"-")</f>
        <v>-0.18364805976343634</v>
      </c>
      <c r="J39" s="164">
        <f t="shared" si="23"/>
        <v>-0.4203838078750598</v>
      </c>
      <c r="K39" s="162">
        <f t="shared" si="24"/>
        <v>-3540</v>
      </c>
      <c r="L39" s="163">
        <f t="shared" si="25"/>
        <v>-11413</v>
      </c>
      <c r="M39" s="164">
        <f t="shared" si="22"/>
        <v>1.7531311483811166E-2</v>
      </c>
    </row>
    <row r="40" spans="2:13" x14ac:dyDescent="0.25">
      <c r="B40" s="162" t="s">
        <v>100</v>
      </c>
      <c r="C40" s="163">
        <v>20508</v>
      </c>
      <c r="D40" s="163">
        <v>11311</v>
      </c>
      <c r="E40" s="163">
        <v>4036</v>
      </c>
      <c r="F40" s="163">
        <v>8561</v>
      </c>
      <c r="G40" s="163">
        <v>11812</v>
      </c>
      <c r="H40" s="163">
        <v>11892</v>
      </c>
      <c r="I40" s="165">
        <f>IFERROR(H40/G40-1,"-")</f>
        <v>6.7727734507281312E-3</v>
      </c>
      <c r="J40" s="164">
        <f t="shared" si="23"/>
        <v>5.1365926973742315E-2</v>
      </c>
      <c r="K40" s="162">
        <f t="shared" si="24"/>
        <v>80</v>
      </c>
      <c r="L40" s="163">
        <f t="shared" si="25"/>
        <v>581</v>
      </c>
      <c r="M40" s="164">
        <f t="shared" si="22"/>
        <v>1.3248751662778495E-2</v>
      </c>
    </row>
    <row r="41" spans="2:13" x14ac:dyDescent="0.25">
      <c r="B41" s="157" t="s">
        <v>107</v>
      </c>
      <c r="C41" s="158">
        <v>411280</v>
      </c>
      <c r="D41" s="158">
        <v>397711</v>
      </c>
      <c r="E41" s="158">
        <v>111220</v>
      </c>
      <c r="F41" s="158">
        <v>332303</v>
      </c>
      <c r="G41" s="158">
        <v>345442</v>
      </c>
      <c r="H41" s="158">
        <v>366443</v>
      </c>
      <c r="I41" s="160">
        <f>IFERROR(H41/G41-1,"-")</f>
        <v>6.0794576224084018E-2</v>
      </c>
      <c r="J41" s="159">
        <f t="shared" si="23"/>
        <v>-7.8619902391435015E-2</v>
      </c>
      <c r="K41" s="157">
        <f t="shared" si="24"/>
        <v>21001</v>
      </c>
      <c r="L41" s="158">
        <f t="shared" si="25"/>
        <v>-31268</v>
      </c>
      <c r="M41" s="159">
        <f t="shared" si="22"/>
        <v>0.40825027796531616</v>
      </c>
    </row>
    <row r="42" spans="2:13" x14ac:dyDescent="0.25">
      <c r="B42" s="162" t="s">
        <v>110</v>
      </c>
      <c r="C42" s="163">
        <v>228421</v>
      </c>
      <c r="D42" s="163">
        <v>231354</v>
      </c>
      <c r="E42" s="163">
        <v>44612</v>
      </c>
      <c r="F42" s="163">
        <v>175774</v>
      </c>
      <c r="G42" s="163">
        <v>195891</v>
      </c>
      <c r="H42" s="163">
        <v>208977</v>
      </c>
      <c r="I42" s="165">
        <f t="shared" ref="I42:I49" si="26">IFERROR(H42/G42-1,"-")</f>
        <v>6.6802456468137983E-2</v>
      </c>
      <c r="J42" s="164">
        <f t="shared" si="23"/>
        <v>-9.6721906688451487E-2</v>
      </c>
      <c r="K42" s="162">
        <f t="shared" si="24"/>
        <v>13086</v>
      </c>
      <c r="L42" s="163">
        <f t="shared" si="25"/>
        <v>-22377</v>
      </c>
      <c r="M42" s="164">
        <f t="shared" si="22"/>
        <v>0.23281906964618748</v>
      </c>
    </row>
    <row r="43" spans="2:13" x14ac:dyDescent="0.25">
      <c r="B43" s="162" t="s">
        <v>113</v>
      </c>
      <c r="C43" s="163">
        <v>15854</v>
      </c>
      <c r="D43" s="163">
        <v>10594</v>
      </c>
      <c r="E43" s="163">
        <v>3745</v>
      </c>
      <c r="F43" s="163">
        <v>7928</v>
      </c>
      <c r="G43" s="163">
        <v>7930</v>
      </c>
      <c r="H43" s="163">
        <v>8733</v>
      </c>
      <c r="I43" s="165">
        <f t="shared" si="26"/>
        <v>0.1012610340479192</v>
      </c>
      <c r="J43" s="164">
        <f t="shared" si="23"/>
        <v>-0.17566547102133279</v>
      </c>
      <c r="K43" s="162">
        <f t="shared" si="24"/>
        <v>803</v>
      </c>
      <c r="L43" s="163">
        <f t="shared" si="25"/>
        <v>-1861</v>
      </c>
      <c r="M43" s="164">
        <f t="shared" si="22"/>
        <v>9.7293431105822895E-3</v>
      </c>
    </row>
    <row r="44" spans="2:13" x14ac:dyDescent="0.25">
      <c r="B44" s="162" t="s">
        <v>116</v>
      </c>
      <c r="C44" s="163">
        <v>6762</v>
      </c>
      <c r="D44" s="163">
        <v>6177</v>
      </c>
      <c r="E44" s="163">
        <v>2314</v>
      </c>
      <c r="F44" s="163">
        <v>7035</v>
      </c>
      <c r="G44" s="163">
        <v>6843</v>
      </c>
      <c r="H44" s="163">
        <v>7247</v>
      </c>
      <c r="I44" s="165">
        <f t="shared" si="26"/>
        <v>5.9038433435627757E-2</v>
      </c>
      <c r="J44" s="164">
        <f t="shared" si="23"/>
        <v>0.17322324753116392</v>
      </c>
      <c r="K44" s="162">
        <f t="shared" si="24"/>
        <v>404</v>
      </c>
      <c r="L44" s="163">
        <f t="shared" si="25"/>
        <v>1070</v>
      </c>
      <c r="M44" s="164">
        <f t="shared" si="22"/>
        <v>8.0738061974567569E-3</v>
      </c>
    </row>
    <row r="45" spans="2:13" x14ac:dyDescent="0.25">
      <c r="B45" s="162" t="s">
        <v>123</v>
      </c>
      <c r="C45" s="163">
        <v>21888</v>
      </c>
      <c r="D45" s="163">
        <v>21043</v>
      </c>
      <c r="E45" s="163">
        <v>5985</v>
      </c>
      <c r="F45" s="163">
        <v>21454</v>
      </c>
      <c r="G45" s="163">
        <v>19289</v>
      </c>
      <c r="H45" s="163">
        <v>19581</v>
      </c>
      <c r="I45" s="165">
        <f t="shared" si="26"/>
        <v>1.5138161646534254E-2</v>
      </c>
      <c r="J45" s="164">
        <f t="shared" si="23"/>
        <v>-6.9476785629425497E-2</v>
      </c>
      <c r="K45" s="162">
        <f t="shared" si="24"/>
        <v>292</v>
      </c>
      <c r="L45" s="163">
        <f t="shared" si="25"/>
        <v>-1462</v>
      </c>
      <c r="M45" s="164">
        <f t="shared" si="22"/>
        <v>2.1814985394287396E-2</v>
      </c>
    </row>
    <row r="46" spans="2:13" x14ac:dyDescent="0.25">
      <c r="B46" s="162" t="s">
        <v>119</v>
      </c>
      <c r="C46" s="163">
        <v>6941</v>
      </c>
      <c r="D46" s="163">
        <v>5653</v>
      </c>
      <c r="E46" s="163">
        <v>2351</v>
      </c>
      <c r="F46" s="163">
        <v>5580</v>
      </c>
      <c r="G46" s="163">
        <v>5813</v>
      </c>
      <c r="H46" s="163">
        <v>6392</v>
      </c>
      <c r="I46" s="165">
        <f t="shared" si="26"/>
        <v>9.960433511095812E-2</v>
      </c>
      <c r="J46" s="164">
        <f t="shared" si="23"/>
        <v>0.13072704758535281</v>
      </c>
      <c r="K46" s="162">
        <f t="shared" si="24"/>
        <v>579</v>
      </c>
      <c r="L46" s="163">
        <f t="shared" si="25"/>
        <v>739</v>
      </c>
      <c r="M46" s="164">
        <f t="shared" si="22"/>
        <v>7.1212597232156189E-3</v>
      </c>
    </row>
    <row r="47" spans="2:13" x14ac:dyDescent="0.25">
      <c r="B47" s="162" t="s">
        <v>128</v>
      </c>
      <c r="C47" s="163">
        <v>11666</v>
      </c>
      <c r="D47" s="163">
        <v>12987</v>
      </c>
      <c r="E47" s="163">
        <v>6283</v>
      </c>
      <c r="F47" s="163">
        <v>8842</v>
      </c>
      <c r="G47" s="163">
        <v>9305</v>
      </c>
      <c r="H47" s="163">
        <v>8982</v>
      </c>
      <c r="I47" s="165">
        <f t="shared" si="26"/>
        <v>-3.4712520150456783E-2</v>
      </c>
      <c r="J47" s="164">
        <f t="shared" si="23"/>
        <v>-0.30838530838530842</v>
      </c>
      <c r="K47" s="162">
        <f t="shared" si="24"/>
        <v>-323</v>
      </c>
      <c r="L47" s="163">
        <f t="shared" si="25"/>
        <v>-4005</v>
      </c>
      <c r="M47" s="164">
        <f t="shared" si="22"/>
        <v>1.0006751382027954E-2</v>
      </c>
    </row>
    <row r="48" spans="2:13" x14ac:dyDescent="0.25">
      <c r="B48" s="162" t="s">
        <v>131</v>
      </c>
      <c r="C48" s="163">
        <v>20912</v>
      </c>
      <c r="D48" s="163">
        <v>18456</v>
      </c>
      <c r="E48" s="163">
        <v>10653</v>
      </c>
      <c r="F48" s="163">
        <v>7799</v>
      </c>
      <c r="G48" s="163">
        <v>9027</v>
      </c>
      <c r="H48" s="163">
        <v>9633</v>
      </c>
      <c r="I48" s="165">
        <f t="shared" si="26"/>
        <v>6.7131937520771068E-2</v>
      </c>
      <c r="J48" s="164">
        <f t="shared" si="23"/>
        <v>-0.47805591677503256</v>
      </c>
      <c r="K48" s="162">
        <f t="shared" si="24"/>
        <v>606</v>
      </c>
      <c r="L48" s="163">
        <f t="shared" si="25"/>
        <v>-8823</v>
      </c>
      <c r="M48" s="164">
        <f t="shared" si="22"/>
        <v>1.0732023609783488E-2</v>
      </c>
    </row>
    <row r="49" spans="2:13" x14ac:dyDescent="0.25">
      <c r="B49" s="168" t="s">
        <v>145</v>
      </c>
      <c r="C49" s="169">
        <f t="shared" ref="C49:H49" si="27">C41-SUM(C42:C48)</f>
        <v>98836</v>
      </c>
      <c r="D49" s="169">
        <f t="shared" si="27"/>
        <v>91447</v>
      </c>
      <c r="E49" s="169">
        <f t="shared" si="27"/>
        <v>35277</v>
      </c>
      <c r="F49" s="169">
        <f t="shared" si="27"/>
        <v>97891</v>
      </c>
      <c r="G49" s="169">
        <f t="shared" si="27"/>
        <v>91344</v>
      </c>
      <c r="H49" s="169">
        <f t="shared" si="27"/>
        <v>96898</v>
      </c>
      <c r="I49" s="171">
        <f t="shared" si="26"/>
        <v>6.080311788404269E-2</v>
      </c>
      <c r="J49" s="170">
        <f t="shared" si="23"/>
        <v>5.9608297702494317E-2</v>
      </c>
      <c r="K49" s="168">
        <f>H49-G49</f>
        <v>5554</v>
      </c>
      <c r="L49" s="169">
        <f t="shared" si="25"/>
        <v>5451</v>
      </c>
      <c r="M49" s="170">
        <f t="shared" si="22"/>
        <v>0.10795303890177518</v>
      </c>
    </row>
    <row r="50" spans="2:13" x14ac:dyDescent="0.25">
      <c r="B50" s="153" t="s">
        <v>46</v>
      </c>
      <c r="C50" s="151"/>
      <c r="D50" s="151"/>
      <c r="E50" s="151"/>
      <c r="F50" s="151"/>
      <c r="G50" s="151"/>
      <c r="H50" s="152"/>
      <c r="I50" s="152"/>
      <c r="J50" s="152"/>
      <c r="K50" s="152"/>
      <c r="L50" s="151"/>
      <c r="M50" s="151"/>
    </row>
    <row r="51" spans="2:13" x14ac:dyDescent="0.25">
      <c r="B51" s="154" t="s">
        <v>68</v>
      </c>
      <c r="C51" s="176">
        <f>IFERROR(C52+C55,"nd")</f>
        <v>4462</v>
      </c>
      <c r="D51" s="176">
        <f t="shared" ref="D51:H51" si="28">IFERROR(D52+D55,"nd")</f>
        <v>4345</v>
      </c>
      <c r="E51" s="176">
        <f t="shared" si="28"/>
        <v>1878</v>
      </c>
      <c r="F51" s="176">
        <f t="shared" si="28"/>
        <v>0</v>
      </c>
      <c r="G51" s="176">
        <f t="shared" si="28"/>
        <v>0</v>
      </c>
      <c r="H51" s="176">
        <f t="shared" si="28"/>
        <v>0</v>
      </c>
      <c r="I51" s="177" t="str">
        <f>IFERROR(H51/G51-1,"-")</f>
        <v>-</v>
      </c>
      <c r="J51" s="177">
        <f>IFERROR(H51/D51-1,"-")</f>
        <v>-1</v>
      </c>
      <c r="K51" s="176">
        <f>H51-G51</f>
        <v>0</v>
      </c>
      <c r="L51" s="176">
        <f>H51-D51</f>
        <v>-4345</v>
      </c>
      <c r="M51" s="177">
        <f t="shared" ref="M51:M63" si="29">H51/H$9</f>
        <v>0</v>
      </c>
    </row>
    <row r="52" spans="2:13" x14ac:dyDescent="0.25">
      <c r="B52" s="157" t="s">
        <v>97</v>
      </c>
      <c r="C52" s="158">
        <v>1178</v>
      </c>
      <c r="D52" s="158">
        <v>1438</v>
      </c>
      <c r="E52" s="158">
        <v>350</v>
      </c>
      <c r="F52" s="158">
        <v>0</v>
      </c>
      <c r="G52" s="158">
        <v>0</v>
      </c>
      <c r="H52" s="158">
        <v>0</v>
      </c>
      <c r="I52" s="160" t="str">
        <f>IFERROR(H52/G52-1,"-")</f>
        <v>-</v>
      </c>
      <c r="J52" s="159">
        <f t="shared" ref="J52:J63" si="30">IFERROR(H52/D52-1,"-")</f>
        <v>-1</v>
      </c>
      <c r="K52" s="157">
        <f t="shared" ref="K52:K62" si="31">H52-G52</f>
        <v>0</v>
      </c>
      <c r="L52" s="158">
        <f t="shared" ref="L52:L63" si="32">H52-D52</f>
        <v>-1438</v>
      </c>
      <c r="M52" s="159">
        <f t="shared" si="29"/>
        <v>0</v>
      </c>
    </row>
    <row r="53" spans="2:13" x14ac:dyDescent="0.25">
      <c r="B53" s="162" t="s">
        <v>103</v>
      </c>
      <c r="C53" s="163">
        <v>912</v>
      </c>
      <c r="D53" s="163">
        <v>963</v>
      </c>
      <c r="E53" s="163">
        <v>171</v>
      </c>
      <c r="F53" s="163">
        <v>0</v>
      </c>
      <c r="G53" s="163">
        <v>0</v>
      </c>
      <c r="H53" s="163">
        <v>0</v>
      </c>
      <c r="I53" s="165" t="str">
        <f>IFERROR(H53/G53-1,"-")</f>
        <v>-</v>
      </c>
      <c r="J53" s="164">
        <f t="shared" si="30"/>
        <v>-1</v>
      </c>
      <c r="K53" s="162">
        <f t="shared" si="31"/>
        <v>0</v>
      </c>
      <c r="L53" s="163">
        <f t="shared" si="32"/>
        <v>-963</v>
      </c>
      <c r="M53" s="164">
        <f t="shared" si="29"/>
        <v>0</v>
      </c>
    </row>
    <row r="54" spans="2:13" x14ac:dyDescent="0.25">
      <c r="B54" s="162" t="s">
        <v>100</v>
      </c>
      <c r="C54" s="163">
        <v>266</v>
      </c>
      <c r="D54" s="163">
        <v>475</v>
      </c>
      <c r="E54" s="163">
        <v>179</v>
      </c>
      <c r="F54" s="163">
        <v>0</v>
      </c>
      <c r="G54" s="163">
        <v>0</v>
      </c>
      <c r="H54" s="163">
        <v>0</v>
      </c>
      <c r="I54" s="165" t="str">
        <f>IFERROR(H54/G54-1,"-")</f>
        <v>-</v>
      </c>
      <c r="J54" s="164">
        <f t="shared" si="30"/>
        <v>-1</v>
      </c>
      <c r="K54" s="162">
        <f t="shared" si="31"/>
        <v>0</v>
      </c>
      <c r="L54" s="163">
        <f t="shared" si="32"/>
        <v>-475</v>
      </c>
      <c r="M54" s="164">
        <f t="shared" si="29"/>
        <v>0</v>
      </c>
    </row>
    <row r="55" spans="2:13" x14ac:dyDescent="0.25">
      <c r="B55" s="157" t="s">
        <v>107</v>
      </c>
      <c r="C55" s="158">
        <v>3284</v>
      </c>
      <c r="D55" s="158">
        <v>2907</v>
      </c>
      <c r="E55" s="158">
        <v>1528</v>
      </c>
      <c r="F55" s="158">
        <v>0</v>
      </c>
      <c r="G55" s="158">
        <v>0</v>
      </c>
      <c r="H55" s="158">
        <v>0</v>
      </c>
      <c r="I55" s="160" t="str">
        <f>IFERROR(H55/G55-1,"-")</f>
        <v>-</v>
      </c>
      <c r="J55" s="159">
        <f t="shared" si="30"/>
        <v>-1</v>
      </c>
      <c r="K55" s="157">
        <f t="shared" si="31"/>
        <v>0</v>
      </c>
      <c r="L55" s="158">
        <f t="shared" si="32"/>
        <v>-2907</v>
      </c>
      <c r="M55" s="159">
        <f t="shared" si="29"/>
        <v>0</v>
      </c>
    </row>
    <row r="56" spans="2:13" x14ac:dyDescent="0.25">
      <c r="B56" s="162" t="s">
        <v>110</v>
      </c>
      <c r="C56" s="163">
        <v>1119</v>
      </c>
      <c r="D56" s="163">
        <v>1211</v>
      </c>
      <c r="E56" s="163">
        <v>596</v>
      </c>
      <c r="F56" s="163">
        <v>0</v>
      </c>
      <c r="G56" s="163">
        <v>0</v>
      </c>
      <c r="H56" s="163">
        <v>0</v>
      </c>
      <c r="I56" s="165" t="str">
        <f t="shared" ref="I56:I63" si="33">IFERROR(H56/G56-1,"-")</f>
        <v>-</v>
      </c>
      <c r="J56" s="164">
        <f t="shared" si="30"/>
        <v>-1</v>
      </c>
      <c r="K56" s="162">
        <f t="shared" si="31"/>
        <v>0</v>
      </c>
      <c r="L56" s="163">
        <f t="shared" si="32"/>
        <v>-1211</v>
      </c>
      <c r="M56" s="164">
        <f t="shared" si="29"/>
        <v>0</v>
      </c>
    </row>
    <row r="57" spans="2:13" x14ac:dyDescent="0.25">
      <c r="B57" s="162" t="s">
        <v>113</v>
      </c>
      <c r="C57" s="163">
        <v>770</v>
      </c>
      <c r="D57" s="163">
        <v>457</v>
      </c>
      <c r="E57" s="163">
        <v>89</v>
      </c>
      <c r="F57" s="163">
        <v>0</v>
      </c>
      <c r="G57" s="163">
        <v>0</v>
      </c>
      <c r="H57" s="163">
        <v>0</v>
      </c>
      <c r="I57" s="165" t="str">
        <f t="shared" si="33"/>
        <v>-</v>
      </c>
      <c r="J57" s="164">
        <f t="shared" si="30"/>
        <v>-1</v>
      </c>
      <c r="K57" s="162">
        <f t="shared" si="31"/>
        <v>0</v>
      </c>
      <c r="L57" s="163">
        <f t="shared" si="32"/>
        <v>-457</v>
      </c>
      <c r="M57" s="164">
        <f t="shared" si="29"/>
        <v>0</v>
      </c>
    </row>
    <row r="58" spans="2:13" x14ac:dyDescent="0.25">
      <c r="B58" s="162" t="s">
        <v>116</v>
      </c>
      <c r="C58" s="163">
        <v>74</v>
      </c>
      <c r="D58" s="163">
        <v>179</v>
      </c>
      <c r="E58" s="163">
        <v>56</v>
      </c>
      <c r="F58" s="163">
        <v>0</v>
      </c>
      <c r="G58" s="163">
        <v>0</v>
      </c>
      <c r="H58" s="163">
        <v>0</v>
      </c>
      <c r="I58" s="165" t="str">
        <f t="shared" si="33"/>
        <v>-</v>
      </c>
      <c r="J58" s="164">
        <f t="shared" si="30"/>
        <v>-1</v>
      </c>
      <c r="K58" s="162">
        <f t="shared" si="31"/>
        <v>0</v>
      </c>
      <c r="L58" s="163">
        <f t="shared" si="32"/>
        <v>-179</v>
      </c>
      <c r="M58" s="164">
        <f t="shared" si="29"/>
        <v>0</v>
      </c>
    </row>
    <row r="59" spans="2:13" x14ac:dyDescent="0.25">
      <c r="B59" s="162" t="s">
        <v>123</v>
      </c>
      <c r="C59" s="163">
        <v>53</v>
      </c>
      <c r="D59" s="163">
        <v>149</v>
      </c>
      <c r="E59" s="163">
        <v>13</v>
      </c>
      <c r="F59" s="163">
        <v>0</v>
      </c>
      <c r="G59" s="163">
        <v>0</v>
      </c>
      <c r="H59" s="163">
        <v>0</v>
      </c>
      <c r="I59" s="165" t="str">
        <f t="shared" si="33"/>
        <v>-</v>
      </c>
      <c r="J59" s="164">
        <f t="shared" si="30"/>
        <v>-1</v>
      </c>
      <c r="K59" s="162">
        <f t="shared" si="31"/>
        <v>0</v>
      </c>
      <c r="L59" s="163">
        <f t="shared" si="32"/>
        <v>-149</v>
      </c>
      <c r="M59" s="164">
        <f t="shared" si="29"/>
        <v>0</v>
      </c>
    </row>
    <row r="60" spans="2:13" x14ac:dyDescent="0.25">
      <c r="B60" s="162" t="s">
        <v>119</v>
      </c>
      <c r="C60" s="163">
        <v>24</v>
      </c>
      <c r="D60" s="163">
        <v>33</v>
      </c>
      <c r="E60" s="163">
        <v>52</v>
      </c>
      <c r="F60" s="163">
        <v>0</v>
      </c>
      <c r="G60" s="163">
        <v>0</v>
      </c>
      <c r="H60" s="163">
        <v>0</v>
      </c>
      <c r="I60" s="165" t="str">
        <f t="shared" si="33"/>
        <v>-</v>
      </c>
      <c r="J60" s="164">
        <f t="shared" si="30"/>
        <v>-1</v>
      </c>
      <c r="K60" s="162">
        <f t="shared" si="31"/>
        <v>0</v>
      </c>
      <c r="L60" s="163">
        <f t="shared" si="32"/>
        <v>-33</v>
      </c>
      <c r="M60" s="164">
        <f t="shared" si="29"/>
        <v>0</v>
      </c>
    </row>
    <row r="61" spans="2:13" x14ac:dyDescent="0.25">
      <c r="B61" s="162" t="s">
        <v>128</v>
      </c>
      <c r="C61" s="163">
        <v>27</v>
      </c>
      <c r="D61" s="163">
        <v>41</v>
      </c>
      <c r="E61" s="163">
        <v>60</v>
      </c>
      <c r="F61" s="163">
        <v>0</v>
      </c>
      <c r="G61" s="163">
        <v>0</v>
      </c>
      <c r="H61" s="163">
        <v>0</v>
      </c>
      <c r="I61" s="165" t="str">
        <f t="shared" si="33"/>
        <v>-</v>
      </c>
      <c r="J61" s="164">
        <f t="shared" si="30"/>
        <v>-1</v>
      </c>
      <c r="K61" s="162">
        <f t="shared" si="31"/>
        <v>0</v>
      </c>
      <c r="L61" s="163">
        <f t="shared" si="32"/>
        <v>-41</v>
      </c>
      <c r="M61" s="164">
        <f t="shared" si="29"/>
        <v>0</v>
      </c>
    </row>
    <row r="62" spans="2:13" x14ac:dyDescent="0.25">
      <c r="B62" s="162" t="s">
        <v>131</v>
      </c>
      <c r="C62" s="163">
        <v>55</v>
      </c>
      <c r="D62" s="163">
        <v>73</v>
      </c>
      <c r="E62" s="163">
        <v>96</v>
      </c>
      <c r="F62" s="163">
        <v>0</v>
      </c>
      <c r="G62" s="163">
        <v>0</v>
      </c>
      <c r="H62" s="163">
        <v>0</v>
      </c>
      <c r="I62" s="165" t="str">
        <f t="shared" si="33"/>
        <v>-</v>
      </c>
      <c r="J62" s="164">
        <f t="shared" si="30"/>
        <v>-1</v>
      </c>
      <c r="K62" s="162">
        <f t="shared" si="31"/>
        <v>0</v>
      </c>
      <c r="L62" s="163">
        <f t="shared" si="32"/>
        <v>-73</v>
      </c>
      <c r="M62" s="164">
        <f t="shared" si="29"/>
        <v>0</v>
      </c>
    </row>
    <row r="63" spans="2:13" x14ac:dyDescent="0.25">
      <c r="B63" s="168" t="s">
        <v>145</v>
      </c>
      <c r="C63" s="169">
        <f>IFERROR(C55-SUM(C56:C62),"nd")</f>
        <v>1162</v>
      </c>
      <c r="D63" s="169">
        <f t="shared" ref="D63:H63" si="34">IFERROR(D55-SUM(D56:D62),"nd")</f>
        <v>764</v>
      </c>
      <c r="E63" s="169">
        <f t="shared" si="34"/>
        <v>566</v>
      </c>
      <c r="F63" s="169">
        <f t="shared" si="34"/>
        <v>0</v>
      </c>
      <c r="G63" s="169">
        <f t="shared" si="34"/>
        <v>0</v>
      </c>
      <c r="H63" s="169">
        <f t="shared" si="34"/>
        <v>0</v>
      </c>
      <c r="I63" s="171" t="str">
        <f t="shared" si="33"/>
        <v>-</v>
      </c>
      <c r="J63" s="170">
        <f t="shared" si="30"/>
        <v>-1</v>
      </c>
      <c r="K63" s="168">
        <f>H63-G63</f>
        <v>0</v>
      </c>
      <c r="L63" s="169">
        <f t="shared" si="32"/>
        <v>-764</v>
      </c>
      <c r="M63" s="170">
        <f t="shared" si="29"/>
        <v>0</v>
      </c>
    </row>
    <row r="64" spans="2:13" x14ac:dyDescent="0.25">
      <c r="B64" s="153" t="s">
        <v>47</v>
      </c>
      <c r="C64" s="151"/>
      <c r="D64" s="151"/>
      <c r="E64" s="151"/>
      <c r="F64" s="151"/>
      <c r="G64" s="151"/>
      <c r="H64" s="152"/>
      <c r="I64" s="152"/>
      <c r="J64" s="152"/>
      <c r="K64" s="152"/>
      <c r="L64" s="151"/>
      <c r="M64" s="151"/>
    </row>
    <row r="65" spans="2:13" x14ac:dyDescent="0.25">
      <c r="B65" s="154" t="s">
        <v>68</v>
      </c>
      <c r="C65" s="176" t="str">
        <f>IFERROR(C66+C69,"nd")</f>
        <v>nd</v>
      </c>
      <c r="D65" s="176" t="str">
        <f t="shared" ref="D65:H65" si="35">IFERROR(D66+D69,"nd")</f>
        <v>nd</v>
      </c>
      <c r="E65" s="176" t="str">
        <f t="shared" si="35"/>
        <v>nd</v>
      </c>
      <c r="F65" s="176" t="str">
        <f t="shared" si="35"/>
        <v>nd</v>
      </c>
      <c r="G65" s="176" t="str">
        <f t="shared" si="35"/>
        <v>nd</v>
      </c>
      <c r="H65" s="176" t="str">
        <f t="shared" si="35"/>
        <v>nd</v>
      </c>
      <c r="I65" s="177" t="str">
        <f>IFERROR(H65/G65-1,"-")</f>
        <v>-</v>
      </c>
      <c r="J65" s="177" t="str">
        <f>IFERROR(H65/D65-1,"-")</f>
        <v>-</v>
      </c>
      <c r="K65" s="176" t="str">
        <f>IFERROR(H65-G65,"-")</f>
        <v>-</v>
      </c>
      <c r="L65" s="176" t="str">
        <f>IFERROR(H65-D65,"-")</f>
        <v>-</v>
      </c>
      <c r="M65" s="177" t="str">
        <f>IFERROR(H65/H$9,"-")</f>
        <v>-</v>
      </c>
    </row>
    <row r="66" spans="2:13" x14ac:dyDescent="0.25">
      <c r="B66" s="157" t="s">
        <v>97</v>
      </c>
      <c r="C66" s="158" t="s">
        <v>322</v>
      </c>
      <c r="D66" s="158" t="s">
        <v>322</v>
      </c>
      <c r="E66" s="158" t="s">
        <v>322</v>
      </c>
      <c r="F66" s="158" t="s">
        <v>322</v>
      </c>
      <c r="G66" s="158" t="s">
        <v>322</v>
      </c>
      <c r="H66" s="158" t="s">
        <v>322</v>
      </c>
      <c r="I66" s="160" t="str">
        <f>IFERROR(H66/G66-1,"-")</f>
        <v>-</v>
      </c>
      <c r="J66" s="159" t="str">
        <f t="shared" ref="J66:J77" si="36">IFERROR(H66/D66-1,"-")</f>
        <v>-</v>
      </c>
      <c r="K66" s="178" t="str">
        <f t="shared" ref="K66:K77" si="37">IFERROR(H66-G66,"-")</f>
        <v>-</v>
      </c>
      <c r="L66" s="158" t="str">
        <f t="shared" ref="L66:L77" si="38">IFERROR(H66-D66,"-")</f>
        <v>-</v>
      </c>
      <c r="M66" s="159" t="str">
        <f t="shared" ref="M66:M77" si="39">IFERROR(H66/H$9,"-")</f>
        <v>-</v>
      </c>
    </row>
    <row r="67" spans="2:13" x14ac:dyDescent="0.25">
      <c r="B67" s="162" t="s">
        <v>103</v>
      </c>
      <c r="C67" s="163" t="s">
        <v>322</v>
      </c>
      <c r="D67" s="163" t="s">
        <v>322</v>
      </c>
      <c r="E67" s="163" t="s">
        <v>322</v>
      </c>
      <c r="F67" s="163" t="s">
        <v>322</v>
      </c>
      <c r="G67" s="163" t="s">
        <v>322</v>
      </c>
      <c r="H67" s="163" t="s">
        <v>322</v>
      </c>
      <c r="I67" s="165" t="str">
        <f>IFERROR(H67/G67-1,"-")</f>
        <v>-</v>
      </c>
      <c r="J67" s="164" t="str">
        <f t="shared" si="36"/>
        <v>-</v>
      </c>
      <c r="K67" s="179" t="str">
        <f t="shared" si="37"/>
        <v>-</v>
      </c>
      <c r="L67" s="163" t="str">
        <f t="shared" si="38"/>
        <v>-</v>
      </c>
      <c r="M67" s="164" t="str">
        <f t="shared" si="39"/>
        <v>-</v>
      </c>
    </row>
    <row r="68" spans="2:13" x14ac:dyDescent="0.25">
      <c r="B68" s="162" t="s">
        <v>100</v>
      </c>
      <c r="C68" s="163" t="s">
        <v>322</v>
      </c>
      <c r="D68" s="163" t="s">
        <v>322</v>
      </c>
      <c r="E68" s="163" t="s">
        <v>322</v>
      </c>
      <c r="F68" s="163" t="s">
        <v>322</v>
      </c>
      <c r="G68" s="163" t="s">
        <v>322</v>
      </c>
      <c r="H68" s="163" t="s">
        <v>322</v>
      </c>
      <c r="I68" s="165" t="str">
        <f>IFERROR(H68/G68-1,"-")</f>
        <v>-</v>
      </c>
      <c r="J68" s="164" t="str">
        <f t="shared" si="36"/>
        <v>-</v>
      </c>
      <c r="K68" s="179" t="str">
        <f t="shared" si="37"/>
        <v>-</v>
      </c>
      <c r="L68" s="163" t="str">
        <f t="shared" si="38"/>
        <v>-</v>
      </c>
      <c r="M68" s="164" t="str">
        <f t="shared" si="39"/>
        <v>-</v>
      </c>
    </row>
    <row r="69" spans="2:13" x14ac:dyDescent="0.25">
      <c r="B69" s="157" t="s">
        <v>107</v>
      </c>
      <c r="C69" s="158" t="s">
        <v>322</v>
      </c>
      <c r="D69" s="158" t="s">
        <v>322</v>
      </c>
      <c r="E69" s="158" t="s">
        <v>322</v>
      </c>
      <c r="F69" s="158" t="s">
        <v>322</v>
      </c>
      <c r="G69" s="158" t="s">
        <v>322</v>
      </c>
      <c r="H69" s="158" t="s">
        <v>322</v>
      </c>
      <c r="I69" s="160" t="str">
        <f>IFERROR(H69/G69-1,"-")</f>
        <v>-</v>
      </c>
      <c r="J69" s="159" t="str">
        <f t="shared" si="36"/>
        <v>-</v>
      </c>
      <c r="K69" s="178" t="str">
        <f t="shared" si="37"/>
        <v>-</v>
      </c>
      <c r="L69" s="158" t="str">
        <f t="shared" si="38"/>
        <v>-</v>
      </c>
      <c r="M69" s="159" t="str">
        <f t="shared" si="39"/>
        <v>-</v>
      </c>
    </row>
    <row r="70" spans="2:13" x14ac:dyDescent="0.25">
      <c r="B70" s="162" t="s">
        <v>110</v>
      </c>
      <c r="C70" s="163" t="s">
        <v>322</v>
      </c>
      <c r="D70" s="163" t="s">
        <v>322</v>
      </c>
      <c r="E70" s="163" t="s">
        <v>322</v>
      </c>
      <c r="F70" s="163" t="s">
        <v>322</v>
      </c>
      <c r="G70" s="163" t="s">
        <v>322</v>
      </c>
      <c r="H70" s="163" t="s">
        <v>322</v>
      </c>
      <c r="I70" s="165" t="str">
        <f t="shared" ref="I70:I77" si="40">IFERROR(H70/G70-1,"-")</f>
        <v>-</v>
      </c>
      <c r="J70" s="164" t="str">
        <f t="shared" si="36"/>
        <v>-</v>
      </c>
      <c r="K70" s="179" t="str">
        <f t="shared" si="37"/>
        <v>-</v>
      </c>
      <c r="L70" s="163" t="str">
        <f t="shared" si="38"/>
        <v>-</v>
      </c>
      <c r="M70" s="164" t="str">
        <f t="shared" si="39"/>
        <v>-</v>
      </c>
    </row>
    <row r="71" spans="2:13" x14ac:dyDescent="0.25">
      <c r="B71" s="162" t="s">
        <v>113</v>
      </c>
      <c r="C71" s="163" t="s">
        <v>322</v>
      </c>
      <c r="D71" s="163" t="s">
        <v>322</v>
      </c>
      <c r="E71" s="163" t="s">
        <v>322</v>
      </c>
      <c r="F71" s="163" t="s">
        <v>322</v>
      </c>
      <c r="G71" s="163" t="s">
        <v>322</v>
      </c>
      <c r="H71" s="163" t="s">
        <v>322</v>
      </c>
      <c r="I71" s="165" t="str">
        <f t="shared" si="40"/>
        <v>-</v>
      </c>
      <c r="J71" s="164" t="str">
        <f t="shared" si="36"/>
        <v>-</v>
      </c>
      <c r="K71" s="179" t="str">
        <f t="shared" si="37"/>
        <v>-</v>
      </c>
      <c r="L71" s="163" t="str">
        <f t="shared" si="38"/>
        <v>-</v>
      </c>
      <c r="M71" s="164" t="str">
        <f t="shared" si="39"/>
        <v>-</v>
      </c>
    </row>
    <row r="72" spans="2:13" x14ac:dyDescent="0.25">
      <c r="B72" s="162" t="s">
        <v>116</v>
      </c>
      <c r="C72" s="163" t="s">
        <v>322</v>
      </c>
      <c r="D72" s="163" t="s">
        <v>322</v>
      </c>
      <c r="E72" s="163" t="s">
        <v>322</v>
      </c>
      <c r="F72" s="163" t="s">
        <v>322</v>
      </c>
      <c r="G72" s="163" t="s">
        <v>322</v>
      </c>
      <c r="H72" s="163" t="s">
        <v>322</v>
      </c>
      <c r="I72" s="165" t="str">
        <f t="shared" si="40"/>
        <v>-</v>
      </c>
      <c r="J72" s="164" t="str">
        <f t="shared" si="36"/>
        <v>-</v>
      </c>
      <c r="K72" s="179" t="str">
        <f t="shared" si="37"/>
        <v>-</v>
      </c>
      <c r="L72" s="163" t="str">
        <f t="shared" si="38"/>
        <v>-</v>
      </c>
      <c r="M72" s="164" t="str">
        <f t="shared" si="39"/>
        <v>-</v>
      </c>
    </row>
    <row r="73" spans="2:13" x14ac:dyDescent="0.25">
      <c r="B73" s="162" t="s">
        <v>123</v>
      </c>
      <c r="C73" s="163" t="s">
        <v>322</v>
      </c>
      <c r="D73" s="163" t="s">
        <v>322</v>
      </c>
      <c r="E73" s="163" t="s">
        <v>322</v>
      </c>
      <c r="F73" s="163" t="s">
        <v>322</v>
      </c>
      <c r="G73" s="163" t="s">
        <v>322</v>
      </c>
      <c r="H73" s="163" t="s">
        <v>322</v>
      </c>
      <c r="I73" s="165" t="str">
        <f t="shared" si="40"/>
        <v>-</v>
      </c>
      <c r="J73" s="164" t="str">
        <f t="shared" si="36"/>
        <v>-</v>
      </c>
      <c r="K73" s="179" t="str">
        <f t="shared" si="37"/>
        <v>-</v>
      </c>
      <c r="L73" s="163" t="str">
        <f t="shared" si="38"/>
        <v>-</v>
      </c>
      <c r="M73" s="164" t="str">
        <f t="shared" si="39"/>
        <v>-</v>
      </c>
    </row>
    <row r="74" spans="2:13" x14ac:dyDescent="0.25">
      <c r="B74" s="162" t="s">
        <v>119</v>
      </c>
      <c r="C74" s="163" t="s">
        <v>322</v>
      </c>
      <c r="D74" s="163" t="s">
        <v>322</v>
      </c>
      <c r="E74" s="163" t="s">
        <v>322</v>
      </c>
      <c r="F74" s="163" t="s">
        <v>322</v>
      </c>
      <c r="G74" s="163" t="s">
        <v>322</v>
      </c>
      <c r="H74" s="163" t="s">
        <v>322</v>
      </c>
      <c r="I74" s="165" t="str">
        <f t="shared" si="40"/>
        <v>-</v>
      </c>
      <c r="J74" s="164" t="str">
        <f t="shared" si="36"/>
        <v>-</v>
      </c>
      <c r="K74" s="179" t="str">
        <f t="shared" si="37"/>
        <v>-</v>
      </c>
      <c r="L74" s="163" t="str">
        <f t="shared" si="38"/>
        <v>-</v>
      </c>
      <c r="M74" s="164" t="str">
        <f t="shared" si="39"/>
        <v>-</v>
      </c>
    </row>
    <row r="75" spans="2:13" x14ac:dyDescent="0.25">
      <c r="B75" s="162" t="s">
        <v>128</v>
      </c>
      <c r="C75" s="163" t="s">
        <v>322</v>
      </c>
      <c r="D75" s="163" t="s">
        <v>322</v>
      </c>
      <c r="E75" s="163" t="s">
        <v>322</v>
      </c>
      <c r="F75" s="163" t="s">
        <v>322</v>
      </c>
      <c r="G75" s="163" t="s">
        <v>322</v>
      </c>
      <c r="H75" s="163" t="s">
        <v>322</v>
      </c>
      <c r="I75" s="165" t="str">
        <f t="shared" si="40"/>
        <v>-</v>
      </c>
      <c r="J75" s="164" t="str">
        <f t="shared" si="36"/>
        <v>-</v>
      </c>
      <c r="K75" s="179" t="str">
        <f t="shared" si="37"/>
        <v>-</v>
      </c>
      <c r="L75" s="163" t="str">
        <f t="shared" si="38"/>
        <v>-</v>
      </c>
      <c r="M75" s="164" t="str">
        <f t="shared" si="39"/>
        <v>-</v>
      </c>
    </row>
    <row r="76" spans="2:13" x14ac:dyDescent="0.25">
      <c r="B76" s="162" t="s">
        <v>131</v>
      </c>
      <c r="C76" s="163" t="s">
        <v>322</v>
      </c>
      <c r="D76" s="163" t="s">
        <v>322</v>
      </c>
      <c r="E76" s="163" t="s">
        <v>322</v>
      </c>
      <c r="F76" s="163" t="s">
        <v>322</v>
      </c>
      <c r="G76" s="163" t="s">
        <v>322</v>
      </c>
      <c r="H76" s="163" t="s">
        <v>322</v>
      </c>
      <c r="I76" s="165" t="str">
        <f t="shared" si="40"/>
        <v>-</v>
      </c>
      <c r="J76" s="164" t="str">
        <f t="shared" si="36"/>
        <v>-</v>
      </c>
      <c r="K76" s="179" t="str">
        <f t="shared" si="37"/>
        <v>-</v>
      </c>
      <c r="L76" s="163" t="str">
        <f t="shared" si="38"/>
        <v>-</v>
      </c>
      <c r="M76" s="164" t="str">
        <f t="shared" si="39"/>
        <v>-</v>
      </c>
    </row>
    <row r="77" spans="2:13" x14ac:dyDescent="0.25">
      <c r="B77" s="168" t="s">
        <v>145</v>
      </c>
      <c r="C77" s="169" t="str">
        <f>IFERROR(C69-SUM(C70:C76),"nd")</f>
        <v>nd</v>
      </c>
      <c r="D77" s="169" t="str">
        <f t="shared" ref="D77:H77" si="41">IFERROR(D69-SUM(D70:D76),"nd")</f>
        <v>nd</v>
      </c>
      <c r="E77" s="169" t="str">
        <f t="shared" si="41"/>
        <v>nd</v>
      </c>
      <c r="F77" s="169" t="str">
        <f t="shared" si="41"/>
        <v>nd</v>
      </c>
      <c r="G77" s="169" t="str">
        <f t="shared" si="41"/>
        <v>nd</v>
      </c>
      <c r="H77" s="169" t="str">
        <f t="shared" si="41"/>
        <v>nd</v>
      </c>
      <c r="I77" s="171" t="str">
        <f t="shared" si="40"/>
        <v>-</v>
      </c>
      <c r="J77" s="170" t="str">
        <f t="shared" si="36"/>
        <v>-</v>
      </c>
      <c r="K77" s="180" t="str">
        <f t="shared" si="37"/>
        <v>-</v>
      </c>
      <c r="L77" s="169" t="str">
        <f t="shared" si="38"/>
        <v>-</v>
      </c>
      <c r="M77" s="170" t="str">
        <f t="shared" si="39"/>
        <v>-</v>
      </c>
    </row>
    <row r="78" spans="2:13" x14ac:dyDescent="0.25">
      <c r="B78" s="153" t="s">
        <v>48</v>
      </c>
      <c r="C78" s="151"/>
      <c r="D78" s="151"/>
      <c r="E78" s="151"/>
      <c r="F78" s="151"/>
      <c r="G78" s="151"/>
      <c r="H78" s="152"/>
      <c r="I78" s="152"/>
      <c r="J78" s="152"/>
      <c r="K78" s="152"/>
      <c r="L78" s="151"/>
      <c r="M78" s="151"/>
    </row>
    <row r="79" spans="2:13" x14ac:dyDescent="0.25">
      <c r="B79" s="154" t="s">
        <v>68</v>
      </c>
      <c r="C79" s="176">
        <f>IFERROR(C80+C83,"nd")</f>
        <v>132103</v>
      </c>
      <c r="D79" s="176">
        <f t="shared" ref="D79:H79" si="42">IFERROR(D80+D83,"nd")</f>
        <v>122266</v>
      </c>
      <c r="E79" s="176">
        <f t="shared" si="42"/>
        <v>34032</v>
      </c>
      <c r="F79" s="176">
        <f t="shared" si="42"/>
        <v>99532</v>
      </c>
      <c r="G79" s="176">
        <f t="shared" si="42"/>
        <v>111181</v>
      </c>
      <c r="H79" s="176">
        <f t="shared" si="42"/>
        <v>134105</v>
      </c>
      <c r="I79" s="177">
        <f>IFERROR(H79/G79-1,"-")</f>
        <v>0.20618630881175748</v>
      </c>
      <c r="J79" s="177">
        <f>IFERROR(H79/D79-1,"-")</f>
        <v>9.6829862758248453E-2</v>
      </c>
      <c r="K79" s="176">
        <f>IFERROR(H79-G79,"-")</f>
        <v>22924</v>
      </c>
      <c r="L79" s="176">
        <f>IFERROR(H79-D79,"-")</f>
        <v>11839</v>
      </c>
      <c r="M79" s="177">
        <f>IFERROR(H79/H$9,"-")</f>
        <v>0.14940496482819626</v>
      </c>
    </row>
    <row r="80" spans="2:13" x14ac:dyDescent="0.25">
      <c r="B80" s="157" t="s">
        <v>97</v>
      </c>
      <c r="C80" s="158">
        <v>64092</v>
      </c>
      <c r="D80" s="158">
        <v>59570</v>
      </c>
      <c r="E80" s="158">
        <v>11706</v>
      </c>
      <c r="F80" s="158">
        <v>49826</v>
      </c>
      <c r="G80" s="158">
        <v>52337</v>
      </c>
      <c r="H80" s="158">
        <v>68628</v>
      </c>
      <c r="I80" s="160">
        <f>IFERROR(H80/G80-1,"-")</f>
        <v>0.31127118482144556</v>
      </c>
      <c r="J80" s="159">
        <f t="shared" ref="J80:J91" si="43">IFERROR(H80/D80-1,"-")</f>
        <v>0.15205640423031719</v>
      </c>
      <c r="K80" s="178">
        <f t="shared" ref="K80:K91" si="44">IFERROR(H80-G80,"-")</f>
        <v>16291</v>
      </c>
      <c r="L80" s="158">
        <f t="shared" ref="L80:L91" si="45">IFERROR(H80-D80,"-")</f>
        <v>9058</v>
      </c>
      <c r="M80" s="159">
        <f t="shared" ref="M80:M91" si="46">IFERROR(H80/H$9,"-")</f>
        <v>7.6457730332422008E-2</v>
      </c>
    </row>
    <row r="81" spans="2:13" x14ac:dyDescent="0.25">
      <c r="B81" s="162" t="s">
        <v>103</v>
      </c>
      <c r="C81" s="163">
        <v>21239</v>
      </c>
      <c r="D81" s="163">
        <v>18274</v>
      </c>
      <c r="E81" s="163">
        <v>3396</v>
      </c>
      <c r="F81" s="163">
        <v>24083</v>
      </c>
      <c r="G81" s="163">
        <v>27250</v>
      </c>
      <c r="H81" s="163">
        <v>28068</v>
      </c>
      <c r="I81" s="165">
        <f>IFERROR(H81/G81-1,"-")</f>
        <v>3.0018348623853219E-2</v>
      </c>
      <c r="J81" s="164">
        <f t="shared" si="43"/>
        <v>0.53595271971106495</v>
      </c>
      <c r="K81" s="179">
        <f t="shared" si="44"/>
        <v>818</v>
      </c>
      <c r="L81" s="163">
        <f t="shared" si="45"/>
        <v>9794</v>
      </c>
      <c r="M81" s="164">
        <f t="shared" si="46"/>
        <v>3.1270262501754693E-2</v>
      </c>
    </row>
    <row r="82" spans="2:13" x14ac:dyDescent="0.25">
      <c r="B82" s="162" t="s">
        <v>100</v>
      </c>
      <c r="C82" s="163">
        <v>42853</v>
      </c>
      <c r="D82" s="163">
        <v>41296</v>
      </c>
      <c r="E82" s="163">
        <v>8310</v>
      </c>
      <c r="F82" s="163">
        <v>25743</v>
      </c>
      <c r="G82" s="163">
        <v>25087</v>
      </c>
      <c r="H82" s="163">
        <v>40560</v>
      </c>
      <c r="I82" s="165">
        <f>IFERROR(H82/G82-1,"-")</f>
        <v>0.61677362777534173</v>
      </c>
      <c r="J82" s="164">
        <f t="shared" si="43"/>
        <v>-1.7822549399457599E-2</v>
      </c>
      <c r="K82" s="179">
        <f t="shared" si="44"/>
        <v>15473</v>
      </c>
      <c r="L82" s="163">
        <f t="shared" si="45"/>
        <v>-736</v>
      </c>
      <c r="M82" s="164">
        <f t="shared" si="46"/>
        <v>4.5187467830667315E-2</v>
      </c>
    </row>
    <row r="83" spans="2:13" x14ac:dyDescent="0.25">
      <c r="B83" s="157" t="s">
        <v>107</v>
      </c>
      <c r="C83" s="158">
        <v>68011</v>
      </c>
      <c r="D83" s="158">
        <v>62696</v>
      </c>
      <c r="E83" s="158">
        <v>22326</v>
      </c>
      <c r="F83" s="158">
        <v>49706</v>
      </c>
      <c r="G83" s="158">
        <v>58844</v>
      </c>
      <c r="H83" s="158">
        <v>65477</v>
      </c>
      <c r="I83" s="160">
        <f>IFERROR(H83/G83-1,"-")</f>
        <v>0.11272177282305762</v>
      </c>
      <c r="J83" s="159">
        <f t="shared" si="43"/>
        <v>4.435689677172383E-2</v>
      </c>
      <c r="K83" s="178">
        <f t="shared" si="44"/>
        <v>6633</v>
      </c>
      <c r="L83" s="158">
        <f t="shared" si="45"/>
        <v>2781</v>
      </c>
      <c r="M83" s="159">
        <f t="shared" si="46"/>
        <v>7.2947234495774255E-2</v>
      </c>
    </row>
    <row r="84" spans="2:13" x14ac:dyDescent="0.25">
      <c r="B84" s="162" t="s">
        <v>110</v>
      </c>
      <c r="C84" s="163">
        <v>9958</v>
      </c>
      <c r="D84" s="163">
        <v>8937</v>
      </c>
      <c r="E84" s="163">
        <v>2019</v>
      </c>
      <c r="F84" s="163">
        <v>7139</v>
      </c>
      <c r="G84" s="163">
        <v>9138</v>
      </c>
      <c r="H84" s="163">
        <v>11162</v>
      </c>
      <c r="I84" s="165">
        <f t="shared" ref="I84:I91" si="47">IFERROR(H84/G84-1,"-")</f>
        <v>0.22149266797986433</v>
      </c>
      <c r="J84" s="164">
        <f t="shared" si="43"/>
        <v>0.24896497706165377</v>
      </c>
      <c r="K84" s="179">
        <f t="shared" si="44"/>
        <v>2024</v>
      </c>
      <c r="L84" s="163">
        <f t="shared" si="45"/>
        <v>2225</v>
      </c>
      <c r="M84" s="164">
        <f t="shared" si="46"/>
        <v>1.2435466368981967E-2</v>
      </c>
    </row>
    <row r="85" spans="2:13" x14ac:dyDescent="0.25">
      <c r="B85" s="162" t="s">
        <v>113</v>
      </c>
      <c r="C85" s="163">
        <v>19152</v>
      </c>
      <c r="D85" s="163">
        <v>15739</v>
      </c>
      <c r="E85" s="163">
        <v>5194</v>
      </c>
      <c r="F85" s="163">
        <v>10877</v>
      </c>
      <c r="G85" s="163">
        <v>10973</v>
      </c>
      <c r="H85" s="163">
        <v>12929</v>
      </c>
      <c r="I85" s="165">
        <f t="shared" si="47"/>
        <v>0.17825571858197398</v>
      </c>
      <c r="J85" s="164">
        <f t="shared" si="43"/>
        <v>-0.1785373911938497</v>
      </c>
      <c r="K85" s="179">
        <f t="shared" si="44"/>
        <v>1956</v>
      </c>
      <c r="L85" s="163">
        <f t="shared" si="45"/>
        <v>-2810</v>
      </c>
      <c r="M85" s="164">
        <f t="shared" si="46"/>
        <v>1.4404062415746986E-2</v>
      </c>
    </row>
    <row r="86" spans="2:13" x14ac:dyDescent="0.25">
      <c r="B86" s="162" t="s">
        <v>116</v>
      </c>
      <c r="C86" s="163">
        <v>4430</v>
      </c>
      <c r="D86" s="163">
        <v>3478</v>
      </c>
      <c r="E86" s="163">
        <v>965</v>
      </c>
      <c r="F86" s="163">
        <v>3618</v>
      </c>
      <c r="G86" s="163">
        <v>3721</v>
      </c>
      <c r="H86" s="163">
        <v>4319</v>
      </c>
      <c r="I86" s="165">
        <f t="shared" si="47"/>
        <v>0.16070948669712437</v>
      </c>
      <c r="J86" s="164">
        <f t="shared" si="43"/>
        <v>0.24180563542265676</v>
      </c>
      <c r="K86" s="179">
        <f t="shared" si="44"/>
        <v>598</v>
      </c>
      <c r="L86" s="163">
        <f t="shared" si="45"/>
        <v>841</v>
      </c>
      <c r="M86" s="164">
        <f t="shared" si="46"/>
        <v>4.8117523067221927E-3</v>
      </c>
    </row>
    <row r="87" spans="2:13" x14ac:dyDescent="0.25">
      <c r="B87" s="162" t="s">
        <v>123</v>
      </c>
      <c r="C87" s="163">
        <v>3428</v>
      </c>
      <c r="D87" s="163">
        <v>2647</v>
      </c>
      <c r="E87" s="163">
        <v>382</v>
      </c>
      <c r="F87" s="163">
        <v>3902</v>
      </c>
      <c r="G87" s="163">
        <v>3732</v>
      </c>
      <c r="H87" s="163">
        <v>4397</v>
      </c>
      <c r="I87" s="165">
        <f t="shared" si="47"/>
        <v>0.17818863879957125</v>
      </c>
      <c r="J87" s="164">
        <f t="shared" si="43"/>
        <v>0.66112580279561772</v>
      </c>
      <c r="K87" s="179">
        <f t="shared" si="44"/>
        <v>665</v>
      </c>
      <c r="L87" s="163">
        <f t="shared" si="45"/>
        <v>1750</v>
      </c>
      <c r="M87" s="164">
        <f t="shared" si="46"/>
        <v>4.8986512833196303E-3</v>
      </c>
    </row>
    <row r="88" spans="2:13" x14ac:dyDescent="0.25">
      <c r="B88" s="162" t="s">
        <v>119</v>
      </c>
      <c r="C88" s="163">
        <v>518</v>
      </c>
      <c r="D88" s="163">
        <v>539</v>
      </c>
      <c r="E88" s="163">
        <v>174</v>
      </c>
      <c r="F88" s="163">
        <v>608</v>
      </c>
      <c r="G88" s="163">
        <v>496</v>
      </c>
      <c r="H88" s="163">
        <v>699</v>
      </c>
      <c r="I88" s="165">
        <f t="shared" si="47"/>
        <v>0.40927419354838701</v>
      </c>
      <c r="J88" s="164">
        <f t="shared" si="43"/>
        <v>0.29684601113172548</v>
      </c>
      <c r="K88" s="179">
        <f t="shared" si="44"/>
        <v>203</v>
      </c>
      <c r="L88" s="163">
        <f t="shared" si="45"/>
        <v>160</v>
      </c>
      <c r="M88" s="164">
        <f t="shared" si="46"/>
        <v>7.7874852104626365E-4</v>
      </c>
    </row>
    <row r="89" spans="2:13" x14ac:dyDescent="0.25">
      <c r="B89" s="162" t="s">
        <v>128</v>
      </c>
      <c r="C89" s="163">
        <v>2379</v>
      </c>
      <c r="D89" s="163">
        <v>2943</v>
      </c>
      <c r="E89" s="163">
        <v>1327</v>
      </c>
      <c r="F89" s="163">
        <v>2261</v>
      </c>
      <c r="G89" s="163">
        <v>3082</v>
      </c>
      <c r="H89" s="163">
        <v>2310</v>
      </c>
      <c r="I89" s="165">
        <f t="shared" si="47"/>
        <v>-0.25048669695003245</v>
      </c>
      <c r="J89" s="164">
        <f t="shared" si="43"/>
        <v>-0.21508664627930685</v>
      </c>
      <c r="K89" s="179">
        <f t="shared" si="44"/>
        <v>-772</v>
      </c>
      <c r="L89" s="163">
        <f t="shared" si="45"/>
        <v>-633</v>
      </c>
      <c r="M89" s="164">
        <f t="shared" si="46"/>
        <v>2.573546614616408E-3</v>
      </c>
    </row>
    <row r="90" spans="2:13" x14ac:dyDescent="0.25">
      <c r="B90" s="162" t="s">
        <v>131</v>
      </c>
      <c r="C90" s="163">
        <v>3532</v>
      </c>
      <c r="D90" s="163">
        <v>3306</v>
      </c>
      <c r="E90" s="163">
        <v>2399</v>
      </c>
      <c r="F90" s="163">
        <v>1871</v>
      </c>
      <c r="G90" s="163">
        <v>3383</v>
      </c>
      <c r="H90" s="163">
        <v>3121</v>
      </c>
      <c r="I90" s="165">
        <f t="shared" si="47"/>
        <v>-7.7446053798403747E-2</v>
      </c>
      <c r="J90" s="164">
        <f t="shared" si="43"/>
        <v>-5.5958862673926246E-2</v>
      </c>
      <c r="K90" s="179">
        <f t="shared" si="44"/>
        <v>-262</v>
      </c>
      <c r="L90" s="163">
        <f t="shared" si="45"/>
        <v>-185</v>
      </c>
      <c r="M90" s="164">
        <f t="shared" si="46"/>
        <v>3.4770731533410428E-3</v>
      </c>
    </row>
    <row r="91" spans="2:13" x14ac:dyDescent="0.25">
      <c r="B91" s="168" t="s">
        <v>145</v>
      </c>
      <c r="C91" s="169">
        <f>IFERROR(C83-SUM(C84:C90),"nd")</f>
        <v>24614</v>
      </c>
      <c r="D91" s="169">
        <f t="shared" ref="D91:H91" si="48">IFERROR(D83-SUM(D84:D90),"nd")</f>
        <v>25107</v>
      </c>
      <c r="E91" s="169">
        <f t="shared" si="48"/>
        <v>9866</v>
      </c>
      <c r="F91" s="169">
        <f t="shared" si="48"/>
        <v>19430</v>
      </c>
      <c r="G91" s="169">
        <f t="shared" si="48"/>
        <v>24319</v>
      </c>
      <c r="H91" s="169">
        <f t="shared" si="48"/>
        <v>26540</v>
      </c>
      <c r="I91" s="171">
        <f t="shared" si="47"/>
        <v>9.1327768411530119E-2</v>
      </c>
      <c r="J91" s="170">
        <f t="shared" si="43"/>
        <v>5.7075715935794857E-2</v>
      </c>
      <c r="K91" s="180">
        <f t="shared" si="44"/>
        <v>2221</v>
      </c>
      <c r="L91" s="169">
        <f t="shared" si="45"/>
        <v>1433</v>
      </c>
      <c r="M91" s="170">
        <f t="shared" si="46"/>
        <v>2.9567933831999769E-2</v>
      </c>
    </row>
    <row r="92" spans="2:13" x14ac:dyDescent="0.25">
      <c r="B92" s="153" t="s">
        <v>49</v>
      </c>
      <c r="C92" s="151"/>
      <c r="D92" s="151"/>
      <c r="E92" s="151"/>
      <c r="F92" s="151"/>
      <c r="G92" s="151"/>
      <c r="H92" s="152"/>
      <c r="I92" s="152"/>
      <c r="J92" s="152"/>
      <c r="K92" s="152"/>
      <c r="L92" s="151"/>
      <c r="M92" s="151"/>
    </row>
    <row r="93" spans="2:13" x14ac:dyDescent="0.25">
      <c r="B93" s="154" t="s">
        <v>68</v>
      </c>
      <c r="C93" s="176" t="str">
        <f>IFERROR(C94+C97,"nd")</f>
        <v>nd</v>
      </c>
      <c r="D93" s="176" t="str">
        <f t="shared" ref="D93:H93" si="49">IFERROR(D94+D97,"nd")</f>
        <v>nd</v>
      </c>
      <c r="E93" s="176" t="str">
        <f t="shared" si="49"/>
        <v>nd</v>
      </c>
      <c r="F93" s="176" t="str">
        <f t="shared" si="49"/>
        <v>nd</v>
      </c>
      <c r="G93" s="176" t="str">
        <f t="shared" si="49"/>
        <v>nd</v>
      </c>
      <c r="H93" s="176" t="str">
        <f t="shared" si="49"/>
        <v>nd</v>
      </c>
      <c r="I93" s="177" t="str">
        <f>IFERROR(H93/G93-1,"-")</f>
        <v>-</v>
      </c>
      <c r="J93" s="177" t="str">
        <f>IFERROR(H93/D93-1,"-")</f>
        <v>-</v>
      </c>
      <c r="K93" s="176" t="str">
        <f>IFERROR(H93-G93,"-")</f>
        <v>-</v>
      </c>
      <c r="L93" s="176" t="str">
        <f>IFERROR(H93-D93,"-")</f>
        <v>-</v>
      </c>
      <c r="M93" s="177" t="str">
        <f>IFERROR(H93/H$9,"-")</f>
        <v>-</v>
      </c>
    </row>
    <row r="94" spans="2:13" x14ac:dyDescent="0.25">
      <c r="B94" s="157" t="s">
        <v>97</v>
      </c>
      <c r="C94" s="158" t="s">
        <v>322</v>
      </c>
      <c r="D94" s="158" t="s">
        <v>322</v>
      </c>
      <c r="E94" s="158" t="s">
        <v>322</v>
      </c>
      <c r="F94" s="158" t="s">
        <v>322</v>
      </c>
      <c r="G94" s="158" t="s">
        <v>322</v>
      </c>
      <c r="H94" s="158" t="s">
        <v>322</v>
      </c>
      <c r="I94" s="160" t="str">
        <f>IFERROR(H94/G94-1,"-")</f>
        <v>-</v>
      </c>
      <c r="J94" s="159" t="str">
        <f t="shared" ref="J94:J105" si="50">IFERROR(H94/D94-1,"-")</f>
        <v>-</v>
      </c>
      <c r="K94" s="178" t="str">
        <f t="shared" ref="K94:K105" si="51">IFERROR(H94-G94,"-")</f>
        <v>-</v>
      </c>
      <c r="L94" s="158" t="str">
        <f t="shared" ref="L94:L105" si="52">IFERROR(H94-D94,"-")</f>
        <v>-</v>
      </c>
      <c r="M94" s="159" t="str">
        <f t="shared" ref="M94:M105" si="53">IFERROR(H94/H$9,"-")</f>
        <v>-</v>
      </c>
    </row>
    <row r="95" spans="2:13" x14ac:dyDescent="0.25">
      <c r="B95" s="162" t="s">
        <v>103</v>
      </c>
      <c r="C95" s="163" t="s">
        <v>322</v>
      </c>
      <c r="D95" s="163" t="s">
        <v>322</v>
      </c>
      <c r="E95" s="163" t="s">
        <v>322</v>
      </c>
      <c r="F95" s="163" t="s">
        <v>322</v>
      </c>
      <c r="G95" s="163" t="s">
        <v>322</v>
      </c>
      <c r="H95" s="163" t="s">
        <v>322</v>
      </c>
      <c r="I95" s="165" t="str">
        <f>IFERROR(H95/G95-1,"-")</f>
        <v>-</v>
      </c>
      <c r="J95" s="164" t="str">
        <f t="shared" si="50"/>
        <v>-</v>
      </c>
      <c r="K95" s="179" t="str">
        <f t="shared" si="51"/>
        <v>-</v>
      </c>
      <c r="L95" s="163" t="str">
        <f t="shared" si="52"/>
        <v>-</v>
      </c>
      <c r="M95" s="164" t="str">
        <f t="shared" si="53"/>
        <v>-</v>
      </c>
    </row>
    <row r="96" spans="2:13" x14ac:dyDescent="0.25">
      <c r="B96" s="162" t="s">
        <v>100</v>
      </c>
      <c r="C96" s="163" t="s">
        <v>322</v>
      </c>
      <c r="D96" s="163" t="s">
        <v>322</v>
      </c>
      <c r="E96" s="163" t="s">
        <v>322</v>
      </c>
      <c r="F96" s="163" t="s">
        <v>322</v>
      </c>
      <c r="G96" s="163" t="s">
        <v>322</v>
      </c>
      <c r="H96" s="163" t="s">
        <v>322</v>
      </c>
      <c r="I96" s="165" t="str">
        <f>IFERROR(H96/G96-1,"-")</f>
        <v>-</v>
      </c>
      <c r="J96" s="164" t="str">
        <f t="shared" si="50"/>
        <v>-</v>
      </c>
      <c r="K96" s="179" t="str">
        <f t="shared" si="51"/>
        <v>-</v>
      </c>
      <c r="L96" s="163" t="str">
        <f t="shared" si="52"/>
        <v>-</v>
      </c>
      <c r="M96" s="164" t="str">
        <f t="shared" si="53"/>
        <v>-</v>
      </c>
    </row>
    <row r="97" spans="2:13" x14ac:dyDescent="0.25">
      <c r="B97" s="157" t="s">
        <v>107</v>
      </c>
      <c r="C97" s="158" t="s">
        <v>322</v>
      </c>
      <c r="D97" s="158" t="s">
        <v>322</v>
      </c>
      <c r="E97" s="158" t="s">
        <v>322</v>
      </c>
      <c r="F97" s="158" t="s">
        <v>322</v>
      </c>
      <c r="G97" s="158" t="s">
        <v>322</v>
      </c>
      <c r="H97" s="158" t="s">
        <v>322</v>
      </c>
      <c r="I97" s="160" t="str">
        <f>IFERROR(H97/G97-1,"-")</f>
        <v>-</v>
      </c>
      <c r="J97" s="159" t="str">
        <f t="shared" si="50"/>
        <v>-</v>
      </c>
      <c r="K97" s="178" t="str">
        <f t="shared" si="51"/>
        <v>-</v>
      </c>
      <c r="L97" s="158" t="str">
        <f t="shared" si="52"/>
        <v>-</v>
      </c>
      <c r="M97" s="159" t="str">
        <f t="shared" si="53"/>
        <v>-</v>
      </c>
    </row>
    <row r="98" spans="2:13" x14ac:dyDescent="0.25">
      <c r="B98" s="162" t="s">
        <v>110</v>
      </c>
      <c r="C98" s="163" t="s">
        <v>322</v>
      </c>
      <c r="D98" s="163" t="s">
        <v>322</v>
      </c>
      <c r="E98" s="163" t="s">
        <v>322</v>
      </c>
      <c r="F98" s="163" t="s">
        <v>322</v>
      </c>
      <c r="G98" s="163" t="s">
        <v>322</v>
      </c>
      <c r="H98" s="163" t="s">
        <v>322</v>
      </c>
      <c r="I98" s="165" t="str">
        <f t="shared" ref="I98:I105" si="54">IFERROR(H98/G98-1,"-")</f>
        <v>-</v>
      </c>
      <c r="J98" s="164" t="str">
        <f t="shared" si="50"/>
        <v>-</v>
      </c>
      <c r="K98" s="179" t="str">
        <f t="shared" si="51"/>
        <v>-</v>
      </c>
      <c r="L98" s="163" t="str">
        <f t="shared" si="52"/>
        <v>-</v>
      </c>
      <c r="M98" s="164" t="str">
        <f t="shared" si="53"/>
        <v>-</v>
      </c>
    </row>
    <row r="99" spans="2:13" x14ac:dyDescent="0.25">
      <c r="B99" s="162" t="s">
        <v>113</v>
      </c>
      <c r="C99" s="163" t="s">
        <v>322</v>
      </c>
      <c r="D99" s="163" t="s">
        <v>322</v>
      </c>
      <c r="E99" s="163" t="s">
        <v>322</v>
      </c>
      <c r="F99" s="163" t="s">
        <v>322</v>
      </c>
      <c r="G99" s="163" t="s">
        <v>322</v>
      </c>
      <c r="H99" s="163" t="s">
        <v>322</v>
      </c>
      <c r="I99" s="165" t="str">
        <f t="shared" si="54"/>
        <v>-</v>
      </c>
      <c r="J99" s="164" t="str">
        <f t="shared" si="50"/>
        <v>-</v>
      </c>
      <c r="K99" s="179" t="str">
        <f t="shared" si="51"/>
        <v>-</v>
      </c>
      <c r="L99" s="163" t="str">
        <f t="shared" si="52"/>
        <v>-</v>
      </c>
      <c r="M99" s="164" t="str">
        <f t="shared" si="53"/>
        <v>-</v>
      </c>
    </row>
    <row r="100" spans="2:13" x14ac:dyDescent="0.25">
      <c r="B100" s="162" t="s">
        <v>116</v>
      </c>
      <c r="C100" s="163" t="s">
        <v>322</v>
      </c>
      <c r="D100" s="163" t="s">
        <v>322</v>
      </c>
      <c r="E100" s="163" t="s">
        <v>322</v>
      </c>
      <c r="F100" s="163" t="s">
        <v>322</v>
      </c>
      <c r="G100" s="163" t="s">
        <v>322</v>
      </c>
      <c r="H100" s="163" t="s">
        <v>322</v>
      </c>
      <c r="I100" s="165" t="str">
        <f t="shared" si="54"/>
        <v>-</v>
      </c>
      <c r="J100" s="164" t="str">
        <f t="shared" si="50"/>
        <v>-</v>
      </c>
      <c r="K100" s="179" t="str">
        <f t="shared" si="51"/>
        <v>-</v>
      </c>
      <c r="L100" s="163" t="str">
        <f t="shared" si="52"/>
        <v>-</v>
      </c>
      <c r="M100" s="164" t="str">
        <f t="shared" si="53"/>
        <v>-</v>
      </c>
    </row>
    <row r="101" spans="2:13" x14ac:dyDescent="0.25">
      <c r="B101" s="162" t="s">
        <v>123</v>
      </c>
      <c r="C101" s="163" t="s">
        <v>322</v>
      </c>
      <c r="D101" s="163" t="s">
        <v>322</v>
      </c>
      <c r="E101" s="163" t="s">
        <v>322</v>
      </c>
      <c r="F101" s="163" t="s">
        <v>322</v>
      </c>
      <c r="G101" s="163" t="s">
        <v>322</v>
      </c>
      <c r="H101" s="163" t="s">
        <v>322</v>
      </c>
      <c r="I101" s="165" t="str">
        <f t="shared" si="54"/>
        <v>-</v>
      </c>
      <c r="J101" s="164" t="str">
        <f t="shared" si="50"/>
        <v>-</v>
      </c>
      <c r="K101" s="179" t="str">
        <f t="shared" si="51"/>
        <v>-</v>
      </c>
      <c r="L101" s="163" t="str">
        <f t="shared" si="52"/>
        <v>-</v>
      </c>
      <c r="M101" s="164" t="str">
        <f t="shared" si="53"/>
        <v>-</v>
      </c>
    </row>
    <row r="102" spans="2:13" x14ac:dyDescent="0.25">
      <c r="B102" s="162" t="s">
        <v>119</v>
      </c>
      <c r="C102" s="163" t="s">
        <v>322</v>
      </c>
      <c r="D102" s="163" t="s">
        <v>322</v>
      </c>
      <c r="E102" s="163" t="s">
        <v>322</v>
      </c>
      <c r="F102" s="163" t="s">
        <v>322</v>
      </c>
      <c r="G102" s="163" t="s">
        <v>322</v>
      </c>
      <c r="H102" s="163" t="s">
        <v>322</v>
      </c>
      <c r="I102" s="165" t="str">
        <f t="shared" si="54"/>
        <v>-</v>
      </c>
      <c r="J102" s="164" t="str">
        <f t="shared" si="50"/>
        <v>-</v>
      </c>
      <c r="K102" s="179" t="str">
        <f t="shared" si="51"/>
        <v>-</v>
      </c>
      <c r="L102" s="163" t="str">
        <f t="shared" si="52"/>
        <v>-</v>
      </c>
      <c r="M102" s="164" t="str">
        <f t="shared" si="53"/>
        <v>-</v>
      </c>
    </row>
    <row r="103" spans="2:13" x14ac:dyDescent="0.25">
      <c r="B103" s="162" t="s">
        <v>128</v>
      </c>
      <c r="C103" s="163" t="s">
        <v>322</v>
      </c>
      <c r="D103" s="163" t="s">
        <v>322</v>
      </c>
      <c r="E103" s="163" t="s">
        <v>322</v>
      </c>
      <c r="F103" s="163" t="s">
        <v>322</v>
      </c>
      <c r="G103" s="163" t="s">
        <v>322</v>
      </c>
      <c r="H103" s="163" t="s">
        <v>322</v>
      </c>
      <c r="I103" s="165" t="str">
        <f t="shared" si="54"/>
        <v>-</v>
      </c>
      <c r="J103" s="164" t="str">
        <f t="shared" si="50"/>
        <v>-</v>
      </c>
      <c r="K103" s="179" t="str">
        <f t="shared" si="51"/>
        <v>-</v>
      </c>
      <c r="L103" s="163" t="str">
        <f t="shared" si="52"/>
        <v>-</v>
      </c>
      <c r="M103" s="164" t="str">
        <f t="shared" si="53"/>
        <v>-</v>
      </c>
    </row>
    <row r="104" spans="2:13" x14ac:dyDescent="0.25">
      <c r="B104" s="162" t="s">
        <v>131</v>
      </c>
      <c r="C104" s="163" t="s">
        <v>322</v>
      </c>
      <c r="D104" s="163" t="s">
        <v>322</v>
      </c>
      <c r="E104" s="163" t="s">
        <v>322</v>
      </c>
      <c r="F104" s="163" t="s">
        <v>322</v>
      </c>
      <c r="G104" s="163" t="s">
        <v>322</v>
      </c>
      <c r="H104" s="163" t="s">
        <v>322</v>
      </c>
      <c r="I104" s="165" t="str">
        <f t="shared" si="54"/>
        <v>-</v>
      </c>
      <c r="J104" s="164" t="str">
        <f t="shared" si="50"/>
        <v>-</v>
      </c>
      <c r="K104" s="179" t="str">
        <f t="shared" si="51"/>
        <v>-</v>
      </c>
      <c r="L104" s="163" t="str">
        <f t="shared" si="52"/>
        <v>-</v>
      </c>
      <c r="M104" s="164" t="str">
        <f t="shared" si="53"/>
        <v>-</v>
      </c>
    </row>
    <row r="105" spans="2:13" x14ac:dyDescent="0.25">
      <c r="B105" s="168" t="s">
        <v>145</v>
      </c>
      <c r="C105" s="169" t="str">
        <f>IFERROR(C97-SUM(C98:C104),"nd")</f>
        <v>nd</v>
      </c>
      <c r="D105" s="169" t="str">
        <f t="shared" ref="D105:H105" si="55">IFERROR(D97-SUM(D98:D104),"nd")</f>
        <v>nd</v>
      </c>
      <c r="E105" s="169" t="str">
        <f t="shared" si="55"/>
        <v>nd</v>
      </c>
      <c r="F105" s="169" t="str">
        <f t="shared" si="55"/>
        <v>nd</v>
      </c>
      <c r="G105" s="169" t="str">
        <f t="shared" si="55"/>
        <v>nd</v>
      </c>
      <c r="H105" s="169" t="str">
        <f t="shared" si="55"/>
        <v>nd</v>
      </c>
      <c r="I105" s="171" t="str">
        <f t="shared" si="54"/>
        <v>-</v>
      </c>
      <c r="J105" s="170" t="str">
        <f t="shared" si="50"/>
        <v>-</v>
      </c>
      <c r="K105" s="180" t="str">
        <f t="shared" si="51"/>
        <v>-</v>
      </c>
      <c r="L105" s="169" t="str">
        <f t="shared" si="52"/>
        <v>-</v>
      </c>
      <c r="M105" s="170" t="str">
        <f t="shared" si="53"/>
        <v>-</v>
      </c>
    </row>
    <row r="106" spans="2:13" x14ac:dyDescent="0.25">
      <c r="B106" s="153" t="s">
        <v>50</v>
      </c>
      <c r="C106" s="151"/>
      <c r="D106" s="151"/>
      <c r="E106" s="151"/>
      <c r="F106" s="151"/>
      <c r="G106" s="151"/>
      <c r="H106" s="152"/>
      <c r="I106" s="152"/>
      <c r="J106" s="152"/>
      <c r="K106" s="152"/>
      <c r="L106" s="151"/>
      <c r="M106" s="151"/>
    </row>
    <row r="107" spans="2:13" x14ac:dyDescent="0.25">
      <c r="B107" s="154" t="s">
        <v>68</v>
      </c>
      <c r="C107" s="176">
        <f>IFERROR(C108+C111,"nd")</f>
        <v>44853</v>
      </c>
      <c r="D107" s="176">
        <f t="shared" ref="D107:H107" si="56">IFERROR(D108+D111,"nd")</f>
        <v>43686</v>
      </c>
      <c r="E107" s="176">
        <f t="shared" si="56"/>
        <v>13758</v>
      </c>
      <c r="F107" s="176">
        <f t="shared" si="56"/>
        <v>21487</v>
      </c>
      <c r="G107" s="176">
        <f t="shared" si="56"/>
        <v>24305</v>
      </c>
      <c r="H107" s="176">
        <f t="shared" si="56"/>
        <v>24056</v>
      </c>
      <c r="I107" s="177">
        <f>IFERROR(H107/G107-1,"-")</f>
        <v>-1.0244805595556516E-2</v>
      </c>
      <c r="J107" s="177">
        <f>IFERROR(H107/D107-1,"-")</f>
        <v>-0.44934303895984984</v>
      </c>
      <c r="K107" s="176">
        <f>IFERROR(H107-G107,"-")</f>
        <v>-249</v>
      </c>
      <c r="L107" s="176">
        <f>IFERROR(H107-D107,"-")</f>
        <v>-19630</v>
      </c>
      <c r="M107" s="177">
        <f>IFERROR(H107/H$9,"-")</f>
        <v>2.6800535654204462E-2</v>
      </c>
    </row>
    <row r="108" spans="2:13" x14ac:dyDescent="0.25">
      <c r="B108" s="157" t="s">
        <v>97</v>
      </c>
      <c r="C108" s="158">
        <v>12001</v>
      </c>
      <c r="D108" s="158">
        <v>10177</v>
      </c>
      <c r="E108" s="158">
        <v>2060</v>
      </c>
      <c r="F108" s="158">
        <v>6556</v>
      </c>
      <c r="G108" s="158">
        <v>5983</v>
      </c>
      <c r="H108" s="158">
        <v>5125</v>
      </c>
      <c r="I108" s="160">
        <f>IFERROR(H108/G108-1,"-")</f>
        <v>-0.14340631790071867</v>
      </c>
      <c r="J108" s="159">
        <f t="shared" ref="J108:J119" si="57">IFERROR(H108/D108-1,"-")</f>
        <v>-0.49641348137958141</v>
      </c>
      <c r="K108" s="178">
        <f t="shared" ref="K108:K119" si="58">IFERROR(H108-G108,"-")</f>
        <v>-858</v>
      </c>
      <c r="L108" s="158">
        <f t="shared" ref="L108:L119" si="59">IFERROR(H108-D108,"-")</f>
        <v>-5052</v>
      </c>
      <c r="M108" s="159">
        <f t="shared" ref="M108:M119" si="60">IFERROR(H108/H$9,"-")</f>
        <v>5.7097083982290435E-3</v>
      </c>
    </row>
    <row r="109" spans="2:13" x14ac:dyDescent="0.25">
      <c r="B109" s="162" t="s">
        <v>103</v>
      </c>
      <c r="C109" s="163">
        <v>9269</v>
      </c>
      <c r="D109" s="163">
        <v>6746</v>
      </c>
      <c r="E109" s="163">
        <v>1452</v>
      </c>
      <c r="F109" s="163">
        <v>4894</v>
      </c>
      <c r="G109" s="163">
        <v>4333</v>
      </c>
      <c r="H109" s="163">
        <v>3197</v>
      </c>
      <c r="I109" s="165">
        <f>IFERROR(H109/G109-1,"-")</f>
        <v>-0.26217401338564505</v>
      </c>
      <c r="J109" s="164">
        <f t="shared" si="57"/>
        <v>-0.52608953453898599</v>
      </c>
      <c r="K109" s="179">
        <f t="shared" si="58"/>
        <v>-1136</v>
      </c>
      <c r="L109" s="163">
        <f t="shared" si="59"/>
        <v>-3549</v>
      </c>
      <c r="M109" s="164">
        <f t="shared" si="60"/>
        <v>3.5617439510513662E-3</v>
      </c>
    </row>
    <row r="110" spans="2:13" x14ac:dyDescent="0.25">
      <c r="B110" s="162" t="s">
        <v>100</v>
      </c>
      <c r="C110" s="163">
        <v>2732</v>
      </c>
      <c r="D110" s="163">
        <v>3431</v>
      </c>
      <c r="E110" s="163">
        <v>608</v>
      </c>
      <c r="F110" s="163">
        <v>1662</v>
      </c>
      <c r="G110" s="163">
        <v>1650</v>
      </c>
      <c r="H110" s="163">
        <v>1928</v>
      </c>
      <c r="I110" s="165">
        <f>IFERROR(H110/G110-1,"-")</f>
        <v>0.16848484848484846</v>
      </c>
      <c r="J110" s="164">
        <f t="shared" si="57"/>
        <v>-0.43806470416788112</v>
      </c>
      <c r="K110" s="179">
        <f t="shared" si="58"/>
        <v>278</v>
      </c>
      <c r="L110" s="163">
        <f t="shared" si="59"/>
        <v>-1503</v>
      </c>
      <c r="M110" s="164">
        <f t="shared" si="60"/>
        <v>2.1479644471776773E-3</v>
      </c>
    </row>
    <row r="111" spans="2:13" x14ac:dyDescent="0.25">
      <c r="B111" s="157" t="s">
        <v>107</v>
      </c>
      <c r="C111" s="158">
        <v>32852</v>
      </c>
      <c r="D111" s="158">
        <v>33509</v>
      </c>
      <c r="E111" s="158">
        <v>11698</v>
      </c>
      <c r="F111" s="158">
        <v>14931</v>
      </c>
      <c r="G111" s="158">
        <v>18322</v>
      </c>
      <c r="H111" s="158">
        <v>18931</v>
      </c>
      <c r="I111" s="160">
        <f>IFERROR(H111/G111-1,"-")</f>
        <v>3.3238729396354083E-2</v>
      </c>
      <c r="J111" s="159">
        <f t="shared" si="57"/>
        <v>-0.43504730072517828</v>
      </c>
      <c r="K111" s="178">
        <f t="shared" si="58"/>
        <v>609</v>
      </c>
      <c r="L111" s="158">
        <f t="shared" si="59"/>
        <v>-14578</v>
      </c>
      <c r="M111" s="159">
        <f t="shared" si="60"/>
        <v>2.1090827255975417E-2</v>
      </c>
    </row>
    <row r="112" spans="2:13" x14ac:dyDescent="0.25">
      <c r="B112" s="162" t="s">
        <v>110</v>
      </c>
      <c r="C112" s="163">
        <v>19450</v>
      </c>
      <c r="D112" s="163">
        <v>18098</v>
      </c>
      <c r="E112" s="163">
        <v>6095</v>
      </c>
      <c r="F112" s="163">
        <v>9320</v>
      </c>
      <c r="G112" s="163">
        <v>11377</v>
      </c>
      <c r="H112" s="163">
        <v>10875</v>
      </c>
      <c r="I112" s="165">
        <f t="shared" ref="I112:I119" si="61">IFERROR(H112/G112-1,"-")</f>
        <v>-4.412411004658523E-2</v>
      </c>
      <c r="J112" s="164">
        <f t="shared" si="57"/>
        <v>-0.39910487346668144</v>
      </c>
      <c r="K112" s="179">
        <f t="shared" si="58"/>
        <v>-502</v>
      </c>
      <c r="L112" s="163">
        <f t="shared" si="59"/>
        <v>-7223</v>
      </c>
      <c r="M112" s="164">
        <f t="shared" si="60"/>
        <v>1.2115722698681141E-2</v>
      </c>
    </row>
    <row r="113" spans="2:13" x14ac:dyDescent="0.25">
      <c r="B113" s="162" t="s">
        <v>113</v>
      </c>
      <c r="C113" s="163">
        <v>5201</v>
      </c>
      <c r="D113" s="163">
        <v>3772</v>
      </c>
      <c r="E113" s="163">
        <v>474</v>
      </c>
      <c r="F113" s="163">
        <v>563</v>
      </c>
      <c r="G113" s="163">
        <v>873</v>
      </c>
      <c r="H113" s="163">
        <v>904</v>
      </c>
      <c r="I113" s="165">
        <f t="shared" si="61"/>
        <v>3.5509736540664472E-2</v>
      </c>
      <c r="J113" s="164">
        <f t="shared" si="57"/>
        <v>-0.76033934252386004</v>
      </c>
      <c r="K113" s="179">
        <f t="shared" si="58"/>
        <v>31</v>
      </c>
      <c r="L113" s="163">
        <f t="shared" si="59"/>
        <v>-2868</v>
      </c>
      <c r="M113" s="164">
        <f t="shared" si="60"/>
        <v>1.0071368569754254E-3</v>
      </c>
    </row>
    <row r="114" spans="2:13" x14ac:dyDescent="0.25">
      <c r="B114" s="162" t="s">
        <v>116</v>
      </c>
      <c r="C114" s="163">
        <v>1020</v>
      </c>
      <c r="D114" s="163">
        <v>1901</v>
      </c>
      <c r="E114" s="163">
        <v>623</v>
      </c>
      <c r="F114" s="163">
        <v>801</v>
      </c>
      <c r="G114" s="163">
        <v>1027</v>
      </c>
      <c r="H114" s="163">
        <v>1133</v>
      </c>
      <c r="I114" s="165">
        <f t="shared" si="61"/>
        <v>0.10321324245374885</v>
      </c>
      <c r="J114" s="164">
        <f t="shared" si="57"/>
        <v>-0.40399789584429247</v>
      </c>
      <c r="K114" s="179">
        <f t="shared" si="58"/>
        <v>106</v>
      </c>
      <c r="L114" s="163">
        <f t="shared" si="59"/>
        <v>-768</v>
      </c>
      <c r="M114" s="164">
        <f t="shared" si="60"/>
        <v>1.2622633395499524E-3</v>
      </c>
    </row>
    <row r="115" spans="2:13" x14ac:dyDescent="0.25">
      <c r="B115" s="162" t="s">
        <v>123</v>
      </c>
      <c r="C115" s="163">
        <v>457</v>
      </c>
      <c r="D115" s="163">
        <v>1047</v>
      </c>
      <c r="E115" s="163">
        <v>167</v>
      </c>
      <c r="F115" s="163">
        <v>272</v>
      </c>
      <c r="G115" s="163">
        <v>364</v>
      </c>
      <c r="H115" s="163">
        <v>414</v>
      </c>
      <c r="I115" s="165">
        <f t="shared" si="61"/>
        <v>0.13736263736263732</v>
      </c>
      <c r="J115" s="164">
        <f t="shared" si="57"/>
        <v>-0.60458452722063039</v>
      </c>
      <c r="K115" s="179">
        <f t="shared" si="58"/>
        <v>50</v>
      </c>
      <c r="L115" s="163">
        <f t="shared" si="59"/>
        <v>-633</v>
      </c>
      <c r="M115" s="164">
        <f t="shared" si="60"/>
        <v>4.6123302963255105E-4</v>
      </c>
    </row>
    <row r="116" spans="2:13" x14ac:dyDescent="0.25">
      <c r="B116" s="162" t="s">
        <v>119</v>
      </c>
      <c r="C116" s="163">
        <v>505</v>
      </c>
      <c r="D116" s="163">
        <v>494</v>
      </c>
      <c r="E116" s="163">
        <v>262</v>
      </c>
      <c r="F116" s="163">
        <v>295</v>
      </c>
      <c r="G116" s="163">
        <v>347</v>
      </c>
      <c r="H116" s="163">
        <v>325</v>
      </c>
      <c r="I116" s="165">
        <f t="shared" si="61"/>
        <v>-6.3400576368876083E-2</v>
      </c>
      <c r="J116" s="164">
        <f t="shared" si="57"/>
        <v>-0.34210526315789469</v>
      </c>
      <c r="K116" s="179">
        <f t="shared" si="58"/>
        <v>-22</v>
      </c>
      <c r="L116" s="163">
        <f t="shared" si="59"/>
        <v>-169</v>
      </c>
      <c r="M116" s="164">
        <f t="shared" si="60"/>
        <v>3.6207906915598813E-4</v>
      </c>
    </row>
    <row r="117" spans="2:13" x14ac:dyDescent="0.25">
      <c r="B117" s="162" t="s">
        <v>128</v>
      </c>
      <c r="C117" s="163">
        <v>167</v>
      </c>
      <c r="D117" s="163">
        <v>266</v>
      </c>
      <c r="E117" s="163">
        <v>180</v>
      </c>
      <c r="F117" s="163">
        <v>68</v>
      </c>
      <c r="G117" s="163">
        <v>116</v>
      </c>
      <c r="H117" s="163">
        <v>72</v>
      </c>
      <c r="I117" s="165">
        <f t="shared" si="61"/>
        <v>-0.37931034482758619</v>
      </c>
      <c r="J117" s="164">
        <f t="shared" si="57"/>
        <v>-0.72932330827067671</v>
      </c>
      <c r="K117" s="179">
        <f t="shared" si="58"/>
        <v>-44</v>
      </c>
      <c r="L117" s="163">
        <f t="shared" si="59"/>
        <v>-194</v>
      </c>
      <c r="M117" s="164">
        <f t="shared" si="60"/>
        <v>8.0214439936095828E-5</v>
      </c>
    </row>
    <row r="118" spans="2:13" x14ac:dyDescent="0.25">
      <c r="B118" s="162" t="s">
        <v>131</v>
      </c>
      <c r="C118" s="163">
        <v>284</v>
      </c>
      <c r="D118" s="163">
        <v>237</v>
      </c>
      <c r="E118" s="163">
        <v>383</v>
      </c>
      <c r="F118" s="163">
        <v>80</v>
      </c>
      <c r="G118" s="163">
        <v>76</v>
      </c>
      <c r="H118" s="163">
        <v>90</v>
      </c>
      <c r="I118" s="165">
        <f t="shared" si="61"/>
        <v>0.18421052631578938</v>
      </c>
      <c r="J118" s="164">
        <f t="shared" si="57"/>
        <v>-0.620253164556962</v>
      </c>
      <c r="K118" s="179">
        <f t="shared" si="58"/>
        <v>14</v>
      </c>
      <c r="L118" s="163">
        <f t="shared" si="59"/>
        <v>-147</v>
      </c>
      <c r="M118" s="164">
        <f t="shared" si="60"/>
        <v>1.0026804992011979E-4</v>
      </c>
    </row>
    <row r="119" spans="2:13" x14ac:dyDescent="0.25">
      <c r="B119" s="168" t="s">
        <v>145</v>
      </c>
      <c r="C119" s="169">
        <f>IFERROR(C111-SUM(C112:C118),"nd")</f>
        <v>5768</v>
      </c>
      <c r="D119" s="169">
        <f t="shared" ref="D119:H119" si="62">IFERROR(D111-SUM(D112:D118),"nd")</f>
        <v>7694</v>
      </c>
      <c r="E119" s="169">
        <f t="shared" si="62"/>
        <v>3514</v>
      </c>
      <c r="F119" s="169">
        <f t="shared" si="62"/>
        <v>3532</v>
      </c>
      <c r="G119" s="169">
        <f t="shared" si="62"/>
        <v>4142</v>
      </c>
      <c r="H119" s="169">
        <f t="shared" si="62"/>
        <v>5118</v>
      </c>
      <c r="I119" s="171">
        <f t="shared" si="61"/>
        <v>0.23563495895702569</v>
      </c>
      <c r="J119" s="170">
        <f t="shared" si="57"/>
        <v>-0.33480634260462694</v>
      </c>
      <c r="K119" s="180">
        <f t="shared" si="58"/>
        <v>976</v>
      </c>
      <c r="L119" s="169">
        <f t="shared" si="59"/>
        <v>-2576</v>
      </c>
      <c r="M119" s="170">
        <f t="shared" si="60"/>
        <v>5.7019097721241448E-3</v>
      </c>
    </row>
    <row r="120" spans="2:13" x14ac:dyDescent="0.25">
      <c r="B120" s="153" t="s">
        <v>51</v>
      </c>
      <c r="C120" s="151"/>
      <c r="D120" s="151"/>
      <c r="E120" s="151"/>
      <c r="F120" s="151"/>
      <c r="G120" s="151"/>
      <c r="H120" s="152"/>
      <c r="I120" s="152"/>
      <c r="J120" s="152"/>
      <c r="K120" s="152"/>
      <c r="L120" s="151"/>
      <c r="M120" s="151"/>
    </row>
    <row r="121" spans="2:13" x14ac:dyDescent="0.25">
      <c r="B121" s="154" t="s">
        <v>68</v>
      </c>
      <c r="C121" s="176" t="str">
        <f>IFERROR(C122+C125,"nd")</f>
        <v>nd</v>
      </c>
      <c r="D121" s="176" t="str">
        <f t="shared" ref="D121:H121" si="63">IFERROR(D122+D125,"nd")</f>
        <v>nd</v>
      </c>
      <c r="E121" s="176" t="str">
        <f t="shared" si="63"/>
        <v>nd</v>
      </c>
      <c r="F121" s="176" t="str">
        <f t="shared" si="63"/>
        <v>nd</v>
      </c>
      <c r="G121" s="176" t="str">
        <f t="shared" si="63"/>
        <v>nd</v>
      </c>
      <c r="H121" s="176" t="str">
        <f t="shared" si="63"/>
        <v>nd</v>
      </c>
      <c r="I121" s="177" t="str">
        <f>IFERROR(H121/G121-1,"-")</f>
        <v>-</v>
      </c>
      <c r="J121" s="177" t="str">
        <f>IFERROR(H121/D121-1,"-")</f>
        <v>-</v>
      </c>
      <c r="K121" s="176" t="str">
        <f>IFERROR(H121-G121,"-")</f>
        <v>-</v>
      </c>
      <c r="L121" s="176" t="str">
        <f>IFERROR(H121-D121,"-")</f>
        <v>-</v>
      </c>
      <c r="M121" s="177" t="str">
        <f>IFERROR(H121/H$9,"-")</f>
        <v>-</v>
      </c>
    </row>
    <row r="122" spans="2:13" x14ac:dyDescent="0.25">
      <c r="B122" s="157" t="s">
        <v>97</v>
      </c>
      <c r="C122" s="158" t="s">
        <v>322</v>
      </c>
      <c r="D122" s="158" t="s">
        <v>322</v>
      </c>
      <c r="E122" s="158" t="s">
        <v>322</v>
      </c>
      <c r="F122" s="158" t="s">
        <v>322</v>
      </c>
      <c r="G122" s="158" t="s">
        <v>322</v>
      </c>
      <c r="H122" s="158" t="s">
        <v>322</v>
      </c>
      <c r="I122" s="160" t="str">
        <f>IFERROR(H122/G122-1,"-")</f>
        <v>-</v>
      </c>
      <c r="J122" s="159" t="str">
        <f t="shared" ref="J122:J133" si="64">IFERROR(H122/D122-1,"-")</f>
        <v>-</v>
      </c>
      <c r="K122" s="178" t="str">
        <f t="shared" ref="K122:K133" si="65">IFERROR(H122-G122,"-")</f>
        <v>-</v>
      </c>
      <c r="L122" s="158" t="str">
        <f t="shared" ref="L122:L133" si="66">IFERROR(H122-D122,"-")</f>
        <v>-</v>
      </c>
      <c r="M122" s="159" t="str">
        <f t="shared" ref="M122:M133" si="67">IFERROR(H122/H$9,"-")</f>
        <v>-</v>
      </c>
    </row>
    <row r="123" spans="2:13" x14ac:dyDescent="0.25">
      <c r="B123" s="162" t="s">
        <v>103</v>
      </c>
      <c r="C123" s="163" t="s">
        <v>322</v>
      </c>
      <c r="D123" s="163" t="s">
        <v>322</v>
      </c>
      <c r="E123" s="163" t="s">
        <v>322</v>
      </c>
      <c r="F123" s="163" t="s">
        <v>322</v>
      </c>
      <c r="G123" s="163" t="s">
        <v>322</v>
      </c>
      <c r="H123" s="163" t="s">
        <v>322</v>
      </c>
      <c r="I123" s="165" t="str">
        <f>IFERROR(H123/G123-1,"-")</f>
        <v>-</v>
      </c>
      <c r="J123" s="164" t="str">
        <f t="shared" si="64"/>
        <v>-</v>
      </c>
      <c r="K123" s="179" t="str">
        <f t="shared" si="65"/>
        <v>-</v>
      </c>
      <c r="L123" s="163" t="str">
        <f t="shared" si="66"/>
        <v>-</v>
      </c>
      <c r="M123" s="164" t="str">
        <f t="shared" si="67"/>
        <v>-</v>
      </c>
    </row>
    <row r="124" spans="2:13" x14ac:dyDescent="0.25">
      <c r="B124" s="162" t="s">
        <v>100</v>
      </c>
      <c r="C124" s="163" t="s">
        <v>322</v>
      </c>
      <c r="D124" s="163" t="s">
        <v>322</v>
      </c>
      <c r="E124" s="163" t="s">
        <v>322</v>
      </c>
      <c r="F124" s="163" t="s">
        <v>322</v>
      </c>
      <c r="G124" s="163" t="s">
        <v>322</v>
      </c>
      <c r="H124" s="163" t="s">
        <v>322</v>
      </c>
      <c r="I124" s="165" t="str">
        <f>IFERROR(H124/G124-1,"-")</f>
        <v>-</v>
      </c>
      <c r="J124" s="164" t="str">
        <f t="shared" si="64"/>
        <v>-</v>
      </c>
      <c r="K124" s="179" t="str">
        <f t="shared" si="65"/>
        <v>-</v>
      </c>
      <c r="L124" s="163" t="str">
        <f t="shared" si="66"/>
        <v>-</v>
      </c>
      <c r="M124" s="164" t="str">
        <f t="shared" si="67"/>
        <v>-</v>
      </c>
    </row>
    <row r="125" spans="2:13" x14ac:dyDescent="0.25">
      <c r="B125" s="157" t="s">
        <v>107</v>
      </c>
      <c r="C125" s="158" t="s">
        <v>322</v>
      </c>
      <c r="D125" s="158" t="s">
        <v>322</v>
      </c>
      <c r="E125" s="158" t="s">
        <v>322</v>
      </c>
      <c r="F125" s="158" t="s">
        <v>322</v>
      </c>
      <c r="G125" s="158" t="s">
        <v>322</v>
      </c>
      <c r="H125" s="158" t="s">
        <v>322</v>
      </c>
      <c r="I125" s="160" t="str">
        <f>IFERROR(H125/G125-1,"-")</f>
        <v>-</v>
      </c>
      <c r="J125" s="159" t="str">
        <f t="shared" si="64"/>
        <v>-</v>
      </c>
      <c r="K125" s="178" t="str">
        <f t="shared" si="65"/>
        <v>-</v>
      </c>
      <c r="L125" s="158" t="str">
        <f t="shared" si="66"/>
        <v>-</v>
      </c>
      <c r="M125" s="159" t="str">
        <f t="shared" si="67"/>
        <v>-</v>
      </c>
    </row>
    <row r="126" spans="2:13" x14ac:dyDescent="0.25">
      <c r="B126" s="162" t="s">
        <v>110</v>
      </c>
      <c r="C126" s="163" t="s">
        <v>322</v>
      </c>
      <c r="D126" s="163" t="s">
        <v>322</v>
      </c>
      <c r="E126" s="163" t="s">
        <v>322</v>
      </c>
      <c r="F126" s="163" t="s">
        <v>322</v>
      </c>
      <c r="G126" s="163" t="s">
        <v>322</v>
      </c>
      <c r="H126" s="163" t="s">
        <v>322</v>
      </c>
      <c r="I126" s="165" t="str">
        <f t="shared" ref="I126:I133" si="68">IFERROR(H126/G126-1,"-")</f>
        <v>-</v>
      </c>
      <c r="J126" s="164" t="str">
        <f t="shared" si="64"/>
        <v>-</v>
      </c>
      <c r="K126" s="179" t="str">
        <f t="shared" si="65"/>
        <v>-</v>
      </c>
      <c r="L126" s="163" t="str">
        <f t="shared" si="66"/>
        <v>-</v>
      </c>
      <c r="M126" s="164" t="str">
        <f t="shared" si="67"/>
        <v>-</v>
      </c>
    </row>
    <row r="127" spans="2:13" x14ac:dyDescent="0.25">
      <c r="B127" s="162" t="s">
        <v>113</v>
      </c>
      <c r="C127" s="163" t="s">
        <v>322</v>
      </c>
      <c r="D127" s="163" t="s">
        <v>322</v>
      </c>
      <c r="E127" s="163" t="s">
        <v>322</v>
      </c>
      <c r="F127" s="163" t="s">
        <v>322</v>
      </c>
      <c r="G127" s="163" t="s">
        <v>322</v>
      </c>
      <c r="H127" s="163" t="s">
        <v>322</v>
      </c>
      <c r="I127" s="165" t="str">
        <f t="shared" si="68"/>
        <v>-</v>
      </c>
      <c r="J127" s="164" t="str">
        <f t="shared" si="64"/>
        <v>-</v>
      </c>
      <c r="K127" s="179" t="str">
        <f t="shared" si="65"/>
        <v>-</v>
      </c>
      <c r="L127" s="163" t="str">
        <f t="shared" si="66"/>
        <v>-</v>
      </c>
      <c r="M127" s="164" t="str">
        <f t="shared" si="67"/>
        <v>-</v>
      </c>
    </row>
    <row r="128" spans="2:13" x14ac:dyDescent="0.25">
      <c r="B128" s="162" t="s">
        <v>116</v>
      </c>
      <c r="C128" s="163" t="s">
        <v>322</v>
      </c>
      <c r="D128" s="163" t="s">
        <v>322</v>
      </c>
      <c r="E128" s="163" t="s">
        <v>322</v>
      </c>
      <c r="F128" s="163" t="s">
        <v>322</v>
      </c>
      <c r="G128" s="163" t="s">
        <v>322</v>
      </c>
      <c r="H128" s="163" t="s">
        <v>322</v>
      </c>
      <c r="I128" s="165" t="str">
        <f t="shared" si="68"/>
        <v>-</v>
      </c>
      <c r="J128" s="164" t="str">
        <f t="shared" si="64"/>
        <v>-</v>
      </c>
      <c r="K128" s="179" t="str">
        <f t="shared" si="65"/>
        <v>-</v>
      </c>
      <c r="L128" s="163" t="str">
        <f t="shared" si="66"/>
        <v>-</v>
      </c>
      <c r="M128" s="164" t="str">
        <f t="shared" si="67"/>
        <v>-</v>
      </c>
    </row>
    <row r="129" spans="2:13" x14ac:dyDescent="0.25">
      <c r="B129" s="162" t="s">
        <v>123</v>
      </c>
      <c r="C129" s="163" t="s">
        <v>322</v>
      </c>
      <c r="D129" s="163" t="s">
        <v>322</v>
      </c>
      <c r="E129" s="163" t="s">
        <v>322</v>
      </c>
      <c r="F129" s="163" t="s">
        <v>322</v>
      </c>
      <c r="G129" s="163" t="s">
        <v>322</v>
      </c>
      <c r="H129" s="163" t="s">
        <v>322</v>
      </c>
      <c r="I129" s="165" t="str">
        <f t="shared" si="68"/>
        <v>-</v>
      </c>
      <c r="J129" s="164" t="str">
        <f t="shared" si="64"/>
        <v>-</v>
      </c>
      <c r="K129" s="179" t="str">
        <f t="shared" si="65"/>
        <v>-</v>
      </c>
      <c r="L129" s="163" t="str">
        <f t="shared" si="66"/>
        <v>-</v>
      </c>
      <c r="M129" s="164" t="str">
        <f t="shared" si="67"/>
        <v>-</v>
      </c>
    </row>
    <row r="130" spans="2:13" x14ac:dyDescent="0.25">
      <c r="B130" s="162" t="s">
        <v>119</v>
      </c>
      <c r="C130" s="163" t="s">
        <v>322</v>
      </c>
      <c r="D130" s="163" t="s">
        <v>322</v>
      </c>
      <c r="E130" s="163" t="s">
        <v>322</v>
      </c>
      <c r="F130" s="163" t="s">
        <v>322</v>
      </c>
      <c r="G130" s="163" t="s">
        <v>322</v>
      </c>
      <c r="H130" s="163" t="s">
        <v>322</v>
      </c>
      <c r="I130" s="165" t="str">
        <f t="shared" si="68"/>
        <v>-</v>
      </c>
      <c r="J130" s="164" t="str">
        <f t="shared" si="64"/>
        <v>-</v>
      </c>
      <c r="K130" s="179" t="str">
        <f t="shared" si="65"/>
        <v>-</v>
      </c>
      <c r="L130" s="163" t="str">
        <f t="shared" si="66"/>
        <v>-</v>
      </c>
      <c r="M130" s="164" t="str">
        <f t="shared" si="67"/>
        <v>-</v>
      </c>
    </row>
    <row r="131" spans="2:13" x14ac:dyDescent="0.25">
      <c r="B131" s="162" t="s">
        <v>128</v>
      </c>
      <c r="C131" s="163" t="s">
        <v>322</v>
      </c>
      <c r="D131" s="163" t="s">
        <v>322</v>
      </c>
      <c r="E131" s="163" t="s">
        <v>322</v>
      </c>
      <c r="F131" s="163" t="s">
        <v>322</v>
      </c>
      <c r="G131" s="163" t="s">
        <v>322</v>
      </c>
      <c r="H131" s="163" t="s">
        <v>322</v>
      </c>
      <c r="I131" s="165" t="str">
        <f t="shared" si="68"/>
        <v>-</v>
      </c>
      <c r="J131" s="164" t="str">
        <f t="shared" si="64"/>
        <v>-</v>
      </c>
      <c r="K131" s="179" t="str">
        <f t="shared" si="65"/>
        <v>-</v>
      </c>
      <c r="L131" s="163" t="str">
        <f t="shared" si="66"/>
        <v>-</v>
      </c>
      <c r="M131" s="164" t="str">
        <f t="shared" si="67"/>
        <v>-</v>
      </c>
    </row>
    <row r="132" spans="2:13" x14ac:dyDescent="0.25">
      <c r="B132" s="162" t="s">
        <v>131</v>
      </c>
      <c r="C132" s="163" t="s">
        <v>322</v>
      </c>
      <c r="D132" s="163" t="s">
        <v>322</v>
      </c>
      <c r="E132" s="163" t="s">
        <v>322</v>
      </c>
      <c r="F132" s="163" t="s">
        <v>322</v>
      </c>
      <c r="G132" s="163" t="s">
        <v>322</v>
      </c>
      <c r="H132" s="163" t="s">
        <v>322</v>
      </c>
      <c r="I132" s="165" t="str">
        <f t="shared" si="68"/>
        <v>-</v>
      </c>
      <c r="J132" s="164" t="str">
        <f t="shared" si="64"/>
        <v>-</v>
      </c>
      <c r="K132" s="179" t="str">
        <f t="shared" si="65"/>
        <v>-</v>
      </c>
      <c r="L132" s="163" t="str">
        <f t="shared" si="66"/>
        <v>-</v>
      </c>
      <c r="M132" s="164" t="str">
        <f t="shared" si="67"/>
        <v>-</v>
      </c>
    </row>
    <row r="133" spans="2:13" x14ac:dyDescent="0.25">
      <c r="B133" s="168" t="s">
        <v>145</v>
      </c>
      <c r="C133" s="169" t="str">
        <f>IFERROR(C125-SUM(C126:C132),"nd")</f>
        <v>nd</v>
      </c>
      <c r="D133" s="169" t="str">
        <f t="shared" ref="D133:H133" si="69">IFERROR(D125-SUM(D126:D132),"nd")</f>
        <v>nd</v>
      </c>
      <c r="E133" s="169" t="str">
        <f t="shared" si="69"/>
        <v>nd</v>
      </c>
      <c r="F133" s="169" t="str">
        <f t="shared" si="69"/>
        <v>nd</v>
      </c>
      <c r="G133" s="169" t="str">
        <f t="shared" si="69"/>
        <v>nd</v>
      </c>
      <c r="H133" s="169" t="str">
        <f t="shared" si="69"/>
        <v>nd</v>
      </c>
      <c r="I133" s="171" t="str">
        <f t="shared" si="68"/>
        <v>-</v>
      </c>
      <c r="J133" s="170" t="str">
        <f t="shared" si="64"/>
        <v>-</v>
      </c>
      <c r="K133" s="180" t="str">
        <f t="shared" si="65"/>
        <v>-</v>
      </c>
      <c r="L133" s="169" t="str">
        <f t="shared" si="66"/>
        <v>-</v>
      </c>
      <c r="M133" s="170" t="str">
        <f t="shared" si="67"/>
        <v>-</v>
      </c>
    </row>
    <row r="134" spans="2:13" x14ac:dyDescent="0.25">
      <c r="B134" s="153" t="s">
        <v>52</v>
      </c>
      <c r="C134" s="151"/>
      <c r="D134" s="151"/>
      <c r="E134" s="151"/>
      <c r="F134" s="151"/>
      <c r="G134" s="151"/>
      <c r="H134" s="152"/>
      <c r="I134" s="152"/>
      <c r="J134" s="152"/>
      <c r="K134" s="152"/>
      <c r="L134" s="151"/>
      <c r="M134" s="151"/>
    </row>
    <row r="135" spans="2:13" x14ac:dyDescent="0.25">
      <c r="B135" s="154" t="s">
        <v>68</v>
      </c>
      <c r="C135" s="176">
        <f>IFERROR(C136+C139,"nd")</f>
        <v>78633</v>
      </c>
      <c r="D135" s="176">
        <f t="shared" ref="D135:H135" si="70">IFERROR(D136+D139,"nd")</f>
        <v>53371</v>
      </c>
      <c r="E135" s="176">
        <f t="shared" si="70"/>
        <v>15952</v>
      </c>
      <c r="F135" s="176">
        <f t="shared" si="70"/>
        <v>33151</v>
      </c>
      <c r="G135" s="176">
        <f t="shared" si="70"/>
        <v>36262</v>
      </c>
      <c r="H135" s="176">
        <f t="shared" si="70"/>
        <v>37504</v>
      </c>
      <c r="I135" s="177">
        <f>IFERROR(H135/G135-1,"-")</f>
        <v>3.4250730792565243E-2</v>
      </c>
      <c r="J135" s="177">
        <f>IFERROR(H135/D135-1,"-")</f>
        <v>-0.29729628449907253</v>
      </c>
      <c r="K135" s="176">
        <f>IFERROR(H135-G135,"-")</f>
        <v>1242</v>
      </c>
      <c r="L135" s="176">
        <f>IFERROR(H135-D135,"-")</f>
        <v>-15867</v>
      </c>
      <c r="M135" s="177">
        <f>IFERROR(H135/H$9,"-")</f>
        <v>4.1782810491157472E-2</v>
      </c>
    </row>
    <row r="136" spans="2:13" x14ac:dyDescent="0.25">
      <c r="B136" s="157" t="s">
        <v>97</v>
      </c>
      <c r="C136" s="158">
        <v>17761</v>
      </c>
      <c r="D136" s="158">
        <v>8721</v>
      </c>
      <c r="E136" s="158">
        <v>2865</v>
      </c>
      <c r="F136" s="158">
        <v>6655</v>
      </c>
      <c r="G136" s="158">
        <v>7504</v>
      </c>
      <c r="H136" s="158">
        <v>6553</v>
      </c>
      <c r="I136" s="160">
        <f>IFERROR(H136/G136-1,"-")</f>
        <v>-0.12673240938166308</v>
      </c>
      <c r="J136" s="159">
        <f t="shared" ref="J136:J147" si="71">IFERROR(H136/D136-1,"-")</f>
        <v>-0.24859534457057675</v>
      </c>
      <c r="K136" s="178">
        <f t="shared" ref="K136:K147" si="72">IFERROR(H136-G136,"-")</f>
        <v>-951</v>
      </c>
      <c r="L136" s="158">
        <f t="shared" ref="L136:L147" si="73">IFERROR(H136-D136,"-")</f>
        <v>-2168</v>
      </c>
      <c r="M136" s="159">
        <f t="shared" ref="M136:M147" si="74">IFERROR(H136/H$9,"-")</f>
        <v>7.3006281236282777E-3</v>
      </c>
    </row>
    <row r="137" spans="2:13" x14ac:dyDescent="0.25">
      <c r="B137" s="162" t="s">
        <v>103</v>
      </c>
      <c r="C137" s="163">
        <v>14864</v>
      </c>
      <c r="D137" s="163">
        <v>6465</v>
      </c>
      <c r="E137" s="163">
        <v>2382</v>
      </c>
      <c r="F137" s="163">
        <v>4748</v>
      </c>
      <c r="G137" s="163">
        <v>5235</v>
      </c>
      <c r="H137" s="163">
        <v>4717</v>
      </c>
      <c r="I137" s="165">
        <f>IFERROR(H137/G137-1,"-")</f>
        <v>-9.8949379178605579E-2</v>
      </c>
      <c r="J137" s="164">
        <f t="shared" si="71"/>
        <v>-0.27037896365042535</v>
      </c>
      <c r="K137" s="179">
        <f t="shared" si="72"/>
        <v>-518</v>
      </c>
      <c r="L137" s="163">
        <f t="shared" si="73"/>
        <v>-1748</v>
      </c>
      <c r="M137" s="164">
        <f t="shared" si="74"/>
        <v>5.2551599052578337E-3</v>
      </c>
    </row>
    <row r="138" spans="2:13" x14ac:dyDescent="0.25">
      <c r="B138" s="162" t="s">
        <v>100</v>
      </c>
      <c r="C138" s="163">
        <v>2897</v>
      </c>
      <c r="D138" s="163">
        <v>2256</v>
      </c>
      <c r="E138" s="163">
        <v>483</v>
      </c>
      <c r="F138" s="163">
        <v>1907</v>
      </c>
      <c r="G138" s="163">
        <v>2269</v>
      </c>
      <c r="H138" s="163">
        <v>1836</v>
      </c>
      <c r="I138" s="165">
        <f>IFERROR(H138/G138-1,"-")</f>
        <v>-0.19083296606434552</v>
      </c>
      <c r="J138" s="164">
        <f t="shared" si="71"/>
        <v>-0.18617021276595747</v>
      </c>
      <c r="K138" s="179">
        <f t="shared" si="72"/>
        <v>-433</v>
      </c>
      <c r="L138" s="163">
        <f t="shared" si="73"/>
        <v>-420</v>
      </c>
      <c r="M138" s="164">
        <f t="shared" si="74"/>
        <v>2.0454682183704436E-3</v>
      </c>
    </row>
    <row r="139" spans="2:13" x14ac:dyDescent="0.25">
      <c r="B139" s="157" t="s">
        <v>107</v>
      </c>
      <c r="C139" s="158">
        <v>60872</v>
      </c>
      <c r="D139" s="158">
        <v>44650</v>
      </c>
      <c r="E139" s="158">
        <v>13087</v>
      </c>
      <c r="F139" s="158">
        <v>26496</v>
      </c>
      <c r="G139" s="158">
        <v>28758</v>
      </c>
      <c r="H139" s="158">
        <v>30951</v>
      </c>
      <c r="I139" s="160">
        <f>IFERROR(H139/G139-1,"-")</f>
        <v>7.6257041518881685E-2</v>
      </c>
      <c r="J139" s="159">
        <f t="shared" si="71"/>
        <v>-0.30680851063829784</v>
      </c>
      <c r="K139" s="178">
        <f t="shared" si="72"/>
        <v>2193</v>
      </c>
      <c r="L139" s="158">
        <f t="shared" si="73"/>
        <v>-13699</v>
      </c>
      <c r="M139" s="159">
        <f t="shared" si="74"/>
        <v>3.4482182367529195E-2</v>
      </c>
    </row>
    <row r="140" spans="2:13" x14ac:dyDescent="0.25">
      <c r="B140" s="162" t="s">
        <v>110</v>
      </c>
      <c r="C140" s="163">
        <v>34678</v>
      </c>
      <c r="D140" s="163">
        <v>23277</v>
      </c>
      <c r="E140" s="163">
        <v>6329</v>
      </c>
      <c r="F140" s="163">
        <v>10268</v>
      </c>
      <c r="G140" s="163">
        <v>11443</v>
      </c>
      <c r="H140" s="163">
        <v>13604</v>
      </c>
      <c r="I140" s="165">
        <f t="shared" ref="I140:I147" si="75">IFERROR(H140/G140-1,"-")</f>
        <v>0.18884907803897577</v>
      </c>
      <c r="J140" s="164">
        <f t="shared" si="71"/>
        <v>-0.41556042445332297</v>
      </c>
      <c r="K140" s="179">
        <f t="shared" si="72"/>
        <v>2161</v>
      </c>
      <c r="L140" s="163">
        <f t="shared" si="73"/>
        <v>-9673</v>
      </c>
      <c r="M140" s="164">
        <f t="shared" si="74"/>
        <v>1.5156072790147884E-2</v>
      </c>
    </row>
    <row r="141" spans="2:13" x14ac:dyDescent="0.25">
      <c r="B141" s="162" t="s">
        <v>113</v>
      </c>
      <c r="C141" s="163">
        <v>2110</v>
      </c>
      <c r="D141" s="163">
        <v>1821</v>
      </c>
      <c r="E141" s="163">
        <v>720</v>
      </c>
      <c r="F141" s="163">
        <v>2056</v>
      </c>
      <c r="G141" s="163">
        <v>1799</v>
      </c>
      <c r="H141" s="163">
        <v>1872</v>
      </c>
      <c r="I141" s="165">
        <f t="shared" si="75"/>
        <v>4.0578098943857777E-2</v>
      </c>
      <c r="J141" s="164">
        <f t="shared" si="71"/>
        <v>2.8006589785831926E-2</v>
      </c>
      <c r="K141" s="179">
        <f t="shared" si="72"/>
        <v>73</v>
      </c>
      <c r="L141" s="163">
        <f t="shared" si="73"/>
        <v>51</v>
      </c>
      <c r="M141" s="164">
        <f t="shared" si="74"/>
        <v>2.0855754383384915E-3</v>
      </c>
    </row>
    <row r="142" spans="2:13" x14ac:dyDescent="0.25">
      <c r="B142" s="162" t="s">
        <v>116</v>
      </c>
      <c r="C142" s="163">
        <v>6626</v>
      </c>
      <c r="D142" s="163">
        <v>2654</v>
      </c>
      <c r="E142" s="163">
        <v>544</v>
      </c>
      <c r="F142" s="163">
        <v>2880</v>
      </c>
      <c r="G142" s="163">
        <v>3182</v>
      </c>
      <c r="H142" s="163">
        <v>2917</v>
      </c>
      <c r="I142" s="165">
        <f t="shared" si="75"/>
        <v>-8.3280955373978616E-2</v>
      </c>
      <c r="J142" s="164">
        <f t="shared" si="71"/>
        <v>9.9095704596835033E-2</v>
      </c>
      <c r="K142" s="179">
        <f t="shared" si="72"/>
        <v>-265</v>
      </c>
      <c r="L142" s="163">
        <f t="shared" si="73"/>
        <v>263</v>
      </c>
      <c r="M142" s="164">
        <f t="shared" si="74"/>
        <v>3.2497989068554379E-3</v>
      </c>
    </row>
    <row r="143" spans="2:13" x14ac:dyDescent="0.25">
      <c r="B143" s="162" t="s">
        <v>123</v>
      </c>
      <c r="C143" s="163">
        <v>1185</v>
      </c>
      <c r="D143" s="163">
        <v>1023</v>
      </c>
      <c r="E143" s="163">
        <v>374</v>
      </c>
      <c r="F143" s="163">
        <v>1374</v>
      </c>
      <c r="G143" s="163">
        <v>1142</v>
      </c>
      <c r="H143" s="163">
        <v>925</v>
      </c>
      <c r="I143" s="165">
        <f t="shared" si="75"/>
        <v>-0.19001751313485116</v>
      </c>
      <c r="J143" s="164">
        <f t="shared" si="71"/>
        <v>-9.5796676441837758E-2</v>
      </c>
      <c r="K143" s="179">
        <f t="shared" si="72"/>
        <v>-217</v>
      </c>
      <c r="L143" s="163">
        <f t="shared" si="73"/>
        <v>-98</v>
      </c>
      <c r="M143" s="164">
        <f t="shared" si="74"/>
        <v>1.03053273529012E-3</v>
      </c>
    </row>
    <row r="144" spans="2:13" x14ac:dyDescent="0.25">
      <c r="B144" s="162" t="s">
        <v>119</v>
      </c>
      <c r="C144" s="163">
        <v>541</v>
      </c>
      <c r="D144" s="163">
        <v>514</v>
      </c>
      <c r="E144" s="163">
        <v>221</v>
      </c>
      <c r="F144" s="163">
        <v>665</v>
      </c>
      <c r="G144" s="163">
        <v>550</v>
      </c>
      <c r="H144" s="163">
        <v>537</v>
      </c>
      <c r="I144" s="165">
        <f t="shared" si="75"/>
        <v>-2.3636363636363678E-2</v>
      </c>
      <c r="J144" s="164">
        <f t="shared" si="71"/>
        <v>4.474708171206232E-2</v>
      </c>
      <c r="K144" s="179">
        <f t="shared" si="72"/>
        <v>-13</v>
      </c>
      <c r="L144" s="163">
        <f t="shared" si="73"/>
        <v>23</v>
      </c>
      <c r="M144" s="164">
        <f t="shared" si="74"/>
        <v>5.9826603119004802E-4</v>
      </c>
    </row>
    <row r="145" spans="2:13" x14ac:dyDescent="0.25">
      <c r="B145" s="162" t="s">
        <v>128</v>
      </c>
      <c r="C145" s="163">
        <v>666</v>
      </c>
      <c r="D145" s="163">
        <v>590</v>
      </c>
      <c r="E145" s="163">
        <v>382</v>
      </c>
      <c r="F145" s="163">
        <v>241</v>
      </c>
      <c r="G145" s="163">
        <v>308</v>
      </c>
      <c r="H145" s="163">
        <v>194</v>
      </c>
      <c r="I145" s="165">
        <f t="shared" si="75"/>
        <v>-0.37012987012987009</v>
      </c>
      <c r="J145" s="164">
        <f t="shared" si="71"/>
        <v>-0.67118644067796618</v>
      </c>
      <c r="K145" s="179">
        <f t="shared" si="72"/>
        <v>-114</v>
      </c>
      <c r="L145" s="163">
        <f t="shared" si="73"/>
        <v>-396</v>
      </c>
      <c r="M145" s="164">
        <f t="shared" si="74"/>
        <v>2.1613335205003599E-4</v>
      </c>
    </row>
    <row r="146" spans="2:13" x14ac:dyDescent="0.25">
      <c r="B146" s="162" t="s">
        <v>131</v>
      </c>
      <c r="C146" s="163">
        <v>2885</v>
      </c>
      <c r="D146" s="163">
        <v>1068</v>
      </c>
      <c r="E146" s="163">
        <v>656</v>
      </c>
      <c r="F146" s="163">
        <v>184</v>
      </c>
      <c r="G146" s="163">
        <v>312</v>
      </c>
      <c r="H146" s="163">
        <v>329</v>
      </c>
      <c r="I146" s="165">
        <f t="shared" si="75"/>
        <v>5.4487179487179516E-2</v>
      </c>
      <c r="J146" s="164">
        <f t="shared" si="71"/>
        <v>-0.69194756554307113</v>
      </c>
      <c r="K146" s="179">
        <f t="shared" si="72"/>
        <v>17</v>
      </c>
      <c r="L146" s="163">
        <f t="shared" si="73"/>
        <v>-739</v>
      </c>
      <c r="M146" s="164">
        <f t="shared" si="74"/>
        <v>3.6653542693021565E-4</v>
      </c>
    </row>
    <row r="147" spans="2:13" x14ac:dyDescent="0.25">
      <c r="B147" s="168" t="s">
        <v>145</v>
      </c>
      <c r="C147" s="169">
        <f>IFERROR(C139-SUM(C140:C146),"nd")</f>
        <v>12181</v>
      </c>
      <c r="D147" s="169">
        <f t="shared" ref="D147:H147" si="76">IFERROR(D139-SUM(D140:D146),"nd")</f>
        <v>13703</v>
      </c>
      <c r="E147" s="169">
        <f t="shared" si="76"/>
        <v>3861</v>
      </c>
      <c r="F147" s="169">
        <f t="shared" si="76"/>
        <v>8828</v>
      </c>
      <c r="G147" s="169">
        <f t="shared" si="76"/>
        <v>10022</v>
      </c>
      <c r="H147" s="169">
        <f t="shared" si="76"/>
        <v>10573</v>
      </c>
      <c r="I147" s="171">
        <f t="shared" si="75"/>
        <v>5.4979046098583062E-2</v>
      </c>
      <c r="J147" s="170">
        <f t="shared" si="71"/>
        <v>-0.2284171349339561</v>
      </c>
      <c r="K147" s="180">
        <f t="shared" si="72"/>
        <v>551</v>
      </c>
      <c r="L147" s="169">
        <f t="shared" si="73"/>
        <v>-3130</v>
      </c>
      <c r="M147" s="170">
        <f t="shared" si="74"/>
        <v>1.1779267686726961E-2</v>
      </c>
    </row>
    <row r="148" spans="2:13" x14ac:dyDescent="0.25">
      <c r="B148" s="153" t="s">
        <v>53</v>
      </c>
      <c r="C148" s="151"/>
      <c r="D148" s="151"/>
      <c r="E148" s="151"/>
      <c r="F148" s="151"/>
      <c r="G148" s="151"/>
      <c r="H148" s="152"/>
      <c r="I148" s="152"/>
      <c r="J148" s="152"/>
      <c r="K148" s="152"/>
      <c r="L148" s="151"/>
      <c r="M148" s="151"/>
    </row>
    <row r="149" spans="2:13" x14ac:dyDescent="0.25">
      <c r="B149" s="154" t="s">
        <v>68</v>
      </c>
      <c r="C149" s="176">
        <f>IFERROR(C150+C153,"nd")</f>
        <v>5539</v>
      </c>
      <c r="D149" s="176">
        <f t="shared" ref="D149:H149" si="77">IFERROR(D150+D153,"nd")</f>
        <v>4662</v>
      </c>
      <c r="E149" s="176">
        <f t="shared" si="77"/>
        <v>2071</v>
      </c>
      <c r="F149" s="176">
        <f t="shared" si="77"/>
        <v>9827</v>
      </c>
      <c r="G149" s="176">
        <f t="shared" si="77"/>
        <v>13310</v>
      </c>
      <c r="H149" s="176">
        <f t="shared" si="77"/>
        <v>37891</v>
      </c>
      <c r="I149" s="177">
        <f>IFERROR(H149/G149-1,"-")</f>
        <v>1.8468069120961683</v>
      </c>
      <c r="J149" s="177">
        <f>IFERROR(H149/D149-1,"-")</f>
        <v>7.1276276276276285</v>
      </c>
      <c r="K149" s="176">
        <f>IFERROR(H149-G149,"-")</f>
        <v>24581</v>
      </c>
      <c r="L149" s="176">
        <f>IFERROR(H149-D149,"-")</f>
        <v>33229</v>
      </c>
      <c r="M149" s="177">
        <f>IFERROR(H149/H$9,"-")</f>
        <v>4.221396310581399E-2</v>
      </c>
    </row>
    <row r="150" spans="2:13" x14ac:dyDescent="0.25">
      <c r="B150" s="157" t="s">
        <v>97</v>
      </c>
      <c r="C150" s="158">
        <v>1429</v>
      </c>
      <c r="D150" s="158">
        <v>1134</v>
      </c>
      <c r="E150" s="158">
        <v>405</v>
      </c>
      <c r="F150" s="158">
        <v>2082</v>
      </c>
      <c r="G150" s="158">
        <v>3702</v>
      </c>
      <c r="H150" s="158">
        <v>4466</v>
      </c>
      <c r="I150" s="160">
        <f>IFERROR(H150/G150-1,"-")</f>
        <v>0.20637493246893568</v>
      </c>
      <c r="J150" s="159">
        <f t="shared" ref="J150:J161" si="78">IFERROR(H150/D150-1,"-")</f>
        <v>2.9382716049382718</v>
      </c>
      <c r="K150" s="178">
        <f t="shared" ref="K150:K161" si="79">IFERROR(H150-G150,"-")</f>
        <v>764</v>
      </c>
      <c r="L150" s="158">
        <f t="shared" ref="L150:L161" si="80">IFERROR(H150-D150,"-")</f>
        <v>3332</v>
      </c>
      <c r="M150" s="159">
        <f t="shared" ref="M150:M161" si="81">IFERROR(H150/H$9,"-")</f>
        <v>4.975523454925055E-3</v>
      </c>
    </row>
    <row r="151" spans="2:13" x14ac:dyDescent="0.25">
      <c r="B151" s="162" t="s">
        <v>103</v>
      </c>
      <c r="C151" s="163">
        <v>940</v>
      </c>
      <c r="D151" s="163">
        <v>734</v>
      </c>
      <c r="E151" s="163">
        <v>294</v>
      </c>
      <c r="F151" s="163">
        <v>619</v>
      </c>
      <c r="G151" s="163">
        <v>1764</v>
      </c>
      <c r="H151" s="163">
        <v>2825</v>
      </c>
      <c r="I151" s="165">
        <f>IFERROR(H151/G151-1,"-")</f>
        <v>0.60147392290249435</v>
      </c>
      <c r="J151" s="164">
        <f t="shared" si="78"/>
        <v>2.8487738419618527</v>
      </c>
      <c r="K151" s="179">
        <f t="shared" si="79"/>
        <v>1061</v>
      </c>
      <c r="L151" s="163">
        <f t="shared" si="80"/>
        <v>2091</v>
      </c>
      <c r="M151" s="164">
        <f t="shared" si="81"/>
        <v>3.1473026780482042E-3</v>
      </c>
    </row>
    <row r="152" spans="2:13" x14ac:dyDescent="0.25">
      <c r="B152" s="162" t="s">
        <v>100</v>
      </c>
      <c r="C152" s="163">
        <v>489</v>
      </c>
      <c r="D152" s="163">
        <v>400</v>
      </c>
      <c r="E152" s="163">
        <v>111</v>
      </c>
      <c r="F152" s="163">
        <v>1463</v>
      </c>
      <c r="G152" s="163">
        <v>1938</v>
      </c>
      <c r="H152" s="163">
        <v>1641</v>
      </c>
      <c r="I152" s="165">
        <f>IFERROR(H152/G152-1,"-")</f>
        <v>-0.15325077399380804</v>
      </c>
      <c r="J152" s="164">
        <f t="shared" si="78"/>
        <v>3.1025</v>
      </c>
      <c r="K152" s="179">
        <f t="shared" si="79"/>
        <v>-297</v>
      </c>
      <c r="L152" s="163">
        <f t="shared" si="80"/>
        <v>1241</v>
      </c>
      <c r="M152" s="164">
        <f t="shared" si="81"/>
        <v>1.8282207768768508E-3</v>
      </c>
    </row>
    <row r="153" spans="2:13" x14ac:dyDescent="0.25">
      <c r="B153" s="157" t="s">
        <v>107</v>
      </c>
      <c r="C153" s="158">
        <v>4110</v>
      </c>
      <c r="D153" s="158">
        <v>3528</v>
      </c>
      <c r="E153" s="158">
        <v>1666</v>
      </c>
      <c r="F153" s="158">
        <v>7745</v>
      </c>
      <c r="G153" s="158">
        <v>9608</v>
      </c>
      <c r="H153" s="158">
        <v>33425</v>
      </c>
      <c r="I153" s="160">
        <f>IFERROR(H153/G153-1,"-")</f>
        <v>2.4788717735220649</v>
      </c>
      <c r="J153" s="159">
        <f t="shared" si="78"/>
        <v>8.4742063492063497</v>
      </c>
      <c r="K153" s="178">
        <f t="shared" si="79"/>
        <v>23817</v>
      </c>
      <c r="L153" s="158">
        <f t="shared" si="80"/>
        <v>29897</v>
      </c>
      <c r="M153" s="159">
        <f t="shared" si="81"/>
        <v>3.7238439650888931E-2</v>
      </c>
    </row>
    <row r="154" spans="2:13" x14ac:dyDescent="0.25">
      <c r="B154" s="162" t="s">
        <v>110</v>
      </c>
      <c r="C154" s="163">
        <v>399</v>
      </c>
      <c r="D154" s="163">
        <v>298</v>
      </c>
      <c r="E154" s="163">
        <v>284</v>
      </c>
      <c r="F154" s="163">
        <v>2661</v>
      </c>
      <c r="G154" s="163">
        <v>1917</v>
      </c>
      <c r="H154" s="163">
        <v>21641</v>
      </c>
      <c r="I154" s="165">
        <f t="shared" ref="I154:I161" si="82">IFERROR(H154/G154-1,"-")</f>
        <v>10.288993218570683</v>
      </c>
      <c r="J154" s="164">
        <f t="shared" si="78"/>
        <v>71.62080536912751</v>
      </c>
      <c r="K154" s="179">
        <f t="shared" si="79"/>
        <v>19724</v>
      </c>
      <c r="L154" s="163">
        <f t="shared" si="80"/>
        <v>21343</v>
      </c>
      <c r="M154" s="164">
        <f t="shared" si="81"/>
        <v>2.4110009648014581E-2</v>
      </c>
    </row>
    <row r="155" spans="2:13" x14ac:dyDescent="0.25">
      <c r="B155" s="162" t="s">
        <v>113</v>
      </c>
      <c r="C155" s="163">
        <v>2321</v>
      </c>
      <c r="D155" s="163">
        <v>1847</v>
      </c>
      <c r="E155" s="163">
        <v>434</v>
      </c>
      <c r="F155" s="163">
        <v>1464</v>
      </c>
      <c r="G155" s="163">
        <v>2118</v>
      </c>
      <c r="H155" s="163">
        <v>2536</v>
      </c>
      <c r="I155" s="165">
        <f t="shared" si="82"/>
        <v>0.19735599622285172</v>
      </c>
      <c r="J155" s="164">
        <f t="shared" si="78"/>
        <v>0.37303735787763936</v>
      </c>
      <c r="K155" s="179">
        <f t="shared" si="79"/>
        <v>418</v>
      </c>
      <c r="L155" s="163">
        <f t="shared" si="80"/>
        <v>689</v>
      </c>
      <c r="M155" s="164">
        <f t="shared" si="81"/>
        <v>2.8253308288602643E-3</v>
      </c>
    </row>
    <row r="156" spans="2:13" x14ac:dyDescent="0.25">
      <c r="B156" s="162" t="s">
        <v>116</v>
      </c>
      <c r="C156" s="163">
        <v>161</v>
      </c>
      <c r="D156" s="163">
        <v>221</v>
      </c>
      <c r="E156" s="163">
        <v>61</v>
      </c>
      <c r="F156" s="163">
        <v>386</v>
      </c>
      <c r="G156" s="163">
        <v>1063</v>
      </c>
      <c r="H156" s="163">
        <v>975</v>
      </c>
      <c r="I156" s="165">
        <f t="shared" si="82"/>
        <v>-8.2784571966133536E-2</v>
      </c>
      <c r="J156" s="164">
        <f t="shared" si="78"/>
        <v>3.4117647058823533</v>
      </c>
      <c r="K156" s="179">
        <f t="shared" si="79"/>
        <v>-88</v>
      </c>
      <c r="L156" s="163">
        <f t="shared" si="80"/>
        <v>754</v>
      </c>
      <c r="M156" s="164">
        <f t="shared" si="81"/>
        <v>1.0862372074679643E-3</v>
      </c>
    </row>
    <row r="157" spans="2:13" x14ac:dyDescent="0.25">
      <c r="B157" s="162" t="s">
        <v>123</v>
      </c>
      <c r="C157" s="163">
        <v>126</v>
      </c>
      <c r="D157" s="163">
        <v>141</v>
      </c>
      <c r="E157" s="163">
        <v>30</v>
      </c>
      <c r="F157" s="163">
        <v>913</v>
      </c>
      <c r="G157" s="163">
        <v>716</v>
      </c>
      <c r="H157" s="163">
        <v>2156</v>
      </c>
      <c r="I157" s="165">
        <f t="shared" si="82"/>
        <v>2.011173184357542</v>
      </c>
      <c r="J157" s="164">
        <f t="shared" si="78"/>
        <v>14.290780141843971</v>
      </c>
      <c r="K157" s="179">
        <f t="shared" si="79"/>
        <v>1440</v>
      </c>
      <c r="L157" s="163">
        <f t="shared" si="80"/>
        <v>2015</v>
      </c>
      <c r="M157" s="164">
        <f t="shared" si="81"/>
        <v>2.4019768403086474E-3</v>
      </c>
    </row>
    <row r="158" spans="2:13" x14ac:dyDescent="0.25">
      <c r="B158" s="162" t="s">
        <v>119</v>
      </c>
      <c r="C158" s="163">
        <v>42</v>
      </c>
      <c r="D158" s="163">
        <v>20</v>
      </c>
      <c r="E158" s="163">
        <v>39</v>
      </c>
      <c r="F158" s="163">
        <v>251</v>
      </c>
      <c r="G158" s="163">
        <v>449</v>
      </c>
      <c r="H158" s="163">
        <v>429</v>
      </c>
      <c r="I158" s="165">
        <f t="shared" si="82"/>
        <v>-4.4543429844097981E-2</v>
      </c>
      <c r="J158" s="164">
        <f t="shared" si="78"/>
        <v>20.45</v>
      </c>
      <c r="K158" s="179">
        <f t="shared" si="79"/>
        <v>-20</v>
      </c>
      <c r="L158" s="163">
        <f t="shared" si="80"/>
        <v>409</v>
      </c>
      <c r="M158" s="164">
        <f t="shared" si="81"/>
        <v>4.7794437128590431E-4</v>
      </c>
    </row>
    <row r="159" spans="2:13" x14ac:dyDescent="0.25">
      <c r="B159" s="162" t="s">
        <v>128</v>
      </c>
      <c r="C159" s="163">
        <v>44</v>
      </c>
      <c r="D159" s="163">
        <v>67</v>
      </c>
      <c r="E159" s="163">
        <v>152</v>
      </c>
      <c r="F159" s="163">
        <v>183</v>
      </c>
      <c r="G159" s="163">
        <v>185</v>
      </c>
      <c r="H159" s="163">
        <v>625</v>
      </c>
      <c r="I159" s="165">
        <f t="shared" si="82"/>
        <v>2.3783783783783785</v>
      </c>
      <c r="J159" s="164">
        <f t="shared" si="78"/>
        <v>8.3283582089552244</v>
      </c>
      <c r="K159" s="179">
        <f t="shared" si="79"/>
        <v>440</v>
      </c>
      <c r="L159" s="163">
        <f t="shared" si="80"/>
        <v>558</v>
      </c>
      <c r="M159" s="164">
        <f t="shared" si="81"/>
        <v>6.9630590222305412E-4</v>
      </c>
    </row>
    <row r="160" spans="2:13" x14ac:dyDescent="0.25">
      <c r="B160" s="162" t="s">
        <v>131</v>
      </c>
      <c r="C160" s="163">
        <v>18</v>
      </c>
      <c r="D160" s="163">
        <v>63</v>
      </c>
      <c r="E160" s="163">
        <v>159</v>
      </c>
      <c r="F160" s="163">
        <v>155</v>
      </c>
      <c r="G160" s="163">
        <v>70</v>
      </c>
      <c r="H160" s="163">
        <v>1591</v>
      </c>
      <c r="I160" s="165">
        <f t="shared" si="82"/>
        <v>21.728571428571428</v>
      </c>
      <c r="J160" s="164">
        <f t="shared" si="78"/>
        <v>24.253968253968253</v>
      </c>
      <c r="K160" s="179">
        <f t="shared" si="79"/>
        <v>1521</v>
      </c>
      <c r="L160" s="163">
        <f t="shared" si="80"/>
        <v>1528</v>
      </c>
      <c r="M160" s="164">
        <f t="shared" si="81"/>
        <v>1.7725163046990065E-3</v>
      </c>
    </row>
    <row r="161" spans="2:13" x14ac:dyDescent="0.25">
      <c r="B161" s="168" t="s">
        <v>145</v>
      </c>
      <c r="C161" s="169">
        <f>IFERROR(C153-SUM(C154:C160),"nd")</f>
        <v>999</v>
      </c>
      <c r="D161" s="169">
        <f t="shared" ref="D161:H161" si="83">IFERROR(D153-SUM(D154:D160),"nd")</f>
        <v>871</v>
      </c>
      <c r="E161" s="169">
        <f t="shared" si="83"/>
        <v>507</v>
      </c>
      <c r="F161" s="169">
        <f t="shared" si="83"/>
        <v>1732</v>
      </c>
      <c r="G161" s="169">
        <f t="shared" si="83"/>
        <v>3090</v>
      </c>
      <c r="H161" s="169">
        <f t="shared" si="83"/>
        <v>3472</v>
      </c>
      <c r="I161" s="171">
        <f t="shared" si="82"/>
        <v>0.12362459546925564</v>
      </c>
      <c r="J161" s="170">
        <f t="shared" si="78"/>
        <v>2.986222732491389</v>
      </c>
      <c r="K161" s="180">
        <f t="shared" si="79"/>
        <v>382</v>
      </c>
      <c r="L161" s="169">
        <f t="shared" si="80"/>
        <v>2601</v>
      </c>
      <c r="M161" s="170">
        <f t="shared" si="81"/>
        <v>3.86811854802951E-3</v>
      </c>
    </row>
    <row r="162" spans="2:13" x14ac:dyDescent="0.25">
      <c r="C162" s="79"/>
      <c r="D162" s="79"/>
      <c r="E162" s="79"/>
      <c r="F162" s="79"/>
      <c r="G162" s="79"/>
      <c r="H162" s="79"/>
      <c r="I162" s="79"/>
    </row>
    <row r="163" spans="2:13" x14ac:dyDescent="0.25">
      <c r="B163" s="105" t="s">
        <v>55</v>
      </c>
      <c r="C163" s="105"/>
      <c r="D163" s="105"/>
      <c r="E163" s="105"/>
      <c r="F163" s="105"/>
      <c r="G163" s="105"/>
      <c r="H163" s="105"/>
      <c r="I163" s="105"/>
      <c r="J163" s="105"/>
      <c r="K163" s="105"/>
      <c r="L163" s="105"/>
      <c r="M163" s="105"/>
    </row>
  </sheetData>
  <mergeCells count="3">
    <mergeCell ref="B4:J4"/>
    <mergeCell ref="C6:M6"/>
    <mergeCell ref="Q6:AA6"/>
  </mergeCells>
  <pageMargins left="0.25" right="0.25" top="0.75" bottom="0.75" header="0.3" footer="0.3"/>
  <pageSetup paperSize="9" scale="88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A50867-83C1-49EA-AE5B-ED15E63D524B}">
  <sheetPr>
    <tabColor theme="7" tint="0.79998168889431442"/>
    <pageSetUpPr fitToPage="1"/>
  </sheetPr>
  <dimension ref="A1:AB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6" width="11.7109375" customWidth="1"/>
    <col min="7" max="8" width="11" customWidth="1"/>
    <col min="9" max="11" width="10.5703125" customWidth="1"/>
    <col min="12" max="15" width="11.7109375" customWidth="1"/>
    <col min="16" max="17" width="11" customWidth="1"/>
    <col min="18" max="20" width="10.5703125" customWidth="1"/>
    <col min="21" max="23" width="11.7109375" customWidth="1"/>
    <col min="24" max="25" width="11" customWidth="1"/>
    <col min="26" max="26" width="10.5703125" customWidth="1"/>
    <col min="27" max="27" width="13.28515625" customWidth="1"/>
    <col min="28" max="28" width="10.5703125" customWidth="1"/>
  </cols>
  <sheetData>
    <row r="1" spans="1:28" ht="42.75" customHeight="1" x14ac:dyDescent="0.25"/>
    <row r="3" spans="1:28" ht="42" customHeight="1" thickBot="1" x14ac:dyDescent="0.3">
      <c r="B3" s="141" t="str">
        <f>CONCATENATE("Viajeros entrados en los establecimientos hoteleros de Tenerife según lugar de residencia, categoría y municipio del alojamiento")</f>
        <v>Viajeros entrados en los establecimientos hoteleros de Tenerife según lugar de residencia, categoría y municipio del alojamiento</v>
      </c>
      <c r="C3" s="142"/>
      <c r="D3" s="142"/>
      <c r="E3" s="142"/>
      <c r="F3" s="142"/>
      <c r="G3" s="142"/>
      <c r="H3" s="142"/>
      <c r="I3" s="142"/>
      <c r="J3" s="142"/>
      <c r="K3" s="142"/>
      <c r="L3" s="142"/>
      <c r="M3" s="142"/>
      <c r="N3" s="142"/>
      <c r="O3" s="142"/>
      <c r="P3" s="142"/>
      <c r="Q3" s="142"/>
      <c r="R3" s="142"/>
      <c r="S3" s="142"/>
      <c r="T3" s="142"/>
      <c r="U3" s="142"/>
      <c r="V3" s="142"/>
      <c r="W3" s="142"/>
      <c r="X3" s="142"/>
      <c r="Y3" s="142"/>
      <c r="Z3" s="142"/>
      <c r="AA3" s="142"/>
      <c r="AB3" s="142"/>
    </row>
    <row r="4" spans="1:28" ht="6" customHeight="1" x14ac:dyDescent="0.25"/>
    <row r="5" spans="1:28" ht="15.75" x14ac:dyDescent="0.25">
      <c r="B5" s="181"/>
      <c r="C5" s="302" t="s">
        <v>62</v>
      </c>
      <c r="D5" s="303"/>
      <c r="E5" s="303"/>
      <c r="F5" s="303"/>
      <c r="G5" s="303"/>
      <c r="H5" s="303"/>
      <c r="I5" s="303"/>
      <c r="J5" s="303"/>
      <c r="K5" s="303"/>
      <c r="L5" s="302" t="s">
        <v>61</v>
      </c>
      <c r="M5" s="303"/>
      <c r="N5" s="303"/>
      <c r="O5" s="303"/>
      <c r="P5" s="303"/>
      <c r="Q5" s="303"/>
      <c r="R5" s="303"/>
      <c r="S5" s="303"/>
      <c r="T5" s="303"/>
      <c r="U5" s="302" t="s">
        <v>137</v>
      </c>
      <c r="V5" s="303"/>
      <c r="W5" s="303"/>
      <c r="X5" s="303"/>
      <c r="Y5" s="303"/>
      <c r="Z5" s="303"/>
      <c r="AA5" s="303"/>
      <c r="AB5" s="303"/>
    </row>
    <row r="6" spans="1:28" s="144" customFormat="1" ht="72" customHeight="1" x14ac:dyDescent="0.25">
      <c r="B6" s="145"/>
      <c r="C6" s="172" t="s">
        <v>262</v>
      </c>
      <c r="D6" s="172" t="s">
        <v>263</v>
      </c>
      <c r="E6" s="172" t="s">
        <v>269</v>
      </c>
      <c r="F6" s="172" t="s">
        <v>264</v>
      </c>
      <c r="G6" s="172" t="s">
        <v>265</v>
      </c>
      <c r="H6" s="172" t="s">
        <v>266</v>
      </c>
      <c r="I6" s="173" t="str">
        <f>CONCATENATE("var. ",RIGHT(H6,2),"/",RIGHT(G6,2))</f>
        <v>var. 24/23</v>
      </c>
      <c r="J6" s="173" t="str">
        <f>CONCATENATE("var. ",RIGHT(H6,2),"/",RIGHT(C6,2))</f>
        <v>var. 24/19</v>
      </c>
      <c r="K6" s="173" t="str">
        <f>CONCATENATE("Cuota s/ total lugares de residencia ",RIGHT(H6,4))</f>
        <v>Cuota s/ total lugares de residencia 2024</v>
      </c>
      <c r="L6" s="172" t="s">
        <v>262</v>
      </c>
      <c r="M6" s="172" t="s">
        <v>263</v>
      </c>
      <c r="N6" s="172" t="s">
        <v>269</v>
      </c>
      <c r="O6" s="172" t="s">
        <v>264</v>
      </c>
      <c r="P6" s="172" t="s">
        <v>265</v>
      </c>
      <c r="Q6" s="172" t="s">
        <v>266</v>
      </c>
      <c r="R6" s="173" t="str">
        <f>CONCATENATE("var. ",RIGHT(Q6,2),"/",RIGHT(P6,2))</f>
        <v>var. 24/23</v>
      </c>
      <c r="S6" s="173" t="str">
        <f>CONCATENATE("var. ",RIGHT(Q6,2),"/",RIGHT(L6,2))</f>
        <v>var. 24/19</v>
      </c>
      <c r="T6" s="173" t="str">
        <f>CONCATENATE("Cuota s/ total lugares de residencia ",RIGHT(Q6,4))</f>
        <v>Cuota s/ total lugares de residencia 2024</v>
      </c>
      <c r="U6" s="172" t="s">
        <v>262</v>
      </c>
      <c r="V6" s="172" t="s">
        <v>269</v>
      </c>
      <c r="W6" s="172" t="s">
        <v>264</v>
      </c>
      <c r="X6" s="172" t="s">
        <v>265</v>
      </c>
      <c r="Y6" s="172" t="s">
        <v>266</v>
      </c>
      <c r="Z6" s="173" t="str">
        <f>CONCATENATE("var. ",RIGHT(Y6,2),"/",RIGHT(X6,2))</f>
        <v>var. 24/23</v>
      </c>
      <c r="AA6" s="173" t="str">
        <f>CONCATENATE("var. ",RIGHT(Y6,2),"/",RIGHT(U6,2))</f>
        <v>var. 24/19</v>
      </c>
      <c r="AB6" s="173" t="str">
        <f>CONCATENATE("Cuota s/ total lugares de residencia ",RIGHT(Y6,4))</f>
        <v>Cuota s/ total lugares de residencia 2024</v>
      </c>
    </row>
    <row r="7" spans="1:28" x14ac:dyDescent="0.25">
      <c r="A7" s="1"/>
      <c r="B7" s="150" t="s">
        <v>43</v>
      </c>
      <c r="C7" s="151"/>
      <c r="D7" s="151"/>
      <c r="E7" s="151"/>
      <c r="F7" s="151"/>
      <c r="G7" s="151"/>
      <c r="H7" s="151"/>
      <c r="I7" s="151"/>
      <c r="J7" s="151"/>
      <c r="K7" s="151"/>
      <c r="L7" s="151"/>
      <c r="M7" s="151"/>
      <c r="N7" s="151"/>
      <c r="O7" s="151"/>
      <c r="P7" s="151"/>
      <c r="Q7" s="151"/>
      <c r="R7" s="151"/>
      <c r="S7" s="151"/>
      <c r="T7" s="151"/>
      <c r="U7" s="151"/>
      <c r="V7" s="151"/>
      <c r="W7" s="151"/>
      <c r="X7" s="151"/>
      <c r="Y7" s="151"/>
      <c r="Z7" s="151"/>
      <c r="AA7" s="151"/>
      <c r="AB7" s="151"/>
    </row>
    <row r="8" spans="1:28" x14ac:dyDescent="0.25">
      <c r="A8" s="1"/>
      <c r="B8" s="154" t="s">
        <v>68</v>
      </c>
      <c r="C8" s="176">
        <f t="shared" ref="C8:H8" si="0">C9+C12</f>
        <v>552847</v>
      </c>
      <c r="D8" s="176">
        <f t="shared" si="0"/>
        <v>206657</v>
      </c>
      <c r="E8" s="176">
        <f t="shared" si="0"/>
        <v>182034</v>
      </c>
      <c r="F8" s="176">
        <f t="shared" si="0"/>
        <v>490489</v>
      </c>
      <c r="G8" s="176">
        <f t="shared" si="0"/>
        <v>544113</v>
      </c>
      <c r="H8" s="176">
        <f t="shared" si="0"/>
        <v>563412</v>
      </c>
      <c r="I8" s="177">
        <f>IFERROR(H8/G8-1,"-")</f>
        <v>3.5468735354604597E-2</v>
      </c>
      <c r="J8" s="177">
        <f>IFERROR(H8/C8-1,"-")</f>
        <v>1.9110169721459958E-2</v>
      </c>
      <c r="K8" s="177">
        <f>H8/H$8</f>
        <v>1</v>
      </c>
      <c r="L8" s="176">
        <f t="shared" ref="L8:Q8" si="1">L9+L12</f>
        <v>2100189</v>
      </c>
      <c r="M8" s="176">
        <f t="shared" si="1"/>
        <v>795657</v>
      </c>
      <c r="N8" s="176">
        <f t="shared" si="1"/>
        <v>856378</v>
      </c>
      <c r="O8" s="176">
        <f t="shared" si="1"/>
        <v>2279770</v>
      </c>
      <c r="P8" s="176">
        <f t="shared" si="1"/>
        <v>2487865</v>
      </c>
      <c r="Q8" s="176">
        <f t="shared" si="1"/>
        <v>2634612</v>
      </c>
      <c r="R8" s="177">
        <f>IFERROR(Q8/P8-1,"-")</f>
        <v>5.8985113742104245E-2</v>
      </c>
      <c r="S8" s="177">
        <f>IFERROR(Q8/L8-1,"-")</f>
        <v>0.25446424107544607</v>
      </c>
      <c r="T8" s="177">
        <f>Q8/Q$8</f>
        <v>1</v>
      </c>
      <c r="U8" s="176">
        <f>U9+U12</f>
        <v>2653036</v>
      </c>
      <c r="V8" s="176">
        <f>V9+V12</f>
        <v>1038412</v>
      </c>
      <c r="W8" s="176">
        <f>W9+W12</f>
        <v>2770259</v>
      </c>
      <c r="X8" s="176">
        <f>X9+X12</f>
        <v>3031978</v>
      </c>
      <c r="Y8" s="176">
        <f>Y9+Y12</f>
        <v>3198024</v>
      </c>
      <c r="Z8" s="177">
        <f>IFERROR(Y8/X8-1,"-")</f>
        <v>5.4764909244064519E-2</v>
      </c>
      <c r="AA8" s="177">
        <f t="shared" ref="AA8:AA20" si="2">IFERROR(Y8/U8-1,"-")</f>
        <v>0.20542050692112723</v>
      </c>
      <c r="AB8" s="177">
        <f>Y8/Y$8</f>
        <v>1</v>
      </c>
    </row>
    <row r="9" spans="1:28" x14ac:dyDescent="0.25">
      <c r="A9" s="1"/>
      <c r="B9" s="157" t="s">
        <v>97</v>
      </c>
      <c r="C9" s="158">
        <v>143245</v>
      </c>
      <c r="D9" s="158">
        <v>63026</v>
      </c>
      <c r="E9" s="158">
        <v>85270</v>
      </c>
      <c r="F9" s="158">
        <v>133164</v>
      </c>
      <c r="G9" s="158">
        <v>160810</v>
      </c>
      <c r="H9" s="158">
        <v>166766</v>
      </c>
      <c r="I9" s="159">
        <f>IFERROR(H9/G9-1,"-")</f>
        <v>3.7037497668055419E-2</v>
      </c>
      <c r="J9" s="160">
        <f>IFERROR(H9/C9-1,"-")</f>
        <v>0.16420119375894449</v>
      </c>
      <c r="K9" s="159">
        <f>H9/H$8</f>
        <v>0.295992985594911</v>
      </c>
      <c r="L9" s="158">
        <v>526913</v>
      </c>
      <c r="M9" s="158">
        <v>228825</v>
      </c>
      <c r="N9" s="158">
        <v>412198</v>
      </c>
      <c r="O9" s="158">
        <v>540915</v>
      </c>
      <c r="P9" s="158">
        <v>536888</v>
      </c>
      <c r="Q9" s="158">
        <v>527976</v>
      </c>
      <c r="R9" s="159">
        <f>IFERROR(Q9/P9-1,"-")</f>
        <v>-1.6599365230737129E-2</v>
      </c>
      <c r="S9" s="160">
        <f>IFERROR(Q9/L9-1,"-")</f>
        <v>2.0174108439154903E-3</v>
      </c>
      <c r="T9" s="159">
        <f>Q9/Q$8</f>
        <v>0.2003999070830923</v>
      </c>
      <c r="U9" s="158">
        <v>670158</v>
      </c>
      <c r="V9" s="158">
        <v>497468</v>
      </c>
      <c r="W9" s="158">
        <v>674079</v>
      </c>
      <c r="X9" s="158">
        <v>697698</v>
      </c>
      <c r="Y9" s="158">
        <v>694742</v>
      </c>
      <c r="Z9" s="159">
        <f>IFERROR(Y9/X9-1,"-")</f>
        <v>-4.2367901298269173E-3</v>
      </c>
      <c r="AA9" s="160">
        <f t="shared" si="2"/>
        <v>3.6683886486470252E-2</v>
      </c>
      <c r="AB9" s="159">
        <f>Y9/Y$8</f>
        <v>0.21724102133067169</v>
      </c>
    </row>
    <row r="10" spans="1:28" x14ac:dyDescent="0.25">
      <c r="A10" s="161"/>
      <c r="B10" s="162" t="s">
        <v>103</v>
      </c>
      <c r="C10" s="163">
        <v>70115</v>
      </c>
      <c r="D10" s="163">
        <v>27532</v>
      </c>
      <c r="E10" s="163">
        <v>56364</v>
      </c>
      <c r="F10" s="163">
        <v>76620</v>
      </c>
      <c r="G10" s="163">
        <v>91437</v>
      </c>
      <c r="H10" s="163">
        <v>94400</v>
      </c>
      <c r="I10" s="164">
        <f>IFERROR(H10/G10-1,"-")</f>
        <v>3.2404825180178731E-2</v>
      </c>
      <c r="J10" s="165">
        <f>IFERROR(H10/C10-1,"-")</f>
        <v>0.34635955216430148</v>
      </c>
      <c r="K10" s="164">
        <f>H10/H$8</f>
        <v>0.16755056690308337</v>
      </c>
      <c r="L10" s="163">
        <v>173186</v>
      </c>
      <c r="M10" s="163">
        <v>80020</v>
      </c>
      <c r="N10" s="163">
        <v>192429</v>
      </c>
      <c r="O10" s="163">
        <v>189053</v>
      </c>
      <c r="P10" s="163">
        <v>182067</v>
      </c>
      <c r="Q10" s="163">
        <v>175239</v>
      </c>
      <c r="R10" s="164">
        <f>IFERROR(Q10/P10-1,"-")</f>
        <v>-3.7502677585723898E-2</v>
      </c>
      <c r="S10" s="165">
        <f>IFERROR(Q10/L10-1,"-")</f>
        <v>1.185430693012135E-2</v>
      </c>
      <c r="T10" s="164">
        <f>Q10/Q$8</f>
        <v>6.6514158441546609E-2</v>
      </c>
      <c r="U10" s="163">
        <v>243301</v>
      </c>
      <c r="V10" s="163">
        <v>248793</v>
      </c>
      <c r="W10" s="163">
        <v>265673</v>
      </c>
      <c r="X10" s="163">
        <v>273504</v>
      </c>
      <c r="Y10" s="163">
        <v>269639</v>
      </c>
      <c r="Z10" s="164">
        <f>IFERROR(Y10/X10-1,"-")</f>
        <v>-1.4131420381420345E-2</v>
      </c>
      <c r="AA10" s="165">
        <f t="shared" si="2"/>
        <v>0.10825274043263278</v>
      </c>
      <c r="AB10" s="164">
        <f>Y10/Y$8</f>
        <v>8.4314251550332328E-2</v>
      </c>
    </row>
    <row r="11" spans="1:28" x14ac:dyDescent="0.25">
      <c r="A11" s="161"/>
      <c r="B11" s="162" t="s">
        <v>100</v>
      </c>
      <c r="C11" s="163">
        <v>73130</v>
      </c>
      <c r="D11" s="163">
        <v>35494</v>
      </c>
      <c r="E11" s="163">
        <v>28906</v>
      </c>
      <c r="F11" s="163">
        <v>56544</v>
      </c>
      <c r="G11" s="163">
        <v>69373</v>
      </c>
      <c r="H11" s="163">
        <v>72366</v>
      </c>
      <c r="I11" s="164">
        <f>IFERROR(H11/G11-1,"-")</f>
        <v>4.3143586121401789E-2</v>
      </c>
      <c r="J11" s="165">
        <f>IFERROR(H11/C11-1,"-")</f>
        <v>-1.0447148912894888E-2</v>
      </c>
      <c r="K11" s="164">
        <f>H11/H$8</f>
        <v>0.12844241869182765</v>
      </c>
      <c r="L11" s="163">
        <v>353727</v>
      </c>
      <c r="M11" s="163">
        <v>148805</v>
      </c>
      <c r="N11" s="163">
        <v>219769</v>
      </c>
      <c r="O11" s="163">
        <v>351862</v>
      </c>
      <c r="P11" s="163">
        <v>354821</v>
      </c>
      <c r="Q11" s="163">
        <v>352737</v>
      </c>
      <c r="R11" s="164">
        <f>IFERROR(Q11/P11-1,"-")</f>
        <v>-5.873384044349117E-3</v>
      </c>
      <c r="S11" s="165">
        <f>IFERROR(Q11/L11-1,"-")</f>
        <v>-2.7987685418415786E-3</v>
      </c>
      <c r="T11" s="164">
        <f>Q11/Q$8</f>
        <v>0.1338857486415457</v>
      </c>
      <c r="U11" s="163">
        <v>426857</v>
      </c>
      <c r="V11" s="163">
        <v>248675</v>
      </c>
      <c r="W11" s="163">
        <v>408406</v>
      </c>
      <c r="X11" s="163">
        <v>424194</v>
      </c>
      <c r="Y11" s="163">
        <v>425103</v>
      </c>
      <c r="Z11" s="164">
        <f>IFERROR(Y11/X11-1,"-")</f>
        <v>2.1428874524391794E-3</v>
      </c>
      <c r="AA11" s="165">
        <f t="shared" si="2"/>
        <v>-4.1091044541848865E-3</v>
      </c>
      <c r="AB11" s="164">
        <f>Y11/Y$8</f>
        <v>0.13292676978033935</v>
      </c>
    </row>
    <row r="12" spans="1:28" x14ac:dyDescent="0.25">
      <c r="A12" s="1"/>
      <c r="B12" s="157" t="s">
        <v>107</v>
      </c>
      <c r="C12" s="158">
        <v>409602</v>
      </c>
      <c r="D12" s="158">
        <v>143631</v>
      </c>
      <c r="E12" s="158">
        <v>96764</v>
      </c>
      <c r="F12" s="158">
        <v>357325</v>
      </c>
      <c r="G12" s="158">
        <v>383303</v>
      </c>
      <c r="H12" s="158">
        <v>396646</v>
      </c>
      <c r="I12" s="159">
        <f>IFERROR(H12/G12-1,"-")</f>
        <v>3.4810580663339419E-2</v>
      </c>
      <c r="J12" s="160">
        <f>IFERROR(H12/C12-1,"-")</f>
        <v>-3.1630704928198639E-2</v>
      </c>
      <c r="K12" s="159">
        <f>H12/H$8</f>
        <v>0.70400701440508895</v>
      </c>
      <c r="L12" s="158">
        <v>1573276</v>
      </c>
      <c r="M12" s="158">
        <v>566832</v>
      </c>
      <c r="N12" s="158">
        <v>444180</v>
      </c>
      <c r="O12" s="158">
        <v>1738855</v>
      </c>
      <c r="P12" s="158">
        <v>1950977</v>
      </c>
      <c r="Q12" s="158">
        <v>2106636</v>
      </c>
      <c r="R12" s="159">
        <f>IFERROR(Q12/P12-1,"-")</f>
        <v>7.9785153797302666E-2</v>
      </c>
      <c r="S12" s="160">
        <f>IFERROR(Q12/L12-1,"-")</f>
        <v>0.33901235384001271</v>
      </c>
      <c r="T12" s="159">
        <f>Q12/Q$8</f>
        <v>0.7996000929169077</v>
      </c>
      <c r="U12" s="158">
        <v>1982878</v>
      </c>
      <c r="V12" s="158">
        <v>540944</v>
      </c>
      <c r="W12" s="158">
        <v>2096180</v>
      </c>
      <c r="X12" s="158">
        <v>2334280</v>
      </c>
      <c r="Y12" s="158">
        <v>2503282</v>
      </c>
      <c r="Z12" s="159">
        <f>IFERROR(Y12/X12-1,"-")</f>
        <v>7.2400054834895533E-2</v>
      </c>
      <c r="AA12" s="160">
        <f t="shared" si="2"/>
        <v>0.26244882438556472</v>
      </c>
      <c r="AB12" s="159">
        <f>Y12/Y$8</f>
        <v>0.78275897866932831</v>
      </c>
    </row>
    <row r="13" spans="1:28" s="56" customFormat="1" x14ac:dyDescent="0.25">
      <c r="B13" s="162" t="s">
        <v>110</v>
      </c>
      <c r="C13" s="163">
        <v>146700</v>
      </c>
      <c r="D13" s="163">
        <v>46785</v>
      </c>
      <c r="E13" s="163">
        <v>17307</v>
      </c>
      <c r="F13" s="163">
        <v>135105</v>
      </c>
      <c r="G13" s="163">
        <v>152246</v>
      </c>
      <c r="H13" s="163">
        <v>152422</v>
      </c>
      <c r="I13" s="164">
        <f t="shared" ref="I13:I20" si="3">IFERROR(H13/G13-1,"-")</f>
        <v>1.1560238035810411E-3</v>
      </c>
      <c r="J13" s="165">
        <f t="shared" ref="J13:J20" si="4">IFERROR(H13/C13-1,"-")</f>
        <v>3.9004771642808356E-2</v>
      </c>
      <c r="K13" s="164">
        <f t="shared" ref="K13:K20" si="5">H13/H$8</f>
        <v>0.27053381894599332</v>
      </c>
      <c r="L13" s="163">
        <v>712375</v>
      </c>
      <c r="M13" s="163">
        <v>220258</v>
      </c>
      <c r="N13" s="163">
        <v>88327</v>
      </c>
      <c r="O13" s="163">
        <v>834684</v>
      </c>
      <c r="P13" s="163">
        <v>928553</v>
      </c>
      <c r="Q13" s="163">
        <v>997105</v>
      </c>
      <c r="R13" s="164">
        <f t="shared" ref="R13:R20" si="6">IFERROR(Q13/P13-1,"-")</f>
        <v>7.382669594519653E-2</v>
      </c>
      <c r="S13" s="165">
        <f t="shared" ref="S13:S20" si="7">IFERROR(Q13/L13-1,"-")</f>
        <v>0.39969117389015607</v>
      </c>
      <c r="T13" s="164">
        <f t="shared" ref="T13:T20" si="8">Q13/Q$8</f>
        <v>0.37846369788037099</v>
      </c>
      <c r="U13" s="163">
        <v>859075</v>
      </c>
      <c r="V13" s="163">
        <v>105634</v>
      </c>
      <c r="W13" s="163">
        <v>969789</v>
      </c>
      <c r="X13" s="163">
        <v>1080799</v>
      </c>
      <c r="Y13" s="163">
        <v>1149527</v>
      </c>
      <c r="Z13" s="164">
        <f t="shared" ref="Z13:Z20" si="9">IFERROR(Y13/X13-1,"-")</f>
        <v>6.3589992218719749E-2</v>
      </c>
      <c r="AA13" s="165">
        <f t="shared" si="2"/>
        <v>0.33809853621627917</v>
      </c>
      <c r="AB13" s="164">
        <f t="shared" ref="AB13:AB20" si="10">Y13/Y$8</f>
        <v>0.35944914734848771</v>
      </c>
    </row>
    <row r="14" spans="1:28" s="56" customFormat="1" x14ac:dyDescent="0.25">
      <c r="B14" s="162" t="s">
        <v>113</v>
      </c>
      <c r="C14" s="163">
        <v>59580</v>
      </c>
      <c r="D14" s="163">
        <v>21287</v>
      </c>
      <c r="E14" s="163">
        <v>18420</v>
      </c>
      <c r="F14" s="163">
        <v>44395</v>
      </c>
      <c r="G14" s="163">
        <v>50829</v>
      </c>
      <c r="H14" s="163">
        <v>51984</v>
      </c>
      <c r="I14" s="164">
        <f t="shared" si="3"/>
        <v>2.2723248539219698E-2</v>
      </c>
      <c r="J14" s="165">
        <f t="shared" si="4"/>
        <v>-0.12749244712990937</v>
      </c>
      <c r="K14" s="164">
        <f t="shared" si="5"/>
        <v>9.2266405401375901E-2</v>
      </c>
      <c r="L14" s="163">
        <v>246578</v>
      </c>
      <c r="M14" s="163">
        <v>81653</v>
      </c>
      <c r="N14" s="163">
        <v>72712</v>
      </c>
      <c r="O14" s="163">
        <v>190050</v>
      </c>
      <c r="P14" s="163">
        <v>218113</v>
      </c>
      <c r="Q14" s="163">
        <v>225157</v>
      </c>
      <c r="R14" s="164">
        <f t="shared" si="6"/>
        <v>3.2295186440056245E-2</v>
      </c>
      <c r="S14" s="165">
        <f t="shared" si="7"/>
        <v>-8.6873119256381304E-2</v>
      </c>
      <c r="T14" s="164">
        <f t="shared" si="8"/>
        <v>8.5461160884411067E-2</v>
      </c>
      <c r="U14" s="163">
        <v>306158</v>
      </c>
      <c r="V14" s="163">
        <v>91132</v>
      </c>
      <c r="W14" s="163">
        <v>234445</v>
      </c>
      <c r="X14" s="163">
        <v>268942</v>
      </c>
      <c r="Y14" s="163">
        <v>277141</v>
      </c>
      <c r="Z14" s="164">
        <f t="shared" si="9"/>
        <v>3.0486127120345596E-2</v>
      </c>
      <c r="AA14" s="165">
        <f t="shared" si="2"/>
        <v>-9.4777859797882114E-2</v>
      </c>
      <c r="AB14" s="164">
        <f t="shared" si="10"/>
        <v>8.6660075096372011E-2</v>
      </c>
    </row>
    <row r="15" spans="1:28" x14ac:dyDescent="0.25">
      <c r="A15" s="1"/>
      <c r="B15" s="162" t="s">
        <v>116</v>
      </c>
      <c r="C15" s="163">
        <v>23544</v>
      </c>
      <c r="D15" s="163">
        <v>9288</v>
      </c>
      <c r="E15" s="163">
        <v>13149</v>
      </c>
      <c r="F15" s="163">
        <v>23828</v>
      </c>
      <c r="G15" s="163">
        <v>26293</v>
      </c>
      <c r="H15" s="163">
        <v>25148</v>
      </c>
      <c r="I15" s="164">
        <f t="shared" si="3"/>
        <v>-4.3547712318868115E-2</v>
      </c>
      <c r="J15" s="165">
        <f t="shared" si="4"/>
        <v>6.8127760788311287E-2</v>
      </c>
      <c r="K15" s="164">
        <f t="shared" si="5"/>
        <v>4.4635187038969709E-2</v>
      </c>
      <c r="L15" s="163">
        <v>82152</v>
      </c>
      <c r="M15" s="163">
        <v>30162</v>
      </c>
      <c r="N15" s="163">
        <v>52248</v>
      </c>
      <c r="O15" s="163">
        <v>97158</v>
      </c>
      <c r="P15" s="163">
        <v>105684</v>
      </c>
      <c r="Q15" s="163">
        <v>120242</v>
      </c>
      <c r="R15" s="164">
        <f t="shared" si="6"/>
        <v>0.13775027440293708</v>
      </c>
      <c r="S15" s="165">
        <f>IFERROR(Q15/L15-1,"-")</f>
        <v>0.46365274126010325</v>
      </c>
      <c r="T15" s="164">
        <f t="shared" si="8"/>
        <v>4.5639357901656866E-2</v>
      </c>
      <c r="U15" s="163">
        <v>105696</v>
      </c>
      <c r="V15" s="163">
        <v>65397</v>
      </c>
      <c r="W15" s="163">
        <v>120986</v>
      </c>
      <c r="X15" s="163">
        <v>131977</v>
      </c>
      <c r="Y15" s="163">
        <v>145390</v>
      </c>
      <c r="Z15" s="164">
        <f t="shared" si="9"/>
        <v>0.10163134485554304</v>
      </c>
      <c r="AA15" s="165">
        <f t="shared" si="2"/>
        <v>0.37554874356645485</v>
      </c>
      <c r="AB15" s="164">
        <f t="shared" si="10"/>
        <v>4.5462448061678089E-2</v>
      </c>
    </row>
    <row r="16" spans="1:28" x14ac:dyDescent="0.25">
      <c r="A16" s="1"/>
      <c r="B16" s="162" t="s">
        <v>123</v>
      </c>
      <c r="C16" s="163">
        <v>11675</v>
      </c>
      <c r="D16" s="163">
        <v>4149</v>
      </c>
      <c r="E16" s="163">
        <v>2771</v>
      </c>
      <c r="F16" s="163">
        <v>14530</v>
      </c>
      <c r="G16" s="163">
        <v>10452</v>
      </c>
      <c r="H16" s="163">
        <v>10045</v>
      </c>
      <c r="I16" s="164">
        <f t="shared" si="3"/>
        <v>-3.8939915805587422E-2</v>
      </c>
      <c r="J16" s="165">
        <f t="shared" si="4"/>
        <v>-0.13961456102783731</v>
      </c>
      <c r="K16" s="164">
        <f t="shared" si="5"/>
        <v>1.7828871234549494E-2</v>
      </c>
      <c r="L16" s="163">
        <v>56417</v>
      </c>
      <c r="M16" s="163">
        <v>21111</v>
      </c>
      <c r="N16" s="163">
        <v>28283</v>
      </c>
      <c r="O16" s="163">
        <v>81146</v>
      </c>
      <c r="P16" s="163">
        <v>76710</v>
      </c>
      <c r="Q16" s="163">
        <v>84668</v>
      </c>
      <c r="R16" s="164">
        <f t="shared" si="6"/>
        <v>0.1037413635771085</v>
      </c>
      <c r="S16" s="165">
        <f t="shared" si="7"/>
        <v>0.50075331903504261</v>
      </c>
      <c r="T16" s="164">
        <f t="shared" si="8"/>
        <v>3.2136800409320231E-2</v>
      </c>
      <c r="U16" s="163">
        <v>68092</v>
      </c>
      <c r="V16" s="163">
        <v>31054</v>
      </c>
      <c r="W16" s="163">
        <v>95676</v>
      </c>
      <c r="X16" s="163">
        <v>87162</v>
      </c>
      <c r="Y16" s="163">
        <v>94713</v>
      </c>
      <c r="Z16" s="164">
        <f t="shared" si="9"/>
        <v>8.6631789082398214E-2</v>
      </c>
      <c r="AA16" s="165">
        <f t="shared" si="2"/>
        <v>0.39095635316924171</v>
      </c>
      <c r="AB16" s="164">
        <f t="shared" si="10"/>
        <v>2.9616100442022949E-2</v>
      </c>
    </row>
    <row r="17" spans="1:28" x14ac:dyDescent="0.25">
      <c r="A17" s="56"/>
      <c r="B17" s="162" t="s">
        <v>119</v>
      </c>
      <c r="C17" s="163">
        <v>9511</v>
      </c>
      <c r="D17" s="163">
        <v>4665</v>
      </c>
      <c r="E17" s="163">
        <v>2821</v>
      </c>
      <c r="F17" s="163">
        <v>7603</v>
      </c>
      <c r="G17" s="163">
        <v>7311</v>
      </c>
      <c r="H17" s="163">
        <v>6802</v>
      </c>
      <c r="I17" s="164">
        <f t="shared" si="3"/>
        <v>-6.962111886198874E-2</v>
      </c>
      <c r="J17" s="165">
        <f t="shared" si="4"/>
        <v>-0.28482809378614238</v>
      </c>
      <c r="K17" s="164">
        <f t="shared" si="5"/>
        <v>1.2072870297402257E-2</v>
      </c>
      <c r="L17" s="163">
        <v>78091</v>
      </c>
      <c r="M17" s="163">
        <v>37509</v>
      </c>
      <c r="N17" s="163">
        <v>37313</v>
      </c>
      <c r="O17" s="163">
        <v>87782</v>
      </c>
      <c r="P17" s="163">
        <v>90041</v>
      </c>
      <c r="Q17" s="163">
        <v>95977</v>
      </c>
      <c r="R17" s="164">
        <f t="shared" si="6"/>
        <v>6.5925522817383175E-2</v>
      </c>
      <c r="S17" s="165">
        <f t="shared" si="7"/>
        <v>0.22904047841620678</v>
      </c>
      <c r="T17" s="164">
        <f t="shared" si="8"/>
        <v>3.6429273077022345E-2</v>
      </c>
      <c r="U17" s="163">
        <v>87602</v>
      </c>
      <c r="V17" s="163">
        <v>40134</v>
      </c>
      <c r="W17" s="163">
        <v>95385</v>
      </c>
      <c r="X17" s="163">
        <v>97352</v>
      </c>
      <c r="Y17" s="163">
        <v>102779</v>
      </c>
      <c r="Z17" s="164">
        <f t="shared" si="9"/>
        <v>5.5746158271016588E-2</v>
      </c>
      <c r="AA17" s="165">
        <f t="shared" si="2"/>
        <v>0.17324946919020112</v>
      </c>
      <c r="AB17" s="164">
        <f t="shared" si="10"/>
        <v>3.2138282889684379E-2</v>
      </c>
    </row>
    <row r="18" spans="1:28" x14ac:dyDescent="0.25">
      <c r="A18" s="56"/>
      <c r="B18" s="162" t="s">
        <v>128</v>
      </c>
      <c r="C18" s="163">
        <v>10342</v>
      </c>
      <c r="D18" s="163">
        <v>3296</v>
      </c>
      <c r="E18" s="163">
        <v>296</v>
      </c>
      <c r="F18" s="163">
        <v>3891</v>
      </c>
      <c r="G18" s="163">
        <v>4488</v>
      </c>
      <c r="H18" s="163">
        <v>3508</v>
      </c>
      <c r="I18" s="164">
        <f t="shared" si="3"/>
        <v>-0.21836007130124779</v>
      </c>
      <c r="J18" s="165">
        <f t="shared" si="4"/>
        <v>-0.66080061883581509</v>
      </c>
      <c r="K18" s="164">
        <f t="shared" si="5"/>
        <v>6.2263494565255977E-3</v>
      </c>
      <c r="L18" s="163">
        <v>21140</v>
      </c>
      <c r="M18" s="163">
        <v>14792</v>
      </c>
      <c r="N18" s="163">
        <v>1765</v>
      </c>
      <c r="O18" s="163">
        <v>20832</v>
      </c>
      <c r="P18" s="163">
        <v>26366</v>
      </c>
      <c r="Q18" s="163">
        <v>24615</v>
      </c>
      <c r="R18" s="164">
        <f t="shared" si="6"/>
        <v>-6.6411287263900443E-2</v>
      </c>
      <c r="S18" s="165">
        <f t="shared" si="7"/>
        <v>0.16438032166508987</v>
      </c>
      <c r="T18" s="164">
        <f t="shared" si="8"/>
        <v>9.3429317106275989E-3</v>
      </c>
      <c r="U18" s="163">
        <v>31482</v>
      </c>
      <c r="V18" s="163">
        <v>2061</v>
      </c>
      <c r="W18" s="163">
        <v>24723</v>
      </c>
      <c r="X18" s="163">
        <v>30854</v>
      </c>
      <c r="Y18" s="163">
        <v>28123</v>
      </c>
      <c r="Z18" s="164">
        <f t="shared" si="9"/>
        <v>-8.8513644908277733E-2</v>
      </c>
      <c r="AA18" s="165">
        <f t="shared" si="2"/>
        <v>-0.10669588971475763</v>
      </c>
      <c r="AB18" s="164">
        <f t="shared" si="10"/>
        <v>8.7938677133129715E-3</v>
      </c>
    </row>
    <row r="19" spans="1:28" x14ac:dyDescent="0.25">
      <c r="A19" s="56"/>
      <c r="B19" s="162" t="s">
        <v>131</v>
      </c>
      <c r="C19" s="163">
        <v>7240</v>
      </c>
      <c r="D19" s="163">
        <v>3329</v>
      </c>
      <c r="E19" s="163">
        <v>315</v>
      </c>
      <c r="F19" s="163">
        <v>2113</v>
      </c>
      <c r="G19" s="163">
        <v>2621</v>
      </c>
      <c r="H19" s="163">
        <v>2135</v>
      </c>
      <c r="I19" s="164">
        <f t="shared" si="3"/>
        <v>-0.18542541014879821</v>
      </c>
      <c r="J19" s="165">
        <f t="shared" si="4"/>
        <v>-0.70511049723756902</v>
      </c>
      <c r="K19" s="164">
        <f t="shared" si="5"/>
        <v>3.7894116561237603E-3</v>
      </c>
      <c r="L19" s="163">
        <v>27754</v>
      </c>
      <c r="M19" s="163">
        <v>20961</v>
      </c>
      <c r="N19" s="163">
        <v>1460</v>
      </c>
      <c r="O19" s="163">
        <v>14963</v>
      </c>
      <c r="P19" s="163">
        <v>23981</v>
      </c>
      <c r="Q19" s="163">
        <v>22747</v>
      </c>
      <c r="R19" s="164">
        <f t="shared" si="6"/>
        <v>-5.1457403777990907E-2</v>
      </c>
      <c r="S19" s="165">
        <f t="shared" si="7"/>
        <v>-0.18040642790228434</v>
      </c>
      <c r="T19" s="164">
        <f t="shared" si="8"/>
        <v>8.6339089019559622E-3</v>
      </c>
      <c r="U19" s="163">
        <v>34994</v>
      </c>
      <c r="V19" s="163">
        <v>1775</v>
      </c>
      <c r="W19" s="163">
        <v>17076</v>
      </c>
      <c r="X19" s="163">
        <v>26602</v>
      </c>
      <c r="Y19" s="163">
        <v>24882</v>
      </c>
      <c r="Z19" s="164">
        <f t="shared" si="9"/>
        <v>-6.4656792722351697E-2</v>
      </c>
      <c r="AA19" s="165">
        <f t="shared" si="2"/>
        <v>-0.28896382236954909</v>
      </c>
      <c r="AB19" s="164">
        <f t="shared" si="10"/>
        <v>7.7804294151638635E-3</v>
      </c>
    </row>
    <row r="20" spans="1:28" x14ac:dyDescent="0.25">
      <c r="A20" s="56"/>
      <c r="B20" s="168" t="s">
        <v>145</v>
      </c>
      <c r="C20" s="169">
        <f t="shared" ref="C20:H20" si="11">C12-SUM(C13:C19)</f>
        <v>141010</v>
      </c>
      <c r="D20" s="169">
        <f t="shared" si="11"/>
        <v>50832</v>
      </c>
      <c r="E20" s="169">
        <f t="shared" si="11"/>
        <v>41685</v>
      </c>
      <c r="F20" s="169">
        <f t="shared" si="11"/>
        <v>125860</v>
      </c>
      <c r="G20" s="169">
        <f t="shared" si="11"/>
        <v>129063</v>
      </c>
      <c r="H20" s="169">
        <f t="shared" si="11"/>
        <v>144602</v>
      </c>
      <c r="I20" s="170">
        <f t="shared" si="3"/>
        <v>0.12039856504187885</v>
      </c>
      <c r="J20" s="171">
        <f t="shared" si="4"/>
        <v>2.5473370682930208E-2</v>
      </c>
      <c r="K20" s="170">
        <f t="shared" si="5"/>
        <v>0.25665410037414893</v>
      </c>
      <c r="L20" s="169">
        <f t="shared" ref="L20:Q20" si="12">L12-SUM(L13:L19)</f>
        <v>348769</v>
      </c>
      <c r="M20" s="169">
        <f t="shared" si="12"/>
        <v>140386</v>
      </c>
      <c r="N20" s="169">
        <f t="shared" si="12"/>
        <v>162072</v>
      </c>
      <c r="O20" s="169">
        <f t="shared" si="12"/>
        <v>412240</v>
      </c>
      <c r="P20" s="169">
        <f t="shared" si="12"/>
        <v>481529</v>
      </c>
      <c r="Q20" s="169">
        <f t="shared" si="12"/>
        <v>536125</v>
      </c>
      <c r="R20" s="170">
        <f t="shared" si="6"/>
        <v>0.11338050252425091</v>
      </c>
      <c r="S20" s="171">
        <f t="shared" si="7"/>
        <v>0.53719223898913038</v>
      </c>
      <c r="T20" s="170">
        <f t="shared" si="8"/>
        <v>0.20349296215154261</v>
      </c>
      <c r="U20" s="169">
        <f>U12-SUM(U13:U19)</f>
        <v>489779</v>
      </c>
      <c r="V20" s="169">
        <f>V12-SUM(V13:V19)</f>
        <v>203757</v>
      </c>
      <c r="W20" s="169">
        <f>W12-SUM(W13:W19)</f>
        <v>538100</v>
      </c>
      <c r="X20" s="169">
        <f>X12-SUM(X13:X19)</f>
        <v>610592</v>
      </c>
      <c r="Y20" s="169">
        <f>Y12-SUM(Y13:Y19)</f>
        <v>680727</v>
      </c>
      <c r="Z20" s="170">
        <f t="shared" si="9"/>
        <v>0.11486393532833716</v>
      </c>
      <c r="AA20" s="171">
        <f t="shared" si="2"/>
        <v>0.38986563327541601</v>
      </c>
      <c r="AB20" s="170">
        <f t="shared" si="10"/>
        <v>0.21285862770260636</v>
      </c>
    </row>
    <row r="21" spans="1:28" x14ac:dyDescent="0.25">
      <c r="A21" s="56"/>
      <c r="B21" s="153" t="s">
        <v>44</v>
      </c>
      <c r="C21" s="151"/>
      <c r="D21" s="151"/>
      <c r="E21" s="151"/>
      <c r="F21" s="151"/>
      <c r="G21" s="151"/>
      <c r="H21" s="151"/>
      <c r="I21" s="151"/>
      <c r="J21" s="151"/>
      <c r="K21" s="151"/>
      <c r="L21" s="151"/>
      <c r="M21" s="151"/>
      <c r="N21" s="151"/>
      <c r="O21" s="151"/>
      <c r="P21" s="151"/>
      <c r="Q21" s="151"/>
      <c r="R21" s="151"/>
      <c r="S21" s="151"/>
      <c r="T21" s="151"/>
      <c r="U21" s="151"/>
      <c r="V21" s="151"/>
      <c r="W21" s="151"/>
      <c r="X21" s="151"/>
      <c r="Y21" s="151"/>
      <c r="Z21" s="151"/>
      <c r="AA21" s="151"/>
      <c r="AB21" s="151"/>
    </row>
    <row r="22" spans="1:28" x14ac:dyDescent="0.25">
      <c r="A22" s="56"/>
      <c r="B22" s="154" t="s">
        <v>68</v>
      </c>
      <c r="C22" s="176">
        <f t="shared" ref="C22:H22" si="13">C23+C26</f>
        <v>164853</v>
      </c>
      <c r="D22" s="176">
        <f t="shared" si="13"/>
        <v>39605</v>
      </c>
      <c r="E22" s="176">
        <f t="shared" si="13"/>
        <v>27018</v>
      </c>
      <c r="F22" s="176">
        <f t="shared" si="13"/>
        <v>119981</v>
      </c>
      <c r="G22" s="176">
        <f t="shared" si="13"/>
        <v>123731</v>
      </c>
      <c r="H22" s="176">
        <f t="shared" si="13"/>
        <v>115276</v>
      </c>
      <c r="I22" s="177">
        <f>IFERROR(H22/G22-1,"-")</f>
        <v>-6.8333723965699811E-2</v>
      </c>
      <c r="J22" s="177">
        <f>IFERROR(H22/C22-1,"-")</f>
        <v>-0.30073459385027879</v>
      </c>
      <c r="K22" s="177">
        <f>H22/H$8</f>
        <v>0.20460338082965929</v>
      </c>
      <c r="L22" s="176">
        <f t="shared" ref="L22:Q22" si="14">L23+L26</f>
        <v>858685</v>
      </c>
      <c r="M22" s="176">
        <f t="shared" si="14"/>
        <v>313172</v>
      </c>
      <c r="N22" s="176">
        <f t="shared" si="14"/>
        <v>398389</v>
      </c>
      <c r="O22" s="176">
        <f t="shared" si="14"/>
        <v>987366</v>
      </c>
      <c r="P22" s="176">
        <f t="shared" si="14"/>
        <v>1021223</v>
      </c>
      <c r="Q22" s="176">
        <f t="shared" si="14"/>
        <v>1064916</v>
      </c>
      <c r="R22" s="177">
        <f>IFERROR(Q22/P22-1,"-")</f>
        <v>4.278497448647367E-2</v>
      </c>
      <c r="S22" s="177">
        <f>IFERROR(Q22/L22-1,"-")</f>
        <v>0.24017072616850177</v>
      </c>
      <c r="T22" s="177">
        <f>Q22/Q$8</f>
        <v>0.4042022126977331</v>
      </c>
      <c r="U22" s="176">
        <f>U23+U26</f>
        <v>1023538</v>
      </c>
      <c r="V22" s="176">
        <f>V23+V26</f>
        <v>425407</v>
      </c>
      <c r="W22" s="176">
        <f>W23+W26</f>
        <v>1107347</v>
      </c>
      <c r="X22" s="176">
        <f>X23+X26</f>
        <v>1144954</v>
      </c>
      <c r="Y22" s="176">
        <f>Y23+Y26</f>
        <v>1180192</v>
      </c>
      <c r="Z22" s="177">
        <f>IFERROR(Y22/X22-1,"-")</f>
        <v>3.077678229867753E-2</v>
      </c>
      <c r="AA22" s="177">
        <f t="shared" ref="AA22:AA34" si="15">IFERROR(Y22/U22-1,"-")</f>
        <v>0.15305147439567457</v>
      </c>
      <c r="AB22" s="177">
        <f>Y22/Y$8</f>
        <v>0.36903788089145045</v>
      </c>
    </row>
    <row r="23" spans="1:28" x14ac:dyDescent="0.25">
      <c r="A23" s="56"/>
      <c r="B23" s="157" t="s">
        <v>97</v>
      </c>
      <c r="C23" s="158">
        <v>15889</v>
      </c>
      <c r="D23" s="158">
        <v>2625</v>
      </c>
      <c r="E23" s="158">
        <v>6575</v>
      </c>
      <c r="F23" s="158">
        <v>10466</v>
      </c>
      <c r="G23" s="158">
        <v>9524</v>
      </c>
      <c r="H23" s="158">
        <v>6419</v>
      </c>
      <c r="I23" s="159">
        <f>IFERROR(H23/G23-1,"-")</f>
        <v>-0.32601847963040742</v>
      </c>
      <c r="J23" s="160">
        <f>IFERROR(H23/C23-1,"-")</f>
        <v>-0.59600981811316012</v>
      </c>
      <c r="K23" s="159">
        <f>H23/H$8</f>
        <v>1.1393083569395043E-2</v>
      </c>
      <c r="L23" s="158">
        <v>132844</v>
      </c>
      <c r="M23" s="158">
        <v>59465</v>
      </c>
      <c r="N23" s="158">
        <v>165014</v>
      </c>
      <c r="O23" s="158">
        <v>133371</v>
      </c>
      <c r="P23" s="158">
        <v>106923</v>
      </c>
      <c r="Q23" s="158">
        <v>97975</v>
      </c>
      <c r="R23" s="159">
        <f>IFERROR(Q23/P23-1,"-")</f>
        <v>-8.3686391141288619E-2</v>
      </c>
      <c r="S23" s="160">
        <f>IFERROR(Q23/L23-1,"-")</f>
        <v>-0.26248080455270839</v>
      </c>
      <c r="T23" s="159">
        <f>Q23/Q$8</f>
        <v>3.7187639014777125E-2</v>
      </c>
      <c r="U23" s="158">
        <v>148733</v>
      </c>
      <c r="V23" s="158">
        <v>171589</v>
      </c>
      <c r="W23" s="158">
        <v>143837</v>
      </c>
      <c r="X23" s="158">
        <v>116447</v>
      </c>
      <c r="Y23" s="158">
        <v>104394</v>
      </c>
      <c r="Z23" s="159">
        <f>IFERROR(Y23/X23-1,"-")</f>
        <v>-0.10350631617817552</v>
      </c>
      <c r="AA23" s="160">
        <f t="shared" si="15"/>
        <v>-0.29811138079646082</v>
      </c>
      <c r="AB23" s="159">
        <f>Y23/Y$8</f>
        <v>3.2643282226775032E-2</v>
      </c>
    </row>
    <row r="24" spans="1:28" x14ac:dyDescent="0.25">
      <c r="A24" s="56"/>
      <c r="B24" s="162" t="s">
        <v>103</v>
      </c>
      <c r="C24" s="163">
        <v>8115</v>
      </c>
      <c r="D24" s="163">
        <v>1647</v>
      </c>
      <c r="E24" s="163">
        <v>3329</v>
      </c>
      <c r="F24" s="163">
        <v>5269</v>
      </c>
      <c r="G24" s="163">
        <v>4518</v>
      </c>
      <c r="H24" s="163">
        <v>2161</v>
      </c>
      <c r="I24" s="164">
        <f>IFERROR(H24/G24-1,"-")</f>
        <v>-0.52169101372288629</v>
      </c>
      <c r="J24" s="165">
        <f>IFERROR(H24/C24-1,"-")</f>
        <v>-0.73370301910043123</v>
      </c>
      <c r="K24" s="164">
        <f>H24/H$8</f>
        <v>3.8355590580250332E-3</v>
      </c>
      <c r="L24" s="163">
        <v>61781</v>
      </c>
      <c r="M24" s="163">
        <v>28642</v>
      </c>
      <c r="N24" s="163">
        <v>79997</v>
      </c>
      <c r="O24" s="163">
        <v>52981</v>
      </c>
      <c r="P24" s="163">
        <v>41548</v>
      </c>
      <c r="Q24" s="163">
        <v>34698</v>
      </c>
      <c r="R24" s="164">
        <f>IFERROR(Q24/P24-1,"-")</f>
        <v>-0.16486954847405411</v>
      </c>
      <c r="S24" s="165">
        <f>IFERROR(Q24/L24-1,"-")</f>
        <v>-0.43837102021657148</v>
      </c>
      <c r="T24" s="164">
        <f>Q24/Q$8</f>
        <v>1.3170060714822525E-2</v>
      </c>
      <c r="U24" s="163">
        <v>69896</v>
      </c>
      <c r="V24" s="163">
        <v>83326</v>
      </c>
      <c r="W24" s="163">
        <v>58250</v>
      </c>
      <c r="X24" s="163">
        <v>46066</v>
      </c>
      <c r="Y24" s="163">
        <v>36859</v>
      </c>
      <c r="Z24" s="164">
        <f>IFERROR(Y24/X24-1,"-")</f>
        <v>-0.19986541049798112</v>
      </c>
      <c r="AA24" s="165">
        <f t="shared" si="15"/>
        <v>-0.47265937964976534</v>
      </c>
      <c r="AB24" s="164">
        <f>Y24/Y$8</f>
        <v>1.1525554529922226E-2</v>
      </c>
    </row>
    <row r="25" spans="1:28" x14ac:dyDescent="0.25">
      <c r="A25" s="56"/>
      <c r="B25" s="162" t="s">
        <v>100</v>
      </c>
      <c r="C25" s="163">
        <v>7774</v>
      </c>
      <c r="D25" s="163">
        <v>978</v>
      </c>
      <c r="E25" s="163">
        <v>3246</v>
      </c>
      <c r="F25" s="163">
        <v>5197</v>
      </c>
      <c r="G25" s="163">
        <v>5006</v>
      </c>
      <c r="H25" s="163">
        <v>4258</v>
      </c>
      <c r="I25" s="164">
        <f>IFERROR(H25/G25-1,"-")</f>
        <v>-0.14942069516580103</v>
      </c>
      <c r="J25" s="165">
        <f>IFERROR(H25/C25-1,"-")</f>
        <v>-0.45227682016979676</v>
      </c>
      <c r="K25" s="164">
        <f>H25/H$8</f>
        <v>7.5575245113700101E-3</v>
      </c>
      <c r="L25" s="163">
        <v>71063</v>
      </c>
      <c r="M25" s="163">
        <v>30823</v>
      </c>
      <c r="N25" s="163">
        <v>85017</v>
      </c>
      <c r="O25" s="163">
        <v>80390</v>
      </c>
      <c r="P25" s="163">
        <v>65375</v>
      </c>
      <c r="Q25" s="163">
        <v>63277</v>
      </c>
      <c r="R25" s="164">
        <f>IFERROR(Q25/P25-1,"-")</f>
        <v>-3.2091778202676835E-2</v>
      </c>
      <c r="S25" s="165">
        <f>IFERROR(Q25/L25-1,"-")</f>
        <v>-0.10956475240279751</v>
      </c>
      <c r="T25" s="164">
        <f>Q25/Q$8</f>
        <v>2.4017578299954604E-2</v>
      </c>
      <c r="U25" s="163">
        <v>78837</v>
      </c>
      <c r="V25" s="163">
        <v>88263</v>
      </c>
      <c r="W25" s="163">
        <v>85587</v>
      </c>
      <c r="X25" s="163">
        <v>70381</v>
      </c>
      <c r="Y25" s="163">
        <v>67535</v>
      </c>
      <c r="Z25" s="164">
        <f>IFERROR(Y25/X25-1,"-")</f>
        <v>-4.0437049771955502E-2</v>
      </c>
      <c r="AA25" s="165">
        <f t="shared" si="15"/>
        <v>-0.14335908266423125</v>
      </c>
      <c r="AB25" s="164">
        <f>Y25/Y$8</f>
        <v>2.1117727696852807E-2</v>
      </c>
    </row>
    <row r="26" spans="1:28" x14ac:dyDescent="0.25">
      <c r="A26" s="56"/>
      <c r="B26" s="157" t="s">
        <v>107</v>
      </c>
      <c r="C26" s="158">
        <v>148964</v>
      </c>
      <c r="D26" s="158">
        <v>36980</v>
      </c>
      <c r="E26" s="158">
        <v>20443</v>
      </c>
      <c r="F26" s="158">
        <v>109515</v>
      </c>
      <c r="G26" s="158">
        <v>114207</v>
      </c>
      <c r="H26" s="158">
        <v>108857</v>
      </c>
      <c r="I26" s="159">
        <f>IFERROR(H26/G26-1,"-")</f>
        <v>-4.6844764331433253E-2</v>
      </c>
      <c r="J26" s="160">
        <f>IFERROR(H26/C26-1,"-")</f>
        <v>-0.2692395478102092</v>
      </c>
      <c r="K26" s="159">
        <f>H26/H$8</f>
        <v>0.19321029726026426</v>
      </c>
      <c r="L26" s="158">
        <v>725841</v>
      </c>
      <c r="M26" s="158">
        <v>253707</v>
      </c>
      <c r="N26" s="158">
        <v>233375</v>
      </c>
      <c r="O26" s="158">
        <v>853995</v>
      </c>
      <c r="P26" s="158">
        <v>914300</v>
      </c>
      <c r="Q26" s="158">
        <v>966941</v>
      </c>
      <c r="R26" s="159">
        <f>IFERROR(Q26/P26-1,"-")</f>
        <v>5.757519413759149E-2</v>
      </c>
      <c r="S26" s="160">
        <f>IFERROR(Q26/L26-1,"-")</f>
        <v>0.33216641110105383</v>
      </c>
      <c r="T26" s="159">
        <f>Q26/Q$8</f>
        <v>0.36701457368295598</v>
      </c>
      <c r="U26" s="158">
        <v>874805</v>
      </c>
      <c r="V26" s="158">
        <v>253818</v>
      </c>
      <c r="W26" s="158">
        <v>963510</v>
      </c>
      <c r="X26" s="158">
        <v>1028507</v>
      </c>
      <c r="Y26" s="158">
        <v>1075798</v>
      </c>
      <c r="Z26" s="159">
        <f>IFERROR(Y26/X26-1,"-")</f>
        <v>4.5980241262334687E-2</v>
      </c>
      <c r="AA26" s="160">
        <f t="shared" si="15"/>
        <v>0.22975748881179237</v>
      </c>
      <c r="AB26" s="159">
        <f>Y26/Y$8</f>
        <v>0.33639459866467541</v>
      </c>
    </row>
    <row r="27" spans="1:28" s="56" customFormat="1" x14ac:dyDescent="0.25">
      <c r="B27" s="162" t="s">
        <v>110</v>
      </c>
      <c r="C27" s="163">
        <v>59899</v>
      </c>
      <c r="D27" s="163">
        <v>14201</v>
      </c>
      <c r="E27" s="163">
        <v>3961</v>
      </c>
      <c r="F27" s="163">
        <v>47673</v>
      </c>
      <c r="G27" s="163">
        <v>51541</v>
      </c>
      <c r="H27" s="163">
        <v>48687</v>
      </c>
      <c r="I27" s="164">
        <f t="shared" ref="I27:I34" si="16">IFERROR(H27/G27-1,"-")</f>
        <v>-5.5373392056809134E-2</v>
      </c>
      <c r="J27" s="165">
        <f t="shared" ref="J27:J34" si="17">IFERROR(H27/C27-1,"-")</f>
        <v>-0.18718175595585906</v>
      </c>
      <c r="K27" s="164">
        <f t="shared" ref="K27:K34" si="18">H27/H$8</f>
        <v>8.6414559860279863E-2</v>
      </c>
      <c r="L27" s="163">
        <v>350275</v>
      </c>
      <c r="M27" s="163">
        <v>106273</v>
      </c>
      <c r="N27" s="163">
        <v>52433</v>
      </c>
      <c r="O27" s="163">
        <v>440530</v>
      </c>
      <c r="P27" s="163">
        <v>476716</v>
      </c>
      <c r="Q27" s="163">
        <v>502953</v>
      </c>
      <c r="R27" s="164">
        <f t="shared" ref="R27:R34" si="19">IFERROR(Q27/P27-1,"-")</f>
        <v>5.5036961209609103E-2</v>
      </c>
      <c r="S27" s="165">
        <f t="shared" ref="S27:S34" si="20">IFERROR(Q27/L27-1,"-")</f>
        <v>0.43588037970166305</v>
      </c>
      <c r="T27" s="164">
        <f t="shared" ref="T27:T34" si="21">Q27/Q$8</f>
        <v>0.19090211385964992</v>
      </c>
      <c r="U27" s="163">
        <v>410174</v>
      </c>
      <c r="V27" s="163">
        <v>56394</v>
      </c>
      <c r="W27" s="163">
        <v>488203</v>
      </c>
      <c r="X27" s="163">
        <v>528257</v>
      </c>
      <c r="Y27" s="163">
        <v>551640</v>
      </c>
      <c r="Z27" s="164">
        <f t="shared" ref="Z27:Z34" si="22">IFERROR(Y27/X27-1,"-")</f>
        <v>4.4264439467910588E-2</v>
      </c>
      <c r="AA27" s="165">
        <f t="shared" si="15"/>
        <v>0.34489265531213587</v>
      </c>
      <c r="AB27" s="164">
        <f t="shared" ref="AB27:AB34" si="23">Y27/Y$8</f>
        <v>0.17249401505429604</v>
      </c>
    </row>
    <row r="28" spans="1:28" s="56" customFormat="1" x14ac:dyDescent="0.25">
      <c r="B28" s="162" t="s">
        <v>113</v>
      </c>
      <c r="C28" s="163">
        <v>24527</v>
      </c>
      <c r="D28" s="163">
        <v>6683</v>
      </c>
      <c r="E28" s="163">
        <v>6808</v>
      </c>
      <c r="F28" s="163">
        <v>19690</v>
      </c>
      <c r="G28" s="163">
        <v>22289</v>
      </c>
      <c r="H28" s="163">
        <v>21512</v>
      </c>
      <c r="I28" s="164">
        <f t="shared" si="16"/>
        <v>-3.4860244963883513E-2</v>
      </c>
      <c r="J28" s="165">
        <f t="shared" si="17"/>
        <v>-0.12292575529008842</v>
      </c>
      <c r="K28" s="164">
        <f t="shared" si="18"/>
        <v>3.8181650373083999E-2</v>
      </c>
      <c r="L28" s="163">
        <v>104060</v>
      </c>
      <c r="M28" s="163">
        <v>32285</v>
      </c>
      <c r="N28" s="163">
        <v>42126</v>
      </c>
      <c r="O28" s="163">
        <v>91625</v>
      </c>
      <c r="P28" s="163">
        <v>98739</v>
      </c>
      <c r="Q28" s="163">
        <v>99703</v>
      </c>
      <c r="R28" s="164">
        <f t="shared" si="19"/>
        <v>9.7631128530772937E-3</v>
      </c>
      <c r="S28" s="165">
        <f t="shared" si="20"/>
        <v>-4.1870074956755765E-2</v>
      </c>
      <c r="T28" s="164">
        <f t="shared" si="21"/>
        <v>3.7843523069051532E-2</v>
      </c>
      <c r="U28" s="163">
        <v>128587</v>
      </c>
      <c r="V28" s="163">
        <v>48934</v>
      </c>
      <c r="W28" s="163">
        <v>111315</v>
      </c>
      <c r="X28" s="163">
        <v>121028</v>
      </c>
      <c r="Y28" s="163">
        <v>121215</v>
      </c>
      <c r="Z28" s="164">
        <f t="shared" si="22"/>
        <v>1.5450970023465072E-3</v>
      </c>
      <c r="AA28" s="165">
        <f t="shared" si="15"/>
        <v>-5.7330834376725481E-2</v>
      </c>
      <c r="AB28" s="164">
        <f t="shared" si="23"/>
        <v>3.7903092659717377E-2</v>
      </c>
    </row>
    <row r="29" spans="1:28" x14ac:dyDescent="0.25">
      <c r="A29" s="56"/>
      <c r="B29" s="162" t="s">
        <v>116</v>
      </c>
      <c r="C29" s="163">
        <v>6692</v>
      </c>
      <c r="D29" s="163">
        <v>2454</v>
      </c>
      <c r="E29" s="163">
        <v>3118</v>
      </c>
      <c r="F29" s="163">
        <v>2985</v>
      </c>
      <c r="G29" s="163">
        <v>2297</v>
      </c>
      <c r="H29" s="163">
        <v>2319</v>
      </c>
      <c r="I29" s="164">
        <f t="shared" si="16"/>
        <v>9.5777100565954676E-3</v>
      </c>
      <c r="J29" s="165">
        <f t="shared" si="17"/>
        <v>-0.6534668260609684</v>
      </c>
      <c r="K29" s="164">
        <f t="shared" si="18"/>
        <v>4.1159932695789226E-3</v>
      </c>
      <c r="L29" s="163">
        <v>26106</v>
      </c>
      <c r="M29" s="163">
        <v>10931</v>
      </c>
      <c r="N29" s="163">
        <v>20417</v>
      </c>
      <c r="O29" s="163">
        <v>36586</v>
      </c>
      <c r="P29" s="163">
        <v>33768</v>
      </c>
      <c r="Q29" s="163">
        <v>30363</v>
      </c>
      <c r="R29" s="164">
        <f t="shared" si="19"/>
        <v>-0.10083511016346836</v>
      </c>
      <c r="S29" s="165">
        <f t="shared" si="20"/>
        <v>0.16306596184785116</v>
      </c>
      <c r="T29" s="164">
        <f t="shared" si="21"/>
        <v>1.1524657141165379E-2</v>
      </c>
      <c r="U29" s="163">
        <v>32798</v>
      </c>
      <c r="V29" s="163">
        <v>23535</v>
      </c>
      <c r="W29" s="163">
        <v>39571</v>
      </c>
      <c r="X29" s="163">
        <v>36065</v>
      </c>
      <c r="Y29" s="163">
        <v>32682</v>
      </c>
      <c r="Z29" s="164">
        <f t="shared" si="22"/>
        <v>-9.3802855954526532E-2</v>
      </c>
      <c r="AA29" s="165">
        <f t="shared" si="15"/>
        <v>-3.5368010244527515E-3</v>
      </c>
      <c r="AB29" s="164">
        <f t="shared" si="23"/>
        <v>1.0219435501422128E-2</v>
      </c>
    </row>
    <row r="30" spans="1:28" x14ac:dyDescent="0.25">
      <c r="A30" s="56"/>
      <c r="B30" s="162" t="s">
        <v>123</v>
      </c>
      <c r="C30" s="163">
        <v>6142</v>
      </c>
      <c r="D30" s="163">
        <v>1703</v>
      </c>
      <c r="E30" s="163">
        <v>736</v>
      </c>
      <c r="F30" s="163">
        <v>5974</v>
      </c>
      <c r="G30" s="163">
        <v>2925</v>
      </c>
      <c r="H30" s="163">
        <v>2373</v>
      </c>
      <c r="I30" s="164">
        <f t="shared" si="16"/>
        <v>-0.18871794871794867</v>
      </c>
      <c r="J30" s="165">
        <f t="shared" si="17"/>
        <v>-0.61364376424617384</v>
      </c>
      <c r="K30" s="164">
        <f t="shared" si="18"/>
        <v>4.2118378735277202E-3</v>
      </c>
      <c r="L30" s="163">
        <v>29332</v>
      </c>
      <c r="M30" s="163">
        <v>10893</v>
      </c>
      <c r="N30" s="163">
        <v>16967</v>
      </c>
      <c r="O30" s="163">
        <v>45253</v>
      </c>
      <c r="P30" s="163">
        <v>40898</v>
      </c>
      <c r="Q30" s="163">
        <v>43979</v>
      </c>
      <c r="R30" s="164">
        <f t="shared" si="19"/>
        <v>7.5333757151939018E-2</v>
      </c>
      <c r="S30" s="165">
        <f t="shared" si="20"/>
        <v>0.49935224328378558</v>
      </c>
      <c r="T30" s="164">
        <f t="shared" si="21"/>
        <v>1.6692780568827593E-2</v>
      </c>
      <c r="U30" s="163">
        <v>35474</v>
      </c>
      <c r="V30" s="163">
        <v>17703</v>
      </c>
      <c r="W30" s="163">
        <v>51227</v>
      </c>
      <c r="X30" s="163">
        <v>43823</v>
      </c>
      <c r="Y30" s="163">
        <v>46352</v>
      </c>
      <c r="Z30" s="164">
        <f t="shared" si="22"/>
        <v>5.7709421993017429E-2</v>
      </c>
      <c r="AA30" s="165">
        <f t="shared" si="15"/>
        <v>0.30664712183571075</v>
      </c>
      <c r="AB30" s="164">
        <f t="shared" si="23"/>
        <v>1.4493950014133727E-2</v>
      </c>
    </row>
    <row r="31" spans="1:28" x14ac:dyDescent="0.25">
      <c r="A31" s="56"/>
      <c r="B31" s="162" t="s">
        <v>119</v>
      </c>
      <c r="C31" s="163">
        <v>5643</v>
      </c>
      <c r="D31" s="163">
        <v>1276</v>
      </c>
      <c r="E31" s="163">
        <v>651</v>
      </c>
      <c r="F31" s="163">
        <v>3213</v>
      </c>
      <c r="G31" s="163">
        <v>2267</v>
      </c>
      <c r="H31" s="163">
        <v>1744</v>
      </c>
      <c r="I31" s="164">
        <f t="shared" si="16"/>
        <v>-0.23070136744596381</v>
      </c>
      <c r="J31" s="165">
        <f t="shared" si="17"/>
        <v>-0.69094453304979619</v>
      </c>
      <c r="K31" s="164">
        <f t="shared" si="18"/>
        <v>3.09542572753154E-3</v>
      </c>
      <c r="L31" s="163">
        <v>42632</v>
      </c>
      <c r="M31" s="163">
        <v>19334</v>
      </c>
      <c r="N31" s="163">
        <v>22816</v>
      </c>
      <c r="O31" s="163">
        <v>53807</v>
      </c>
      <c r="P31" s="163">
        <v>51345</v>
      </c>
      <c r="Q31" s="163">
        <v>53807</v>
      </c>
      <c r="R31" s="164">
        <f t="shared" si="19"/>
        <v>4.7950141201674956E-2</v>
      </c>
      <c r="S31" s="165">
        <f t="shared" si="20"/>
        <v>0.26212704072058557</v>
      </c>
      <c r="T31" s="164">
        <f t="shared" si="21"/>
        <v>2.0423121127513273E-2</v>
      </c>
      <c r="U31" s="163">
        <v>48275</v>
      </c>
      <c r="V31" s="163">
        <v>23467</v>
      </c>
      <c r="W31" s="163">
        <v>57020</v>
      </c>
      <c r="X31" s="163">
        <v>53612</v>
      </c>
      <c r="Y31" s="163">
        <v>55551</v>
      </c>
      <c r="Z31" s="164">
        <f t="shared" si="22"/>
        <v>3.6167275982988967E-2</v>
      </c>
      <c r="AA31" s="165">
        <f t="shared" si="15"/>
        <v>0.15071983428275515</v>
      </c>
      <c r="AB31" s="164">
        <f t="shared" si="23"/>
        <v>1.7370413730478571E-2</v>
      </c>
    </row>
    <row r="32" spans="1:28" x14ac:dyDescent="0.25">
      <c r="A32" s="56"/>
      <c r="B32" s="162" t="s">
        <v>128</v>
      </c>
      <c r="C32" s="163">
        <v>5930</v>
      </c>
      <c r="D32" s="163">
        <v>1374</v>
      </c>
      <c r="E32" s="163">
        <v>75</v>
      </c>
      <c r="F32" s="163">
        <v>1221</v>
      </c>
      <c r="G32" s="163">
        <v>1562</v>
      </c>
      <c r="H32" s="163">
        <v>1584</v>
      </c>
      <c r="I32" s="164">
        <f t="shared" si="16"/>
        <v>1.4084507042253502E-2</v>
      </c>
      <c r="J32" s="165">
        <f t="shared" si="17"/>
        <v>-0.73288364249578408</v>
      </c>
      <c r="K32" s="164">
        <f t="shared" si="18"/>
        <v>2.8114417158313985E-3</v>
      </c>
      <c r="L32" s="163">
        <v>13413</v>
      </c>
      <c r="M32" s="163">
        <v>8161</v>
      </c>
      <c r="N32" s="163">
        <v>496</v>
      </c>
      <c r="O32" s="163">
        <v>11724</v>
      </c>
      <c r="P32" s="163">
        <v>12926</v>
      </c>
      <c r="Q32" s="163">
        <v>12725</v>
      </c>
      <c r="R32" s="164">
        <f t="shared" si="19"/>
        <v>-1.5550054154417459E-2</v>
      </c>
      <c r="S32" s="165">
        <f t="shared" si="20"/>
        <v>-5.1293521210765691E-2</v>
      </c>
      <c r="T32" s="164">
        <f t="shared" si="21"/>
        <v>4.8299332121769737E-3</v>
      </c>
      <c r="U32" s="163">
        <v>19343</v>
      </c>
      <c r="V32" s="163">
        <v>571</v>
      </c>
      <c r="W32" s="163">
        <v>12945</v>
      </c>
      <c r="X32" s="163">
        <v>14488</v>
      </c>
      <c r="Y32" s="163">
        <v>14309</v>
      </c>
      <c r="Z32" s="164">
        <f t="shared" si="22"/>
        <v>-1.2355052457205917E-2</v>
      </c>
      <c r="AA32" s="165">
        <f t="shared" si="15"/>
        <v>-0.26024918575195166</v>
      </c>
      <c r="AB32" s="164">
        <f t="shared" si="23"/>
        <v>4.4743253959319881E-3</v>
      </c>
    </row>
    <row r="33" spans="1:28" x14ac:dyDescent="0.25">
      <c r="A33" s="56"/>
      <c r="B33" s="162" t="s">
        <v>131</v>
      </c>
      <c r="C33" s="163">
        <v>2012</v>
      </c>
      <c r="D33" s="163">
        <v>667</v>
      </c>
      <c r="E33" s="163">
        <v>14</v>
      </c>
      <c r="F33" s="163">
        <v>411</v>
      </c>
      <c r="G33" s="163">
        <v>573</v>
      </c>
      <c r="H33" s="163">
        <v>327</v>
      </c>
      <c r="I33" s="164">
        <f t="shared" si="16"/>
        <v>-0.4293193717277487</v>
      </c>
      <c r="J33" s="165">
        <f t="shared" si="17"/>
        <v>-0.8374751491053678</v>
      </c>
      <c r="K33" s="164">
        <f t="shared" si="18"/>
        <v>5.803923239121638E-4</v>
      </c>
      <c r="L33" s="163">
        <v>14474</v>
      </c>
      <c r="M33" s="163">
        <v>10470</v>
      </c>
      <c r="N33" s="163">
        <v>337</v>
      </c>
      <c r="O33" s="163">
        <v>7526</v>
      </c>
      <c r="P33" s="163">
        <v>12255</v>
      </c>
      <c r="Q33" s="163">
        <v>11407</v>
      </c>
      <c r="R33" s="164">
        <f t="shared" si="19"/>
        <v>-6.919624643002853E-2</v>
      </c>
      <c r="S33" s="165">
        <f t="shared" si="20"/>
        <v>-0.21189719497029158</v>
      </c>
      <c r="T33" s="164">
        <f t="shared" si="21"/>
        <v>4.3296697957801757E-3</v>
      </c>
      <c r="U33" s="163">
        <v>16486</v>
      </c>
      <c r="V33" s="163">
        <v>351</v>
      </c>
      <c r="W33" s="163">
        <v>7937</v>
      </c>
      <c r="X33" s="163">
        <v>12828</v>
      </c>
      <c r="Y33" s="163">
        <v>11734</v>
      </c>
      <c r="Z33" s="164">
        <f t="shared" si="22"/>
        <v>-8.5282195198004396E-2</v>
      </c>
      <c r="AA33" s="165">
        <f t="shared" si="15"/>
        <v>-0.28824457115127988</v>
      </c>
      <c r="AB33" s="164">
        <f t="shared" si="23"/>
        <v>3.6691406943787789E-3</v>
      </c>
    </row>
    <row r="34" spans="1:28" x14ac:dyDescent="0.25">
      <c r="A34" s="56"/>
      <c r="B34" s="168" t="s">
        <v>145</v>
      </c>
      <c r="C34" s="169">
        <f t="shared" ref="C34:H34" si="24">C26-SUM(C27:C33)</f>
        <v>38119</v>
      </c>
      <c r="D34" s="169">
        <f t="shared" si="24"/>
        <v>8622</v>
      </c>
      <c r="E34" s="169">
        <f t="shared" si="24"/>
        <v>5080</v>
      </c>
      <c r="F34" s="169">
        <f t="shared" si="24"/>
        <v>28348</v>
      </c>
      <c r="G34" s="169">
        <f t="shared" si="24"/>
        <v>30753</v>
      </c>
      <c r="H34" s="169">
        <f t="shared" si="24"/>
        <v>30311</v>
      </c>
      <c r="I34" s="170">
        <f t="shared" si="16"/>
        <v>-1.4372581536760687E-2</v>
      </c>
      <c r="J34" s="171">
        <f t="shared" si="17"/>
        <v>-0.20483223589286181</v>
      </c>
      <c r="K34" s="170">
        <f t="shared" si="18"/>
        <v>5.3798996116518637E-2</v>
      </c>
      <c r="L34" s="169">
        <f t="shared" ref="L34:Q34" si="25">L26-SUM(L27:L33)</f>
        <v>145549</v>
      </c>
      <c r="M34" s="169">
        <f t="shared" si="25"/>
        <v>55360</v>
      </c>
      <c r="N34" s="169">
        <f t="shared" si="25"/>
        <v>77783</v>
      </c>
      <c r="O34" s="169">
        <f t="shared" si="25"/>
        <v>166944</v>
      </c>
      <c r="P34" s="169">
        <f t="shared" si="25"/>
        <v>187653</v>
      </c>
      <c r="Q34" s="169">
        <f t="shared" si="25"/>
        <v>212004</v>
      </c>
      <c r="R34" s="170">
        <f t="shared" si="19"/>
        <v>0.1297661108535435</v>
      </c>
      <c r="S34" s="171">
        <f t="shared" si="20"/>
        <v>0.45658163230252358</v>
      </c>
      <c r="T34" s="170">
        <f t="shared" si="21"/>
        <v>8.0468774908791119E-2</v>
      </c>
      <c r="U34" s="169">
        <f>U26-SUM(U27:U33)</f>
        <v>183668</v>
      </c>
      <c r="V34" s="169">
        <f>V26-SUM(V27:V33)</f>
        <v>82863</v>
      </c>
      <c r="W34" s="169">
        <f>W26-SUM(W27:W33)</f>
        <v>195292</v>
      </c>
      <c r="X34" s="169">
        <f>X26-SUM(X27:X33)</f>
        <v>218406</v>
      </c>
      <c r="Y34" s="169">
        <f>Y26-SUM(Y27:Y33)</f>
        <v>242315</v>
      </c>
      <c r="Z34" s="170">
        <f t="shared" si="22"/>
        <v>0.10947043579388849</v>
      </c>
      <c r="AA34" s="171">
        <f t="shared" si="15"/>
        <v>0.31930984167084087</v>
      </c>
      <c r="AB34" s="170">
        <f t="shared" si="23"/>
        <v>7.5770225614316844E-2</v>
      </c>
    </row>
    <row r="35" spans="1:28" x14ac:dyDescent="0.25">
      <c r="A35" s="56"/>
      <c r="B35" s="153" t="s">
        <v>45</v>
      </c>
      <c r="C35" s="151"/>
      <c r="D35" s="151"/>
      <c r="E35" s="151"/>
      <c r="F35" s="151"/>
      <c r="G35" s="151"/>
      <c r="H35" s="151"/>
      <c r="I35" s="151"/>
      <c r="J35" s="151"/>
      <c r="K35" s="151"/>
      <c r="L35" s="151"/>
      <c r="M35" s="151"/>
      <c r="N35" s="151"/>
      <c r="O35" s="151"/>
      <c r="P35" s="151"/>
      <c r="Q35" s="151"/>
      <c r="R35" s="151"/>
      <c r="S35" s="151"/>
      <c r="T35" s="151"/>
      <c r="U35" s="151"/>
      <c r="V35" s="151"/>
      <c r="W35" s="151"/>
      <c r="X35" s="151"/>
      <c r="Y35" s="151"/>
      <c r="Z35" s="151"/>
      <c r="AA35" s="151"/>
      <c r="AB35" s="151"/>
    </row>
    <row r="36" spans="1:28" x14ac:dyDescent="0.25">
      <c r="A36" s="56"/>
      <c r="B36" s="154" t="s">
        <v>68</v>
      </c>
      <c r="C36" s="176">
        <f t="shared" ref="C36:H36" si="26">C37+C40</f>
        <v>129309</v>
      </c>
      <c r="D36" s="176">
        <f t="shared" si="26"/>
        <v>46041</v>
      </c>
      <c r="E36" s="176">
        <f t="shared" si="26"/>
        <v>18402</v>
      </c>
      <c r="F36" s="176">
        <f t="shared" si="26"/>
        <v>131469</v>
      </c>
      <c r="G36" s="176">
        <f t="shared" si="26"/>
        <v>145448</v>
      </c>
      <c r="H36" s="176">
        <f t="shared" si="26"/>
        <v>156885</v>
      </c>
      <c r="I36" s="177">
        <f>IFERROR(H36/G36-1,"-")</f>
        <v>7.863291348110657E-2</v>
      </c>
      <c r="J36" s="177">
        <f>IFERROR(H36/C36-1,"-")</f>
        <v>0.21325661786882577</v>
      </c>
      <c r="K36" s="177">
        <f>H36/H$8</f>
        <v>0.27845519797235413</v>
      </c>
      <c r="L36" s="176">
        <f t="shared" ref="L36:Q36" si="27">L37+L40</f>
        <v>407384</v>
      </c>
      <c r="M36" s="176">
        <f t="shared" si="27"/>
        <v>124031</v>
      </c>
      <c r="N36" s="176">
        <f t="shared" si="27"/>
        <v>86318</v>
      </c>
      <c r="O36" s="176">
        <f t="shared" si="27"/>
        <v>415520</v>
      </c>
      <c r="P36" s="176">
        <f t="shared" si="27"/>
        <v>452861</v>
      </c>
      <c r="Q36" s="176">
        <f t="shared" si="27"/>
        <v>482421</v>
      </c>
      <c r="R36" s="177">
        <f>IFERROR(Q36/P36-1,"-")</f>
        <v>6.5273891988932631E-2</v>
      </c>
      <c r="S36" s="177">
        <f>IFERROR(Q36/L36-1,"-")</f>
        <v>0.18419230995817215</v>
      </c>
      <c r="T36" s="177">
        <f>Q36/Q$8</f>
        <v>0.18310893596476446</v>
      </c>
      <c r="U36" s="176">
        <f>U37+U40</f>
        <v>536693</v>
      </c>
      <c r="V36" s="176">
        <f>V37+V40</f>
        <v>104720</v>
      </c>
      <c r="W36" s="176">
        <f>W37+W40</f>
        <v>546989</v>
      </c>
      <c r="X36" s="176">
        <f>X37+X40</f>
        <v>598309</v>
      </c>
      <c r="Y36" s="176">
        <f>Y37+Y40</f>
        <v>639306</v>
      </c>
      <c r="Z36" s="177">
        <f>IFERROR(Y36/X36-1,"-")</f>
        <v>6.8521449618842434E-2</v>
      </c>
      <c r="AA36" s="177">
        <f t="shared" ref="AA36:AA48" si="28">IFERROR(Y36/U36-1,"-")</f>
        <v>0.19119496620973253</v>
      </c>
      <c r="AB36" s="177">
        <f>Y36/Y$8</f>
        <v>0.19990656730531103</v>
      </c>
    </row>
    <row r="37" spans="1:28" x14ac:dyDescent="0.25">
      <c r="A37" s="56"/>
      <c r="B37" s="157" t="s">
        <v>97</v>
      </c>
      <c r="C37" s="158">
        <v>11223</v>
      </c>
      <c r="D37" s="158">
        <v>4405</v>
      </c>
      <c r="E37" s="158">
        <v>3602</v>
      </c>
      <c r="F37" s="158">
        <v>17997</v>
      </c>
      <c r="G37" s="158">
        <v>22186</v>
      </c>
      <c r="H37" s="158">
        <v>25399</v>
      </c>
      <c r="I37" s="159">
        <f>IFERROR(H37/G37-1,"-")</f>
        <v>0.14482105832506997</v>
      </c>
      <c r="J37" s="160">
        <f>IFERROR(H37/C37-1,"-")</f>
        <v>1.2631203777955982</v>
      </c>
      <c r="K37" s="159">
        <f>H37/H$8</f>
        <v>4.5080686957324305E-2</v>
      </c>
      <c r="L37" s="158">
        <v>51405</v>
      </c>
      <c r="M37" s="158">
        <v>12822</v>
      </c>
      <c r="N37" s="158">
        <v>21689</v>
      </c>
      <c r="O37" s="158">
        <v>47727</v>
      </c>
      <c r="P37" s="158">
        <v>41121</v>
      </c>
      <c r="Q37" s="158">
        <v>38082</v>
      </c>
      <c r="R37" s="159">
        <f>IFERROR(Q37/P37-1,"-")</f>
        <v>-7.3903844750857206E-2</v>
      </c>
      <c r="S37" s="160">
        <f>IFERROR(Q37/L37-1,"-")</f>
        <v>-0.25917712284797201</v>
      </c>
      <c r="T37" s="159">
        <f>Q37/Q$8</f>
        <v>1.4454500321109901E-2</v>
      </c>
      <c r="U37" s="158">
        <v>62628</v>
      </c>
      <c r="V37" s="158">
        <v>25291</v>
      </c>
      <c r="W37" s="158">
        <v>65724</v>
      </c>
      <c r="X37" s="158">
        <v>63307</v>
      </c>
      <c r="Y37" s="158">
        <v>63481</v>
      </c>
      <c r="Z37" s="159">
        <f>IFERROR(Y37/X37-1,"-")</f>
        <v>2.7485112230873909E-3</v>
      </c>
      <c r="AA37" s="160">
        <f t="shared" si="28"/>
        <v>1.3620106022865119E-2</v>
      </c>
      <c r="AB37" s="159">
        <f>Y37/Y$8</f>
        <v>1.9850069918174472E-2</v>
      </c>
    </row>
    <row r="38" spans="1:28" x14ac:dyDescent="0.25">
      <c r="A38" s="56"/>
      <c r="B38" s="162" t="s">
        <v>103</v>
      </c>
      <c r="C38" s="163">
        <v>7097</v>
      </c>
      <c r="D38" s="163">
        <v>1745</v>
      </c>
      <c r="E38" s="163">
        <v>2694</v>
      </c>
      <c r="F38" s="163">
        <v>8115</v>
      </c>
      <c r="G38" s="163">
        <v>12297</v>
      </c>
      <c r="H38" s="163">
        <v>17692</v>
      </c>
      <c r="I38" s="164">
        <f>IFERROR(H38/G38-1,"-")</f>
        <v>0.43872489225014233</v>
      </c>
      <c r="J38" s="165">
        <f>IFERROR(H38/C38-1,"-")</f>
        <v>1.4928843173171762</v>
      </c>
      <c r="K38" s="164">
        <f>H38/H$8</f>
        <v>3.140153209374312E-2</v>
      </c>
      <c r="L38" s="163">
        <v>6639</v>
      </c>
      <c r="M38" s="163">
        <v>1466</v>
      </c>
      <c r="N38" s="163">
        <v>3383</v>
      </c>
      <c r="O38" s="163">
        <v>7136</v>
      </c>
      <c r="P38" s="163">
        <v>10439</v>
      </c>
      <c r="Q38" s="163">
        <v>8020</v>
      </c>
      <c r="R38" s="164">
        <f>IFERROR(Q38/P38-1,"-")</f>
        <v>-0.23172717693265643</v>
      </c>
      <c r="S38" s="165">
        <f>IFERROR(Q38/L38-1,"-")</f>
        <v>0.20801325500828427</v>
      </c>
      <c r="T38" s="164">
        <f>Q38/Q$8</f>
        <v>3.0440915018985718E-3</v>
      </c>
      <c r="U38" s="163">
        <v>13736</v>
      </c>
      <c r="V38" s="163">
        <v>6077</v>
      </c>
      <c r="W38" s="163">
        <v>15251</v>
      </c>
      <c r="X38" s="163">
        <v>22736</v>
      </c>
      <c r="Y38" s="163">
        <v>25712</v>
      </c>
      <c r="Z38" s="164">
        <f>IFERROR(Y38/X38-1,"-")</f>
        <v>0.13089373680506688</v>
      </c>
      <c r="AA38" s="165">
        <f t="shared" si="28"/>
        <v>0.87186953989516591</v>
      </c>
      <c r="AB38" s="164">
        <f>Y38/Y$8</f>
        <v>8.0399646781887813E-3</v>
      </c>
    </row>
    <row r="39" spans="1:28" x14ac:dyDescent="0.25">
      <c r="A39" s="56"/>
      <c r="B39" s="162" t="s">
        <v>100</v>
      </c>
      <c r="C39" s="163">
        <v>4126</v>
      </c>
      <c r="D39" s="163">
        <v>2660</v>
      </c>
      <c r="E39" s="163">
        <v>908</v>
      </c>
      <c r="F39" s="163">
        <v>9882</v>
      </c>
      <c r="G39" s="163">
        <v>9889</v>
      </c>
      <c r="H39" s="163">
        <v>7707</v>
      </c>
      <c r="I39" s="164">
        <f>IFERROR(H39/G39-1,"-")</f>
        <v>-0.22064920618869455</v>
      </c>
      <c r="J39" s="165">
        <f>IFERROR(H39/C39-1,"-")</f>
        <v>0.86791080950072708</v>
      </c>
      <c r="K39" s="164">
        <f>H39/H$8</f>
        <v>1.3679154863581181E-2</v>
      </c>
      <c r="L39" s="163">
        <v>44766</v>
      </c>
      <c r="M39" s="163">
        <v>11356</v>
      </c>
      <c r="N39" s="163">
        <v>18306</v>
      </c>
      <c r="O39" s="163">
        <v>40591</v>
      </c>
      <c r="P39" s="163">
        <v>30682</v>
      </c>
      <c r="Q39" s="163">
        <v>30062</v>
      </c>
      <c r="R39" s="164">
        <f>IFERROR(Q39/P39-1,"-")</f>
        <v>-2.0207287660517603E-2</v>
      </c>
      <c r="S39" s="165">
        <f>IFERROR(Q39/L39-1,"-")</f>
        <v>-0.32846356609927174</v>
      </c>
      <c r="T39" s="164">
        <f>Q39/Q$8</f>
        <v>1.1410408819211329E-2</v>
      </c>
      <c r="U39" s="163">
        <v>48892</v>
      </c>
      <c r="V39" s="163">
        <v>19214</v>
      </c>
      <c r="W39" s="163">
        <v>50473</v>
      </c>
      <c r="X39" s="163">
        <v>40571</v>
      </c>
      <c r="Y39" s="163">
        <v>37769</v>
      </c>
      <c r="Z39" s="164">
        <f>IFERROR(Y39/X39-1,"-")</f>
        <v>-6.9064109832146059E-2</v>
      </c>
      <c r="AA39" s="165">
        <f t="shared" si="28"/>
        <v>-0.22750143172707193</v>
      </c>
      <c r="AB39" s="164">
        <f>Y39/Y$8</f>
        <v>1.1810105239985691E-2</v>
      </c>
    </row>
    <row r="40" spans="1:28" x14ac:dyDescent="0.25">
      <c r="A40" s="56"/>
      <c r="B40" s="157" t="s">
        <v>107</v>
      </c>
      <c r="C40" s="158">
        <v>118086</v>
      </c>
      <c r="D40" s="158">
        <v>41636</v>
      </c>
      <c r="E40" s="158">
        <v>14800</v>
      </c>
      <c r="F40" s="158">
        <v>113472</v>
      </c>
      <c r="G40" s="158">
        <v>123262</v>
      </c>
      <c r="H40" s="158">
        <v>131486</v>
      </c>
      <c r="I40" s="159">
        <f>IFERROR(H40/G40-1,"-")</f>
        <v>6.6719670295792621E-2</v>
      </c>
      <c r="J40" s="160">
        <f>IFERROR(H40/C40-1,"-")</f>
        <v>0.11347661873549786</v>
      </c>
      <c r="K40" s="159">
        <f>H40/H$8</f>
        <v>0.23337451101502985</v>
      </c>
      <c r="L40" s="158">
        <v>355979</v>
      </c>
      <c r="M40" s="158">
        <v>111209</v>
      </c>
      <c r="N40" s="158">
        <v>64629</v>
      </c>
      <c r="O40" s="158">
        <v>367793</v>
      </c>
      <c r="P40" s="158">
        <v>411740</v>
      </c>
      <c r="Q40" s="158">
        <v>444339</v>
      </c>
      <c r="R40" s="159">
        <f>IFERROR(Q40/P40-1,"-")</f>
        <v>7.9173750425025391E-2</v>
      </c>
      <c r="S40" s="160">
        <f>IFERROR(Q40/L40-1,"-")</f>
        <v>0.24821688919852014</v>
      </c>
      <c r="T40" s="159">
        <f>Q40/Q$8</f>
        <v>0.16865443564365454</v>
      </c>
      <c r="U40" s="158">
        <v>474065</v>
      </c>
      <c r="V40" s="158">
        <v>79429</v>
      </c>
      <c r="W40" s="158">
        <v>481265</v>
      </c>
      <c r="X40" s="158">
        <v>535002</v>
      </c>
      <c r="Y40" s="158">
        <v>575825</v>
      </c>
      <c r="Z40" s="159">
        <f>IFERROR(Y40/X40-1,"-")</f>
        <v>7.6304387647148975E-2</v>
      </c>
      <c r="AA40" s="160">
        <f t="shared" si="28"/>
        <v>0.21465410861379763</v>
      </c>
      <c r="AB40" s="159">
        <f>Y40/Y$8</f>
        <v>0.18005649738713655</v>
      </c>
    </row>
    <row r="41" spans="1:28" s="56" customFormat="1" x14ac:dyDescent="0.25">
      <c r="B41" s="162" t="s">
        <v>110</v>
      </c>
      <c r="C41" s="163">
        <v>65565</v>
      </c>
      <c r="D41" s="163">
        <v>20296</v>
      </c>
      <c r="E41" s="163">
        <v>5539</v>
      </c>
      <c r="F41" s="163">
        <v>55551</v>
      </c>
      <c r="G41" s="163">
        <v>54169</v>
      </c>
      <c r="H41" s="163">
        <v>56724</v>
      </c>
      <c r="I41" s="164">
        <f t="shared" ref="I41:I48" si="29">IFERROR(H41/G41-1,"-")</f>
        <v>4.7167198951429734E-2</v>
      </c>
      <c r="J41" s="165">
        <f t="shared" ref="J41:J48" si="30">IFERROR(H41/C41-1,"-")</f>
        <v>-0.13484328528940748</v>
      </c>
      <c r="K41" s="164">
        <f t="shared" ref="K41:K48" si="31">H41/H$8</f>
        <v>0.10067943174799258</v>
      </c>
      <c r="L41" s="163">
        <v>196307</v>
      </c>
      <c r="M41" s="163">
        <v>51756</v>
      </c>
      <c r="N41" s="163">
        <v>17507</v>
      </c>
      <c r="O41" s="163">
        <v>196496</v>
      </c>
      <c r="P41" s="163">
        <v>225436</v>
      </c>
      <c r="Q41" s="163">
        <v>253442</v>
      </c>
      <c r="R41" s="164">
        <f t="shared" ref="R41:R48" si="32">IFERROR(Q41/P41-1,"-")</f>
        <v>0.12423038024095523</v>
      </c>
      <c r="S41" s="165">
        <f t="shared" ref="S41:S48" si="33">IFERROR(Q41/L41-1,"-")</f>
        <v>0.29104922391967691</v>
      </c>
      <c r="T41" s="164">
        <f t="shared" ref="T41:T48" si="34">Q41/Q$8</f>
        <v>9.6197087085308955E-2</v>
      </c>
      <c r="U41" s="163">
        <v>261872</v>
      </c>
      <c r="V41" s="163">
        <v>23046</v>
      </c>
      <c r="W41" s="163">
        <v>252047</v>
      </c>
      <c r="X41" s="163">
        <v>279605</v>
      </c>
      <c r="Y41" s="163">
        <v>310166</v>
      </c>
      <c r="Z41" s="164">
        <f t="shared" ref="Z41:Z48" si="35">IFERROR(Y41/X41-1,"-")</f>
        <v>0.10930062051823097</v>
      </c>
      <c r="AA41" s="165">
        <f t="shared" si="28"/>
        <v>0.18441834178529959</v>
      </c>
      <c r="AB41" s="164">
        <f t="shared" ref="AB41:AB48" si="36">Y41/Y$8</f>
        <v>9.6986764326971911E-2</v>
      </c>
    </row>
    <row r="42" spans="1:28" s="56" customFormat="1" x14ac:dyDescent="0.25">
      <c r="B42" s="162" t="s">
        <v>113</v>
      </c>
      <c r="C42" s="163">
        <v>8541</v>
      </c>
      <c r="D42" s="163">
        <v>2984</v>
      </c>
      <c r="E42" s="163">
        <v>537</v>
      </c>
      <c r="F42" s="163">
        <v>5229</v>
      </c>
      <c r="G42" s="163">
        <v>7530</v>
      </c>
      <c r="H42" s="163">
        <v>7964</v>
      </c>
      <c r="I42" s="164">
        <f t="shared" si="29"/>
        <v>5.7636122177954885E-2</v>
      </c>
      <c r="J42" s="165">
        <f t="shared" si="30"/>
        <v>-6.7556492214026487E-2</v>
      </c>
      <c r="K42" s="164">
        <f t="shared" si="31"/>
        <v>1.4135304182374532E-2</v>
      </c>
      <c r="L42" s="163">
        <v>19706</v>
      </c>
      <c r="M42" s="163">
        <v>6345</v>
      </c>
      <c r="N42" s="163">
        <v>4443</v>
      </c>
      <c r="O42" s="163">
        <v>13226</v>
      </c>
      <c r="P42" s="163">
        <v>16093</v>
      </c>
      <c r="Q42" s="163">
        <v>13953</v>
      </c>
      <c r="R42" s="164">
        <f t="shared" si="32"/>
        <v>-0.13297707077611387</v>
      </c>
      <c r="S42" s="165">
        <f t="shared" si="33"/>
        <v>-0.29194154064751854</v>
      </c>
      <c r="T42" s="164">
        <f t="shared" si="34"/>
        <v>5.2960360007469794E-3</v>
      </c>
      <c r="U42" s="163">
        <v>28247</v>
      </c>
      <c r="V42" s="163">
        <v>4980</v>
      </c>
      <c r="W42" s="163">
        <v>18455</v>
      </c>
      <c r="X42" s="163">
        <v>23623</v>
      </c>
      <c r="Y42" s="163">
        <v>21917</v>
      </c>
      <c r="Z42" s="164">
        <f t="shared" si="35"/>
        <v>-7.2217753883926705E-2</v>
      </c>
      <c r="AA42" s="165">
        <f t="shared" si="28"/>
        <v>-0.22409459411618937</v>
      </c>
      <c r="AB42" s="164">
        <f t="shared" si="36"/>
        <v>6.8532944092977418E-3</v>
      </c>
    </row>
    <row r="43" spans="1:28" x14ac:dyDescent="0.25">
      <c r="A43" s="56"/>
      <c r="B43" s="162" t="s">
        <v>116</v>
      </c>
      <c r="C43" s="163">
        <v>5057</v>
      </c>
      <c r="D43" s="163">
        <v>1797</v>
      </c>
      <c r="E43" s="163">
        <v>514</v>
      </c>
      <c r="F43" s="163">
        <v>4017</v>
      </c>
      <c r="G43" s="163">
        <v>5925</v>
      </c>
      <c r="H43" s="163">
        <v>6414</v>
      </c>
      <c r="I43" s="164">
        <f t="shared" si="29"/>
        <v>8.2531645569620338E-2</v>
      </c>
      <c r="J43" s="165">
        <f t="shared" si="30"/>
        <v>0.26834091358512957</v>
      </c>
      <c r="K43" s="164">
        <f t="shared" si="31"/>
        <v>1.1384209069029413E-2</v>
      </c>
      <c r="L43" s="163">
        <v>7328</v>
      </c>
      <c r="M43" s="163">
        <v>3010</v>
      </c>
      <c r="N43" s="163">
        <v>4886</v>
      </c>
      <c r="O43" s="163">
        <v>8793</v>
      </c>
      <c r="P43" s="163">
        <v>9077</v>
      </c>
      <c r="Q43" s="163">
        <v>8364</v>
      </c>
      <c r="R43" s="164">
        <f t="shared" si="32"/>
        <v>-7.8550181778120565E-2</v>
      </c>
      <c r="S43" s="165">
        <f t="shared" si="33"/>
        <v>0.14137554585152845</v>
      </c>
      <c r="T43" s="164">
        <f t="shared" si="34"/>
        <v>3.1746610127031988E-3</v>
      </c>
      <c r="U43" s="163">
        <v>12385</v>
      </c>
      <c r="V43" s="163">
        <v>5400</v>
      </c>
      <c r="W43" s="163">
        <v>12810</v>
      </c>
      <c r="X43" s="163">
        <v>15002</v>
      </c>
      <c r="Y43" s="163">
        <v>14778</v>
      </c>
      <c r="Z43" s="164">
        <f t="shared" si="35"/>
        <v>-1.4931342487668364E-2</v>
      </c>
      <c r="AA43" s="165">
        <f t="shared" si="28"/>
        <v>0.193217601937828</v>
      </c>
      <c r="AB43" s="164">
        <f t="shared" si="36"/>
        <v>4.6209784541954655E-3</v>
      </c>
    </row>
    <row r="44" spans="1:28" x14ac:dyDescent="0.25">
      <c r="A44" s="56"/>
      <c r="B44" s="162" t="s">
        <v>123</v>
      </c>
      <c r="C44" s="163">
        <v>2221</v>
      </c>
      <c r="D44" s="163">
        <v>773</v>
      </c>
      <c r="E44" s="163">
        <v>389</v>
      </c>
      <c r="F44" s="163">
        <v>2303</v>
      </c>
      <c r="G44" s="163">
        <v>2347</v>
      </c>
      <c r="H44" s="163">
        <v>2815</v>
      </c>
      <c r="I44" s="164">
        <f t="shared" si="29"/>
        <v>0.19940349382190026</v>
      </c>
      <c r="J44" s="165">
        <f t="shared" si="30"/>
        <v>0.2674470959027464</v>
      </c>
      <c r="K44" s="164">
        <f t="shared" si="31"/>
        <v>4.996343705849361E-3</v>
      </c>
      <c r="L44" s="163">
        <v>18509</v>
      </c>
      <c r="M44" s="163">
        <v>5342</v>
      </c>
      <c r="N44" s="163">
        <v>5901</v>
      </c>
      <c r="O44" s="163">
        <v>21493</v>
      </c>
      <c r="P44" s="163">
        <v>19781</v>
      </c>
      <c r="Q44" s="163">
        <v>20917</v>
      </c>
      <c r="R44" s="164">
        <f t="shared" si="32"/>
        <v>5.7428845862190991E-2</v>
      </c>
      <c r="S44" s="165">
        <f t="shared" si="33"/>
        <v>0.13009887081960136</v>
      </c>
      <c r="T44" s="164">
        <f t="shared" si="34"/>
        <v>7.9393094694778579E-3</v>
      </c>
      <c r="U44" s="163">
        <v>20730</v>
      </c>
      <c r="V44" s="163">
        <v>6290</v>
      </c>
      <c r="W44" s="163">
        <v>23796</v>
      </c>
      <c r="X44" s="163">
        <v>22128</v>
      </c>
      <c r="Y44" s="163">
        <v>23732</v>
      </c>
      <c r="Z44" s="164">
        <f t="shared" si="35"/>
        <v>7.2487346348517612E-2</v>
      </c>
      <c r="AA44" s="165">
        <f t="shared" si="28"/>
        <v>0.14481427882296183</v>
      </c>
      <c r="AB44" s="164">
        <f t="shared" si="36"/>
        <v>7.4208323639847603E-3</v>
      </c>
    </row>
    <row r="45" spans="1:28" x14ac:dyDescent="0.25">
      <c r="A45" s="56"/>
      <c r="B45" s="162" t="s">
        <v>119</v>
      </c>
      <c r="C45" s="163">
        <v>1698</v>
      </c>
      <c r="D45" s="163">
        <v>993</v>
      </c>
      <c r="E45" s="163">
        <v>200</v>
      </c>
      <c r="F45" s="163">
        <v>1246</v>
      </c>
      <c r="G45" s="163">
        <v>1510</v>
      </c>
      <c r="H45" s="163">
        <v>1670</v>
      </c>
      <c r="I45" s="164">
        <f t="shared" si="29"/>
        <v>0.10596026490066235</v>
      </c>
      <c r="J45" s="165">
        <f t="shared" si="30"/>
        <v>-1.6489988221436991E-2</v>
      </c>
      <c r="K45" s="164">
        <f t="shared" si="31"/>
        <v>2.9640831221202247E-3</v>
      </c>
      <c r="L45" s="163">
        <v>22308</v>
      </c>
      <c r="M45" s="163">
        <v>9394</v>
      </c>
      <c r="N45" s="163">
        <v>7085</v>
      </c>
      <c r="O45" s="163">
        <v>20577</v>
      </c>
      <c r="P45" s="163">
        <v>24512</v>
      </c>
      <c r="Q45" s="163">
        <v>24813</v>
      </c>
      <c r="R45" s="164">
        <f t="shared" si="32"/>
        <v>1.2279699738903416E-2</v>
      </c>
      <c r="S45" s="165">
        <f t="shared" si="33"/>
        <v>0.11229155459924689</v>
      </c>
      <c r="T45" s="164">
        <f t="shared" si="34"/>
        <v>9.4180850918465422E-3</v>
      </c>
      <c r="U45" s="163">
        <v>24006</v>
      </c>
      <c r="V45" s="163">
        <v>7285</v>
      </c>
      <c r="W45" s="163">
        <v>21823</v>
      </c>
      <c r="X45" s="163">
        <v>26022</v>
      </c>
      <c r="Y45" s="163">
        <v>26483</v>
      </c>
      <c r="Z45" s="164">
        <f t="shared" si="35"/>
        <v>1.7715778956267858E-2</v>
      </c>
      <c r="AA45" s="165">
        <f t="shared" si="28"/>
        <v>0.10318253769890862</v>
      </c>
      <c r="AB45" s="164">
        <f t="shared" si="36"/>
        <v>8.2810510490227713E-3</v>
      </c>
    </row>
    <row r="46" spans="1:28" x14ac:dyDescent="0.25">
      <c r="A46" s="56"/>
      <c r="B46" s="162" t="s">
        <v>128</v>
      </c>
      <c r="C46" s="163">
        <v>2761</v>
      </c>
      <c r="D46" s="163">
        <v>1097</v>
      </c>
      <c r="E46" s="163">
        <v>13</v>
      </c>
      <c r="F46" s="163">
        <v>1662</v>
      </c>
      <c r="G46" s="163">
        <v>1718</v>
      </c>
      <c r="H46" s="163">
        <v>1021</v>
      </c>
      <c r="I46" s="164">
        <f t="shared" si="29"/>
        <v>-0.40570430733410945</v>
      </c>
      <c r="J46" s="165">
        <f t="shared" si="30"/>
        <v>-0.63020644693951466</v>
      </c>
      <c r="K46" s="164">
        <f t="shared" si="31"/>
        <v>1.8121729746615265E-3</v>
      </c>
      <c r="L46" s="163">
        <v>2686</v>
      </c>
      <c r="M46" s="163">
        <v>2224</v>
      </c>
      <c r="N46" s="163">
        <v>961</v>
      </c>
      <c r="O46" s="163">
        <v>3870</v>
      </c>
      <c r="P46" s="163">
        <v>4715</v>
      </c>
      <c r="Q46" s="163">
        <v>4415</v>
      </c>
      <c r="R46" s="164">
        <f t="shared" si="32"/>
        <v>-6.3626723223753956E-2</v>
      </c>
      <c r="S46" s="165">
        <f t="shared" si="33"/>
        <v>0.6437081161578555</v>
      </c>
      <c r="T46" s="164">
        <f t="shared" si="34"/>
        <v>1.6757685761698497E-3</v>
      </c>
      <c r="U46" s="163">
        <v>5447</v>
      </c>
      <c r="V46" s="163">
        <v>974</v>
      </c>
      <c r="W46" s="163">
        <v>5532</v>
      </c>
      <c r="X46" s="163">
        <v>6433</v>
      </c>
      <c r="Y46" s="163">
        <v>5436</v>
      </c>
      <c r="Z46" s="164">
        <f t="shared" si="35"/>
        <v>-0.15498212342608431</v>
      </c>
      <c r="AA46" s="165">
        <f t="shared" si="28"/>
        <v>-2.0194602533504247E-3</v>
      </c>
      <c r="AB46" s="164">
        <f t="shared" si="36"/>
        <v>1.6997996262692213E-3</v>
      </c>
    </row>
    <row r="47" spans="1:28" x14ac:dyDescent="0.25">
      <c r="A47" s="56"/>
      <c r="B47" s="162" t="s">
        <v>131</v>
      </c>
      <c r="C47" s="163">
        <v>2800</v>
      </c>
      <c r="D47" s="163">
        <v>1065</v>
      </c>
      <c r="E47" s="163">
        <v>15</v>
      </c>
      <c r="F47" s="163">
        <v>794</v>
      </c>
      <c r="G47" s="163">
        <v>1099</v>
      </c>
      <c r="H47" s="163">
        <v>888</v>
      </c>
      <c r="I47" s="164">
        <f t="shared" si="29"/>
        <v>-0.19199272065514106</v>
      </c>
      <c r="J47" s="165">
        <f t="shared" si="30"/>
        <v>-0.68285714285714283</v>
      </c>
      <c r="K47" s="164">
        <f t="shared" si="31"/>
        <v>1.5761112649357841E-3</v>
      </c>
      <c r="L47" s="163">
        <v>3800</v>
      </c>
      <c r="M47" s="163">
        <v>3698</v>
      </c>
      <c r="N47" s="163">
        <v>649</v>
      </c>
      <c r="O47" s="163">
        <v>3177</v>
      </c>
      <c r="P47" s="163">
        <v>4981</v>
      </c>
      <c r="Q47" s="163">
        <v>4526</v>
      </c>
      <c r="R47" s="164">
        <f t="shared" si="32"/>
        <v>-9.1347119052399117E-2</v>
      </c>
      <c r="S47" s="165">
        <f t="shared" si="33"/>
        <v>0.19105263157894736</v>
      </c>
      <c r="T47" s="164">
        <f t="shared" si="34"/>
        <v>1.7179000171562264E-3</v>
      </c>
      <c r="U47" s="163">
        <v>6600</v>
      </c>
      <c r="V47" s="163">
        <v>664</v>
      </c>
      <c r="W47" s="163">
        <v>3971</v>
      </c>
      <c r="X47" s="163">
        <v>6080</v>
      </c>
      <c r="Y47" s="163">
        <v>5414</v>
      </c>
      <c r="Z47" s="164">
        <f t="shared" si="35"/>
        <v>-0.10953947368421058</v>
      </c>
      <c r="AA47" s="165">
        <f t="shared" si="28"/>
        <v>-0.17969696969696969</v>
      </c>
      <c r="AB47" s="164">
        <f t="shared" si="36"/>
        <v>1.692920378333621E-3</v>
      </c>
    </row>
    <row r="48" spans="1:28" x14ac:dyDescent="0.25">
      <c r="A48" s="56"/>
      <c r="B48" s="168" t="s">
        <v>145</v>
      </c>
      <c r="C48" s="169">
        <f t="shared" ref="C48:H48" si="37">C40-SUM(C41:C47)</f>
        <v>29443</v>
      </c>
      <c r="D48" s="169">
        <f t="shared" si="37"/>
        <v>12631</v>
      </c>
      <c r="E48" s="169">
        <f t="shared" si="37"/>
        <v>7593</v>
      </c>
      <c r="F48" s="169">
        <f t="shared" si="37"/>
        <v>42670</v>
      </c>
      <c r="G48" s="169">
        <f t="shared" si="37"/>
        <v>48964</v>
      </c>
      <c r="H48" s="169">
        <f t="shared" si="37"/>
        <v>53990</v>
      </c>
      <c r="I48" s="170">
        <f t="shared" si="29"/>
        <v>0.10264684257822076</v>
      </c>
      <c r="J48" s="171">
        <f t="shared" si="30"/>
        <v>0.83371259722175051</v>
      </c>
      <c r="K48" s="170">
        <f t="shared" si="31"/>
        <v>9.582685494806642E-2</v>
      </c>
      <c r="L48" s="169">
        <f t="shared" ref="L48:Q48" si="38">L40-SUM(L41:L47)</f>
        <v>85335</v>
      </c>
      <c r="M48" s="169">
        <f t="shared" si="38"/>
        <v>29440</v>
      </c>
      <c r="N48" s="169">
        <f t="shared" si="38"/>
        <v>23197</v>
      </c>
      <c r="O48" s="169">
        <f t="shared" si="38"/>
        <v>100161</v>
      </c>
      <c r="P48" s="169">
        <f t="shared" si="38"/>
        <v>107145</v>
      </c>
      <c r="Q48" s="169">
        <f t="shared" si="38"/>
        <v>113909</v>
      </c>
      <c r="R48" s="170">
        <f t="shared" si="32"/>
        <v>6.3129404078585027E-2</v>
      </c>
      <c r="S48" s="171">
        <f t="shared" si="33"/>
        <v>0.33484502255815318</v>
      </c>
      <c r="T48" s="170">
        <f t="shared" si="34"/>
        <v>4.3235588390244939E-2</v>
      </c>
      <c r="U48" s="169">
        <f>U40-SUM(U41:U47)</f>
        <v>114778</v>
      </c>
      <c r="V48" s="169">
        <f>V40-SUM(V41:V47)</f>
        <v>30790</v>
      </c>
      <c r="W48" s="169">
        <f>W40-SUM(W41:W47)</f>
        <v>142831</v>
      </c>
      <c r="X48" s="169">
        <f>X40-SUM(X41:X47)</f>
        <v>156109</v>
      </c>
      <c r="Y48" s="169">
        <f>Y40-SUM(Y41:Y47)</f>
        <v>167899</v>
      </c>
      <c r="Z48" s="170">
        <f t="shared" si="35"/>
        <v>7.5524152995663396E-2</v>
      </c>
      <c r="AA48" s="171">
        <f t="shared" si="28"/>
        <v>0.46281517363954761</v>
      </c>
      <c r="AB48" s="170">
        <f t="shared" si="36"/>
        <v>5.2500856779061071E-2</v>
      </c>
    </row>
    <row r="49" spans="1:28" x14ac:dyDescent="0.25">
      <c r="A49" s="56"/>
      <c r="B49" s="153" t="s">
        <v>46</v>
      </c>
      <c r="C49" s="151"/>
      <c r="D49" s="151"/>
      <c r="E49" s="151"/>
      <c r="F49" s="151"/>
      <c r="G49" s="151"/>
      <c r="H49" s="151"/>
      <c r="I49" s="151"/>
      <c r="J49" s="151"/>
      <c r="K49" s="151"/>
      <c r="L49" s="151"/>
      <c r="M49" s="151"/>
      <c r="N49" s="151"/>
      <c r="O49" s="151"/>
      <c r="P49" s="151"/>
      <c r="Q49" s="151"/>
      <c r="R49" s="151"/>
      <c r="S49" s="151"/>
      <c r="T49" s="151"/>
      <c r="U49" s="151"/>
      <c r="V49" s="151"/>
      <c r="W49" s="151"/>
      <c r="X49" s="151"/>
      <c r="Y49" s="151"/>
      <c r="Z49" s="151"/>
      <c r="AA49" s="151"/>
      <c r="AB49" s="151"/>
    </row>
    <row r="50" spans="1:28" x14ac:dyDescent="0.25">
      <c r="A50" s="56"/>
      <c r="B50" s="154" t="s">
        <v>68</v>
      </c>
      <c r="C50" s="176">
        <f t="shared" ref="C50:H50" si="39">C51+C54</f>
        <v>0</v>
      </c>
      <c r="D50" s="176">
        <f t="shared" si="39"/>
        <v>1275</v>
      </c>
      <c r="E50" s="176">
        <f t="shared" si="39"/>
        <v>3463</v>
      </c>
      <c r="F50" s="176">
        <f t="shared" si="39"/>
        <v>0</v>
      </c>
      <c r="G50" s="176">
        <f t="shared" si="39"/>
        <v>0</v>
      </c>
      <c r="H50" s="176">
        <f t="shared" si="39"/>
        <v>0</v>
      </c>
      <c r="I50" s="177" t="str">
        <f>IFERROR(H50/G50-1,"-")</f>
        <v>-</v>
      </c>
      <c r="J50" s="177" t="str">
        <f>IFERROR(H50/C50-1,"-")</f>
        <v>-</v>
      </c>
      <c r="K50" s="177">
        <f>H50/H$8</f>
        <v>0</v>
      </c>
      <c r="L50" s="176">
        <f t="shared" ref="L50:Q50" si="40">L51+L54</f>
        <v>0</v>
      </c>
      <c r="M50" s="176">
        <f t="shared" si="40"/>
        <v>0</v>
      </c>
      <c r="N50" s="176">
        <f t="shared" si="40"/>
        <v>0</v>
      </c>
      <c r="O50" s="176">
        <f t="shared" si="40"/>
        <v>0</v>
      </c>
      <c r="P50" s="176">
        <f t="shared" si="40"/>
        <v>0</v>
      </c>
      <c r="Q50" s="176">
        <f t="shared" si="40"/>
        <v>0</v>
      </c>
      <c r="R50" s="177" t="str">
        <f>IFERROR(Q50/P50-1,"-")</f>
        <v>-</v>
      </c>
      <c r="S50" s="177" t="str">
        <f>IFERROR(Q50/L50-1,"-")</f>
        <v>-</v>
      </c>
      <c r="T50" s="177">
        <f>Q50/Q$8</f>
        <v>0</v>
      </c>
      <c r="U50" s="176">
        <f>U51+U54</f>
        <v>29035</v>
      </c>
      <c r="V50" s="176">
        <f>V51+V54</f>
        <v>11501</v>
      </c>
      <c r="W50" s="176">
        <f>W51+W54</f>
        <v>25651</v>
      </c>
      <c r="X50" s="176">
        <f>X51+X54</f>
        <v>36596</v>
      </c>
      <c r="Y50" s="176">
        <f>Y51+Y54</f>
        <v>31559</v>
      </c>
      <c r="Z50" s="177">
        <f>IFERROR(Y50/X50-1,"-")</f>
        <v>-0.13763799322330306</v>
      </c>
      <c r="AA50" s="177">
        <f t="shared" ref="AA50:AA62" si="41">IFERROR(Y50/U50-1,"-")</f>
        <v>8.6929567763044613E-2</v>
      </c>
      <c r="AB50" s="177">
        <f>Y50/Y$8</f>
        <v>9.868281163618535E-3</v>
      </c>
    </row>
    <row r="51" spans="1:28" x14ac:dyDescent="0.25">
      <c r="A51" s="56"/>
      <c r="B51" s="157" t="s">
        <v>97</v>
      </c>
      <c r="C51" s="158">
        <v>0</v>
      </c>
      <c r="D51" s="158">
        <v>1006</v>
      </c>
      <c r="E51" s="158">
        <v>787</v>
      </c>
      <c r="F51" s="158">
        <v>0</v>
      </c>
      <c r="G51" s="158">
        <v>0</v>
      </c>
      <c r="H51" s="158">
        <v>0</v>
      </c>
      <c r="I51" s="159" t="str">
        <f>IFERROR(H51/G51-1,"-")</f>
        <v>-</v>
      </c>
      <c r="J51" s="160" t="str">
        <f>IFERROR(H51/C51-1,"-")</f>
        <v>-</v>
      </c>
      <c r="K51" s="159">
        <f>H51/H$8</f>
        <v>0</v>
      </c>
      <c r="L51" s="158">
        <v>0</v>
      </c>
      <c r="M51" s="158">
        <v>0</v>
      </c>
      <c r="N51" s="158">
        <v>0</v>
      </c>
      <c r="O51" s="158">
        <v>0</v>
      </c>
      <c r="P51" s="158">
        <v>0</v>
      </c>
      <c r="Q51" s="158">
        <v>0</v>
      </c>
      <c r="R51" s="159" t="str">
        <f>IFERROR(Q51/P51-1,"-")</f>
        <v>-</v>
      </c>
      <c r="S51" s="160" t="str">
        <f>IFERROR(Q51/L51-1,"-")</f>
        <v>-</v>
      </c>
      <c r="T51" s="159">
        <f>Q51/Q$8</f>
        <v>0</v>
      </c>
      <c r="U51" s="158">
        <v>7052</v>
      </c>
      <c r="V51" s="158">
        <v>3943</v>
      </c>
      <c r="W51" s="158">
        <v>4228</v>
      </c>
      <c r="X51" s="158">
        <v>16245</v>
      </c>
      <c r="Y51" s="158">
        <v>8595</v>
      </c>
      <c r="Z51" s="159">
        <f>IFERROR(Y51/X51-1,"-")</f>
        <v>-0.47091412742382266</v>
      </c>
      <c r="AA51" s="160">
        <f t="shared" si="41"/>
        <v>0.21880317640385716</v>
      </c>
      <c r="AB51" s="159">
        <f>Y51/Y$8</f>
        <v>2.6875970912038183E-3</v>
      </c>
    </row>
    <row r="52" spans="1:28" x14ac:dyDescent="0.25">
      <c r="A52" s="56"/>
      <c r="B52" s="162" t="s">
        <v>103</v>
      </c>
      <c r="C52" s="163">
        <v>0</v>
      </c>
      <c r="D52" s="163">
        <v>965</v>
      </c>
      <c r="E52" s="163">
        <v>309</v>
      </c>
      <c r="F52" s="163">
        <v>0</v>
      </c>
      <c r="G52" s="163">
        <v>0</v>
      </c>
      <c r="H52" s="163">
        <v>0</v>
      </c>
      <c r="I52" s="164" t="str">
        <f>IFERROR(H52/G52-1,"-")</f>
        <v>-</v>
      </c>
      <c r="J52" s="165" t="str">
        <f>IFERROR(H52/C52-1,"-")</f>
        <v>-</v>
      </c>
      <c r="K52" s="164">
        <f>H52/H$8</f>
        <v>0</v>
      </c>
      <c r="L52" s="163">
        <v>0</v>
      </c>
      <c r="M52" s="163">
        <v>0</v>
      </c>
      <c r="N52" s="163">
        <v>0</v>
      </c>
      <c r="O52" s="163">
        <v>0</v>
      </c>
      <c r="P52" s="163">
        <v>0</v>
      </c>
      <c r="Q52" s="163">
        <v>0</v>
      </c>
      <c r="R52" s="164" t="str">
        <f>IFERROR(Q52/P52-1,"-")</f>
        <v>-</v>
      </c>
      <c r="S52" s="165" t="str">
        <f>IFERROR(Q52/L52-1,"-")</f>
        <v>-</v>
      </c>
      <c r="T52" s="164">
        <f>Q52/Q$8</f>
        <v>0</v>
      </c>
      <c r="U52" s="163">
        <v>3996</v>
      </c>
      <c r="V52" s="163">
        <v>1994</v>
      </c>
      <c r="W52" s="163">
        <v>2187</v>
      </c>
      <c r="X52" s="163">
        <v>12177</v>
      </c>
      <c r="Y52" s="163">
        <v>5827</v>
      </c>
      <c r="Z52" s="164">
        <f>IFERROR(Y52/X52-1,"-")</f>
        <v>-0.52147491171881422</v>
      </c>
      <c r="AA52" s="165">
        <f t="shared" si="41"/>
        <v>0.45820820820820818</v>
      </c>
      <c r="AB52" s="164">
        <f>Y52/Y$8</f>
        <v>1.8220626236701164E-3</v>
      </c>
    </row>
    <row r="53" spans="1:28" x14ac:dyDescent="0.25">
      <c r="A53" s="56"/>
      <c r="B53" s="162" t="s">
        <v>100</v>
      </c>
      <c r="C53" s="163">
        <v>0</v>
      </c>
      <c r="D53" s="163">
        <v>41</v>
      </c>
      <c r="E53" s="163">
        <v>478</v>
      </c>
      <c r="F53" s="163">
        <v>0</v>
      </c>
      <c r="G53" s="163">
        <v>0</v>
      </c>
      <c r="H53" s="163">
        <v>0</v>
      </c>
      <c r="I53" s="164" t="str">
        <f>IFERROR(H53/G53-1,"-")</f>
        <v>-</v>
      </c>
      <c r="J53" s="165" t="str">
        <f>IFERROR(H53/C53-1,"-")</f>
        <v>-</v>
      </c>
      <c r="K53" s="164">
        <f>H53/H$8</f>
        <v>0</v>
      </c>
      <c r="L53" s="163">
        <v>0</v>
      </c>
      <c r="M53" s="163">
        <v>0</v>
      </c>
      <c r="N53" s="163">
        <v>0</v>
      </c>
      <c r="O53" s="163">
        <v>0</v>
      </c>
      <c r="P53" s="163">
        <v>0</v>
      </c>
      <c r="Q53" s="163">
        <v>0</v>
      </c>
      <c r="R53" s="164" t="str">
        <f>IFERROR(Q53/P53-1,"-")</f>
        <v>-</v>
      </c>
      <c r="S53" s="165" t="str">
        <f>IFERROR(Q53/L53-1,"-")</f>
        <v>-</v>
      </c>
      <c r="T53" s="164">
        <f>Q53/Q$8</f>
        <v>0</v>
      </c>
      <c r="U53" s="163">
        <v>3056</v>
      </c>
      <c r="V53" s="163">
        <v>1949</v>
      </c>
      <c r="W53" s="163">
        <v>2041</v>
      </c>
      <c r="X53" s="163">
        <v>4068</v>
      </c>
      <c r="Y53" s="163">
        <v>2768</v>
      </c>
      <c r="Z53" s="164">
        <f>IFERROR(Y53/X53-1,"-")</f>
        <v>-0.31956735496558508</v>
      </c>
      <c r="AA53" s="165">
        <f t="shared" si="41"/>
        <v>-9.4240837696335067E-2</v>
      </c>
      <c r="AB53" s="164">
        <f>Y53/Y$8</f>
        <v>8.6553446753370202E-4</v>
      </c>
    </row>
    <row r="54" spans="1:28" x14ac:dyDescent="0.25">
      <c r="A54" s="56"/>
      <c r="B54" s="157" t="s">
        <v>107</v>
      </c>
      <c r="C54" s="158">
        <v>0</v>
      </c>
      <c r="D54" s="158">
        <v>269</v>
      </c>
      <c r="E54" s="158">
        <v>2676</v>
      </c>
      <c r="F54" s="158">
        <v>0</v>
      </c>
      <c r="G54" s="158">
        <v>0</v>
      </c>
      <c r="H54" s="158">
        <v>0</v>
      </c>
      <c r="I54" s="159" t="str">
        <f>IFERROR(H54/G54-1,"-")</f>
        <v>-</v>
      </c>
      <c r="J54" s="160" t="str">
        <f>IFERROR(H54/C54-1,"-")</f>
        <v>-</v>
      </c>
      <c r="K54" s="159">
        <f>H54/H$8</f>
        <v>0</v>
      </c>
      <c r="L54" s="158">
        <v>0</v>
      </c>
      <c r="M54" s="158">
        <v>0</v>
      </c>
      <c r="N54" s="158">
        <v>0</v>
      </c>
      <c r="O54" s="158">
        <v>0</v>
      </c>
      <c r="P54" s="158">
        <v>0</v>
      </c>
      <c r="Q54" s="158">
        <v>0</v>
      </c>
      <c r="R54" s="159" t="str">
        <f>IFERROR(Q54/P54-1,"-")</f>
        <v>-</v>
      </c>
      <c r="S54" s="160" t="str">
        <f>IFERROR(Q54/L54-1,"-")</f>
        <v>-</v>
      </c>
      <c r="T54" s="159">
        <f>Q54/Q$8</f>
        <v>0</v>
      </c>
      <c r="U54" s="158">
        <v>21983</v>
      </c>
      <c r="V54" s="158">
        <v>7558</v>
      </c>
      <c r="W54" s="158">
        <v>21423</v>
      </c>
      <c r="X54" s="158">
        <v>20351</v>
      </c>
      <c r="Y54" s="158">
        <v>22964</v>
      </c>
      <c r="Z54" s="159">
        <f>IFERROR(Y54/X54-1,"-")</f>
        <v>0.12839663898579912</v>
      </c>
      <c r="AA54" s="160">
        <f t="shared" si="41"/>
        <v>4.4625392348633053E-2</v>
      </c>
      <c r="AB54" s="159">
        <f>Y54/Y$8</f>
        <v>7.1806840724147163E-3</v>
      </c>
    </row>
    <row r="55" spans="1:28" s="56" customFormat="1" x14ac:dyDescent="0.25">
      <c r="B55" s="162" t="s">
        <v>110</v>
      </c>
      <c r="C55" s="163">
        <v>0</v>
      </c>
      <c r="D55" s="163">
        <v>37</v>
      </c>
      <c r="E55" s="163">
        <v>55</v>
      </c>
      <c r="F55" s="163">
        <v>0</v>
      </c>
      <c r="G55" s="163">
        <v>0</v>
      </c>
      <c r="H55" s="163">
        <v>0</v>
      </c>
      <c r="I55" s="164" t="str">
        <f t="shared" ref="I55:I62" si="42">IFERROR(H55/G55-1,"-")</f>
        <v>-</v>
      </c>
      <c r="J55" s="165" t="str">
        <f t="shared" ref="J55:J62" si="43">IFERROR(H55/C55-1,"-")</f>
        <v>-</v>
      </c>
      <c r="K55" s="164">
        <f t="shared" ref="K55:K62" si="44">H55/H$8</f>
        <v>0</v>
      </c>
      <c r="L55" s="163">
        <v>0</v>
      </c>
      <c r="M55" s="163">
        <v>0</v>
      </c>
      <c r="N55" s="163">
        <v>0</v>
      </c>
      <c r="O55" s="163">
        <v>0</v>
      </c>
      <c r="P55" s="163">
        <v>0</v>
      </c>
      <c r="Q55" s="163">
        <v>0</v>
      </c>
      <c r="R55" s="164" t="str">
        <f t="shared" ref="R55:R62" si="45">IFERROR(Q55/P55-1,"-")</f>
        <v>-</v>
      </c>
      <c r="S55" s="165" t="str">
        <f t="shared" ref="S55:S62" si="46">IFERROR(Q55/L55-1,"-")</f>
        <v>-</v>
      </c>
      <c r="T55" s="164">
        <f t="shared" ref="T55:T62" si="47">Q55/Q$8</f>
        <v>0</v>
      </c>
      <c r="U55" s="163">
        <v>6545</v>
      </c>
      <c r="V55" s="163">
        <v>1039</v>
      </c>
      <c r="W55" s="163">
        <v>7632</v>
      </c>
      <c r="X55" s="163">
        <v>6643</v>
      </c>
      <c r="Y55" s="163">
        <v>8156</v>
      </c>
      <c r="Z55" s="164">
        <f t="shared" ref="Z55:Z62" si="48">IFERROR(Y55/X55-1,"-")</f>
        <v>0.22775854282703589</v>
      </c>
      <c r="AA55" s="165">
        <f t="shared" si="41"/>
        <v>0.24614209320091662</v>
      </c>
      <c r="AB55" s="164">
        <f t="shared" ref="AB55:AB62" si="49">Y55/Y$8</f>
        <v>2.5503248255797956E-3</v>
      </c>
    </row>
    <row r="56" spans="1:28" s="56" customFormat="1" x14ac:dyDescent="0.25">
      <c r="B56" s="162" t="s">
        <v>113</v>
      </c>
      <c r="C56" s="163">
        <v>0</v>
      </c>
      <c r="D56" s="163">
        <v>68</v>
      </c>
      <c r="E56" s="163">
        <v>1007</v>
      </c>
      <c r="F56" s="163">
        <v>0</v>
      </c>
      <c r="G56" s="163">
        <v>0</v>
      </c>
      <c r="H56" s="163">
        <v>0</v>
      </c>
      <c r="I56" s="164" t="str">
        <f t="shared" si="42"/>
        <v>-</v>
      </c>
      <c r="J56" s="165" t="str">
        <f t="shared" si="43"/>
        <v>-</v>
      </c>
      <c r="K56" s="164">
        <f t="shared" si="44"/>
        <v>0</v>
      </c>
      <c r="L56" s="163">
        <v>0</v>
      </c>
      <c r="M56" s="163">
        <v>0</v>
      </c>
      <c r="N56" s="163">
        <v>0</v>
      </c>
      <c r="O56" s="163">
        <v>0</v>
      </c>
      <c r="P56" s="163">
        <v>0</v>
      </c>
      <c r="Q56" s="163">
        <v>0</v>
      </c>
      <c r="R56" s="164" t="str">
        <f t="shared" si="45"/>
        <v>-</v>
      </c>
      <c r="S56" s="165" t="str">
        <f t="shared" si="46"/>
        <v>-</v>
      </c>
      <c r="T56" s="164">
        <f t="shared" si="47"/>
        <v>0</v>
      </c>
      <c r="U56" s="163">
        <v>5918</v>
      </c>
      <c r="V56" s="163">
        <v>2433</v>
      </c>
      <c r="W56" s="163">
        <v>4682</v>
      </c>
      <c r="X56" s="163">
        <v>3480</v>
      </c>
      <c r="Y56" s="163">
        <v>4392</v>
      </c>
      <c r="Z56" s="164">
        <f t="shared" si="48"/>
        <v>0.26206896551724146</v>
      </c>
      <c r="AA56" s="165">
        <f t="shared" si="41"/>
        <v>-0.25785738425143634</v>
      </c>
      <c r="AB56" s="164">
        <f t="shared" si="49"/>
        <v>1.373348042416192E-3</v>
      </c>
    </row>
    <row r="57" spans="1:28" x14ac:dyDescent="0.25">
      <c r="A57" s="56"/>
      <c r="B57" s="162" t="s">
        <v>116</v>
      </c>
      <c r="C57" s="163">
        <v>0</v>
      </c>
      <c r="D57" s="163">
        <v>47</v>
      </c>
      <c r="E57" s="163">
        <v>446</v>
      </c>
      <c r="F57" s="163">
        <v>0</v>
      </c>
      <c r="G57" s="163">
        <v>0</v>
      </c>
      <c r="H57" s="163">
        <v>0</v>
      </c>
      <c r="I57" s="164" t="str">
        <f t="shared" si="42"/>
        <v>-</v>
      </c>
      <c r="J57" s="165" t="str">
        <f t="shared" si="43"/>
        <v>-</v>
      </c>
      <c r="K57" s="164">
        <f t="shared" si="44"/>
        <v>0</v>
      </c>
      <c r="L57" s="163">
        <v>0</v>
      </c>
      <c r="M57" s="163">
        <v>0</v>
      </c>
      <c r="N57" s="163">
        <v>0</v>
      </c>
      <c r="O57" s="163">
        <v>0</v>
      </c>
      <c r="P57" s="163">
        <v>0</v>
      </c>
      <c r="Q57" s="163">
        <v>0</v>
      </c>
      <c r="R57" s="164" t="str">
        <f t="shared" si="45"/>
        <v>-</v>
      </c>
      <c r="S57" s="165" t="str">
        <f t="shared" si="46"/>
        <v>-</v>
      </c>
      <c r="T57" s="164">
        <f t="shared" si="47"/>
        <v>0</v>
      </c>
      <c r="U57" s="163">
        <v>1648</v>
      </c>
      <c r="V57" s="163">
        <v>1034</v>
      </c>
      <c r="W57" s="163">
        <v>1821</v>
      </c>
      <c r="X57" s="163">
        <v>2075</v>
      </c>
      <c r="Y57" s="163">
        <v>1710</v>
      </c>
      <c r="Z57" s="164">
        <f t="shared" si="48"/>
        <v>-0.17590361445783131</v>
      </c>
      <c r="AA57" s="165">
        <f t="shared" si="41"/>
        <v>3.762135922330101E-2</v>
      </c>
      <c r="AB57" s="164">
        <f t="shared" si="49"/>
        <v>5.3470518044892719E-4</v>
      </c>
    </row>
    <row r="58" spans="1:28" x14ac:dyDescent="0.25">
      <c r="A58" s="56"/>
      <c r="B58" s="162" t="s">
        <v>123</v>
      </c>
      <c r="C58" s="163">
        <v>0</v>
      </c>
      <c r="D58" s="163">
        <v>25</v>
      </c>
      <c r="E58" s="163">
        <v>55</v>
      </c>
      <c r="F58" s="163">
        <v>0</v>
      </c>
      <c r="G58" s="163">
        <v>0</v>
      </c>
      <c r="H58" s="163">
        <v>0</v>
      </c>
      <c r="I58" s="164" t="str">
        <f t="shared" si="42"/>
        <v>-</v>
      </c>
      <c r="J58" s="165" t="str">
        <f t="shared" si="43"/>
        <v>-</v>
      </c>
      <c r="K58" s="164">
        <f t="shared" si="44"/>
        <v>0</v>
      </c>
      <c r="L58" s="163">
        <v>0</v>
      </c>
      <c r="M58" s="163">
        <v>0</v>
      </c>
      <c r="N58" s="163">
        <v>0</v>
      </c>
      <c r="O58" s="163">
        <v>0</v>
      </c>
      <c r="P58" s="163">
        <v>0</v>
      </c>
      <c r="Q58" s="163">
        <v>0</v>
      </c>
      <c r="R58" s="164" t="str">
        <f t="shared" si="45"/>
        <v>-</v>
      </c>
      <c r="S58" s="165" t="str">
        <f t="shared" si="46"/>
        <v>-</v>
      </c>
      <c r="T58" s="164">
        <f t="shared" si="47"/>
        <v>0</v>
      </c>
      <c r="U58" s="163">
        <v>433</v>
      </c>
      <c r="V58" s="163">
        <v>196</v>
      </c>
      <c r="W58" s="163">
        <v>605</v>
      </c>
      <c r="X58" s="163">
        <v>443</v>
      </c>
      <c r="Y58" s="163">
        <v>756</v>
      </c>
      <c r="Z58" s="164">
        <f t="shared" si="48"/>
        <v>0.70654627539503378</v>
      </c>
      <c r="AA58" s="165">
        <f t="shared" si="41"/>
        <v>0.74595842956120095</v>
      </c>
      <c r="AB58" s="164">
        <f t="shared" si="49"/>
        <v>2.3639597451426256E-4</v>
      </c>
    </row>
    <row r="59" spans="1:28" x14ac:dyDescent="0.25">
      <c r="A59" s="56"/>
      <c r="B59" s="162" t="s">
        <v>119</v>
      </c>
      <c r="C59" s="163">
        <v>0</v>
      </c>
      <c r="D59" s="163">
        <v>26</v>
      </c>
      <c r="E59" s="163">
        <v>80</v>
      </c>
      <c r="F59" s="163">
        <v>0</v>
      </c>
      <c r="G59" s="163">
        <v>0</v>
      </c>
      <c r="H59" s="163">
        <v>0</v>
      </c>
      <c r="I59" s="164" t="str">
        <f t="shared" si="42"/>
        <v>-</v>
      </c>
      <c r="J59" s="165" t="str">
        <f t="shared" si="43"/>
        <v>-</v>
      </c>
      <c r="K59" s="164">
        <f t="shared" si="44"/>
        <v>0</v>
      </c>
      <c r="L59" s="163">
        <v>0</v>
      </c>
      <c r="M59" s="163">
        <v>0</v>
      </c>
      <c r="N59" s="163">
        <v>0</v>
      </c>
      <c r="O59" s="163">
        <v>0</v>
      </c>
      <c r="P59" s="163">
        <v>0</v>
      </c>
      <c r="Q59" s="163">
        <v>0</v>
      </c>
      <c r="R59" s="164" t="str">
        <f t="shared" si="45"/>
        <v>-</v>
      </c>
      <c r="S59" s="165" t="str">
        <f t="shared" si="46"/>
        <v>-</v>
      </c>
      <c r="T59" s="164">
        <f t="shared" si="47"/>
        <v>0</v>
      </c>
      <c r="U59" s="163">
        <v>513</v>
      </c>
      <c r="V59" s="163">
        <v>219</v>
      </c>
      <c r="W59" s="163">
        <v>538</v>
      </c>
      <c r="X59" s="163">
        <v>447</v>
      </c>
      <c r="Y59" s="163">
        <v>502</v>
      </c>
      <c r="Z59" s="164">
        <f t="shared" si="48"/>
        <v>0.12304250559284124</v>
      </c>
      <c r="AA59" s="165">
        <f t="shared" si="41"/>
        <v>-2.1442495126705707E-2</v>
      </c>
      <c r="AB59" s="164">
        <f t="shared" si="49"/>
        <v>1.5697193016687804E-4</v>
      </c>
    </row>
    <row r="60" spans="1:28" x14ac:dyDescent="0.25">
      <c r="A60" s="56"/>
      <c r="B60" s="162" t="s">
        <v>128</v>
      </c>
      <c r="C60" s="163">
        <v>0</v>
      </c>
      <c r="D60" s="163">
        <v>0</v>
      </c>
      <c r="E60" s="163">
        <v>22</v>
      </c>
      <c r="F60" s="163">
        <v>0</v>
      </c>
      <c r="G60" s="163">
        <v>0</v>
      </c>
      <c r="H60" s="163">
        <v>0</v>
      </c>
      <c r="I60" s="164" t="str">
        <f t="shared" si="42"/>
        <v>-</v>
      </c>
      <c r="J60" s="165" t="str">
        <f t="shared" si="43"/>
        <v>-</v>
      </c>
      <c r="K60" s="164">
        <f t="shared" si="44"/>
        <v>0</v>
      </c>
      <c r="L60" s="163">
        <v>0</v>
      </c>
      <c r="M60" s="163">
        <v>0</v>
      </c>
      <c r="N60" s="163">
        <v>0</v>
      </c>
      <c r="O60" s="163">
        <v>0</v>
      </c>
      <c r="P60" s="163">
        <v>0</v>
      </c>
      <c r="Q60" s="163">
        <v>0</v>
      </c>
      <c r="R60" s="164" t="str">
        <f t="shared" si="45"/>
        <v>-</v>
      </c>
      <c r="S60" s="165" t="str">
        <f t="shared" si="46"/>
        <v>-</v>
      </c>
      <c r="T60" s="164">
        <f t="shared" si="47"/>
        <v>0</v>
      </c>
      <c r="U60" s="163">
        <v>141</v>
      </c>
      <c r="V60" s="163">
        <v>42</v>
      </c>
      <c r="W60" s="163">
        <v>62</v>
      </c>
      <c r="X60" s="163">
        <v>165</v>
      </c>
      <c r="Y60" s="163">
        <v>96</v>
      </c>
      <c r="Z60" s="164">
        <f t="shared" si="48"/>
        <v>-0.41818181818181821</v>
      </c>
      <c r="AA60" s="165">
        <f t="shared" si="41"/>
        <v>-0.31914893617021278</v>
      </c>
      <c r="AB60" s="164">
        <f t="shared" si="49"/>
        <v>3.0018536446255563E-5</v>
      </c>
    </row>
    <row r="61" spans="1:28" x14ac:dyDescent="0.25">
      <c r="A61" s="56"/>
      <c r="B61" s="162" t="s">
        <v>131</v>
      </c>
      <c r="C61" s="163">
        <v>0</v>
      </c>
      <c r="D61" s="163">
        <v>0</v>
      </c>
      <c r="E61" s="163">
        <v>14</v>
      </c>
      <c r="F61" s="163">
        <v>0</v>
      </c>
      <c r="G61" s="163">
        <v>0</v>
      </c>
      <c r="H61" s="163">
        <v>0</v>
      </c>
      <c r="I61" s="164" t="str">
        <f t="shared" si="42"/>
        <v>-</v>
      </c>
      <c r="J61" s="165" t="str">
        <f t="shared" si="43"/>
        <v>-</v>
      </c>
      <c r="K61" s="164">
        <f t="shared" si="44"/>
        <v>0</v>
      </c>
      <c r="L61" s="163">
        <v>0</v>
      </c>
      <c r="M61" s="163">
        <v>0</v>
      </c>
      <c r="N61" s="163">
        <v>0</v>
      </c>
      <c r="O61" s="163">
        <v>0</v>
      </c>
      <c r="P61" s="163">
        <v>0</v>
      </c>
      <c r="Q61" s="163">
        <v>0</v>
      </c>
      <c r="R61" s="164" t="str">
        <f t="shared" si="45"/>
        <v>-</v>
      </c>
      <c r="S61" s="165" t="str">
        <f t="shared" si="46"/>
        <v>-</v>
      </c>
      <c r="T61" s="164">
        <f t="shared" si="47"/>
        <v>0</v>
      </c>
      <c r="U61" s="163">
        <v>230</v>
      </c>
      <c r="V61" s="163">
        <v>23</v>
      </c>
      <c r="W61" s="163">
        <v>97</v>
      </c>
      <c r="X61" s="163">
        <v>140</v>
      </c>
      <c r="Y61" s="163">
        <v>90</v>
      </c>
      <c r="Z61" s="164">
        <f t="shared" si="48"/>
        <v>-0.3571428571428571</v>
      </c>
      <c r="AA61" s="165">
        <f t="shared" si="41"/>
        <v>-0.60869565217391308</v>
      </c>
      <c r="AB61" s="164">
        <f t="shared" si="49"/>
        <v>2.8142377918364591E-5</v>
      </c>
    </row>
    <row r="62" spans="1:28" x14ac:dyDescent="0.25">
      <c r="A62" s="56"/>
      <c r="B62" s="168" t="s">
        <v>145</v>
      </c>
      <c r="C62" s="169">
        <f t="shared" ref="C62:H62" si="50">C54-SUM(C55:C61)</f>
        <v>0</v>
      </c>
      <c r="D62" s="169">
        <f t="shared" si="50"/>
        <v>66</v>
      </c>
      <c r="E62" s="169">
        <f t="shared" si="50"/>
        <v>997</v>
      </c>
      <c r="F62" s="169">
        <f t="shared" si="50"/>
        <v>0</v>
      </c>
      <c r="G62" s="169">
        <f t="shared" si="50"/>
        <v>0</v>
      </c>
      <c r="H62" s="169">
        <f t="shared" si="50"/>
        <v>0</v>
      </c>
      <c r="I62" s="170" t="str">
        <f t="shared" si="42"/>
        <v>-</v>
      </c>
      <c r="J62" s="171" t="str">
        <f t="shared" si="43"/>
        <v>-</v>
      </c>
      <c r="K62" s="170">
        <f t="shared" si="44"/>
        <v>0</v>
      </c>
      <c r="L62" s="169">
        <f t="shared" ref="L62:Q62" si="51">L54-SUM(L55:L61)</f>
        <v>0</v>
      </c>
      <c r="M62" s="169">
        <f t="shared" si="51"/>
        <v>0</v>
      </c>
      <c r="N62" s="169">
        <f t="shared" si="51"/>
        <v>0</v>
      </c>
      <c r="O62" s="169">
        <f t="shared" si="51"/>
        <v>0</v>
      </c>
      <c r="P62" s="169">
        <f t="shared" si="51"/>
        <v>0</v>
      </c>
      <c r="Q62" s="169">
        <f t="shared" si="51"/>
        <v>0</v>
      </c>
      <c r="R62" s="170" t="str">
        <f t="shared" si="45"/>
        <v>-</v>
      </c>
      <c r="S62" s="171" t="str">
        <f t="shared" si="46"/>
        <v>-</v>
      </c>
      <c r="T62" s="170">
        <f t="shared" si="47"/>
        <v>0</v>
      </c>
      <c r="U62" s="169">
        <f>U54-SUM(U55:U61)</f>
        <v>6555</v>
      </c>
      <c r="V62" s="169">
        <f>V54-SUM(V55:V61)</f>
        <v>2572</v>
      </c>
      <c r="W62" s="169">
        <f>W54-SUM(W55:W61)</f>
        <v>5986</v>
      </c>
      <c r="X62" s="169">
        <f>X54-SUM(X55:X61)</f>
        <v>6958</v>
      </c>
      <c r="Y62" s="169">
        <f>Y54-SUM(Y55:Y61)</f>
        <v>7262</v>
      </c>
      <c r="Z62" s="170">
        <f t="shared" si="48"/>
        <v>4.3690715722908946E-2</v>
      </c>
      <c r="AA62" s="171">
        <f t="shared" si="41"/>
        <v>0.10785659801678116</v>
      </c>
      <c r="AB62" s="170">
        <f t="shared" si="49"/>
        <v>2.2707772049240407E-3</v>
      </c>
    </row>
    <row r="63" spans="1:28" x14ac:dyDescent="0.25">
      <c r="A63" s="56"/>
      <c r="B63" s="153" t="s">
        <v>47</v>
      </c>
      <c r="C63" s="151"/>
      <c r="D63" s="151"/>
      <c r="E63" s="151"/>
      <c r="F63" s="151"/>
      <c r="G63" s="151"/>
      <c r="H63" s="151"/>
      <c r="I63" s="151"/>
      <c r="J63" s="151"/>
      <c r="K63" s="151"/>
      <c r="L63" s="151"/>
      <c r="M63" s="151"/>
      <c r="N63" s="151"/>
      <c r="O63" s="151"/>
      <c r="P63" s="151"/>
      <c r="Q63" s="151"/>
      <c r="R63" s="151"/>
      <c r="S63" s="151"/>
      <c r="T63" s="151"/>
      <c r="U63" s="151"/>
      <c r="V63" s="151"/>
      <c r="W63" s="151"/>
      <c r="X63" s="151"/>
      <c r="Y63" s="151"/>
      <c r="Z63" s="151"/>
      <c r="AA63" s="151"/>
      <c r="AB63" s="151"/>
    </row>
    <row r="64" spans="1:28" x14ac:dyDescent="0.25">
      <c r="A64" s="56"/>
      <c r="B64" s="154" t="s">
        <v>68</v>
      </c>
      <c r="C64" s="176">
        <f t="shared" ref="C64:H64" si="52">C65+C68</f>
        <v>9898</v>
      </c>
      <c r="D64" s="176">
        <f t="shared" si="52"/>
        <v>1940</v>
      </c>
      <c r="E64" s="176">
        <f t="shared" si="52"/>
        <v>0</v>
      </c>
      <c r="F64" s="176">
        <f t="shared" si="52"/>
        <v>0</v>
      </c>
      <c r="G64" s="176">
        <f t="shared" si="52"/>
        <v>0</v>
      </c>
      <c r="H64" s="176">
        <f t="shared" si="52"/>
        <v>0</v>
      </c>
      <c r="I64" s="177" t="str">
        <f>IFERROR(H64/G64-1,"-")</f>
        <v>-</v>
      </c>
      <c r="J64" s="177">
        <f>IFERROR(H64/C64-1,"-")</f>
        <v>-1</v>
      </c>
      <c r="K64" s="177">
        <f>H64/H$8</f>
        <v>0</v>
      </c>
      <c r="L64" s="176">
        <f t="shared" ref="L64:Q64" si="53">L65+L68</f>
        <v>92457</v>
      </c>
      <c r="M64" s="176">
        <f t="shared" si="53"/>
        <v>27988</v>
      </c>
      <c r="N64" s="176">
        <f t="shared" si="53"/>
        <v>32734</v>
      </c>
      <c r="O64" s="176">
        <f t="shared" si="53"/>
        <v>0</v>
      </c>
      <c r="P64" s="176">
        <f t="shared" si="53"/>
        <v>69914</v>
      </c>
      <c r="Q64" s="176">
        <f t="shared" si="53"/>
        <v>0</v>
      </c>
      <c r="R64" s="177">
        <f>IFERROR(Q64/P64-1,"-")</f>
        <v>-1</v>
      </c>
      <c r="S64" s="177">
        <f>IFERROR(Q64/L64-1,"-")</f>
        <v>-1</v>
      </c>
      <c r="T64" s="177">
        <f>Q64/Q$8</f>
        <v>0</v>
      </c>
      <c r="U64" s="176">
        <f>U65+U68</f>
        <v>102355</v>
      </c>
      <c r="V64" s="176">
        <f>V65+V68</f>
        <v>32734</v>
      </c>
      <c r="W64" s="176">
        <f>W65+W68</f>
        <v>110290</v>
      </c>
      <c r="X64" s="176">
        <f>X65+X68</f>
        <v>131067</v>
      </c>
      <c r="Y64" s="176">
        <f>Y65+Y68</f>
        <v>146251</v>
      </c>
      <c r="Z64" s="177">
        <f>IFERROR(Y64/X64-1,"-")</f>
        <v>0.11584914585669925</v>
      </c>
      <c r="AA64" s="177">
        <f t="shared" ref="AA64:AA76" si="54">IFERROR(Y64/U64-1,"-")</f>
        <v>0.42886033901616916</v>
      </c>
      <c r="AB64" s="177">
        <f>Y64/Y$8</f>
        <v>4.5731676810430444E-2</v>
      </c>
    </row>
    <row r="65" spans="1:28" x14ac:dyDescent="0.25">
      <c r="A65" s="56"/>
      <c r="B65" s="157" t="s">
        <v>97</v>
      </c>
      <c r="C65" s="158">
        <v>1365</v>
      </c>
      <c r="D65" s="158">
        <v>97</v>
      </c>
      <c r="E65" s="158">
        <v>0</v>
      </c>
      <c r="F65" s="158">
        <v>0</v>
      </c>
      <c r="G65" s="158">
        <v>0</v>
      </c>
      <c r="H65" s="158">
        <v>0</v>
      </c>
      <c r="I65" s="159" t="str">
        <f>IFERROR(H65/G65-1,"-")</f>
        <v>-</v>
      </c>
      <c r="J65" s="160">
        <f>IFERROR(H65/C65-1,"-")</f>
        <v>-1</v>
      </c>
      <c r="K65" s="159">
        <f>H65/H$8</f>
        <v>0</v>
      </c>
      <c r="L65" s="158">
        <v>32063</v>
      </c>
      <c r="M65" s="158">
        <v>11254</v>
      </c>
      <c r="N65" s="158">
        <v>19069</v>
      </c>
      <c r="O65" s="158">
        <v>0</v>
      </c>
      <c r="P65" s="158">
        <v>32115</v>
      </c>
      <c r="Q65" s="158">
        <v>0</v>
      </c>
      <c r="R65" s="159">
        <f>IFERROR(Q65/P65-1,"-")</f>
        <v>-1</v>
      </c>
      <c r="S65" s="160">
        <f>IFERROR(Q65/L65-1,"-")</f>
        <v>-1</v>
      </c>
      <c r="T65" s="159">
        <f>Q65/Q$8</f>
        <v>0</v>
      </c>
      <c r="U65" s="158">
        <v>33428</v>
      </c>
      <c r="V65" s="158">
        <v>19069</v>
      </c>
      <c r="W65" s="158">
        <v>28303</v>
      </c>
      <c r="X65" s="158">
        <v>37924</v>
      </c>
      <c r="Y65" s="158">
        <v>46749</v>
      </c>
      <c r="Z65" s="159">
        <f>IFERROR(Y65/X65-1,"-")</f>
        <v>0.23270224659846006</v>
      </c>
      <c r="AA65" s="160">
        <f t="shared" si="54"/>
        <v>0.39849826492760565</v>
      </c>
      <c r="AB65" s="159">
        <f>Y65/Y$8</f>
        <v>1.4618089170062513E-2</v>
      </c>
    </row>
    <row r="66" spans="1:28" x14ac:dyDescent="0.25">
      <c r="A66" s="56"/>
      <c r="B66" s="162" t="s">
        <v>103</v>
      </c>
      <c r="C66" s="163">
        <v>1007</v>
      </c>
      <c r="D66" s="163">
        <v>57</v>
      </c>
      <c r="E66" s="163">
        <v>0</v>
      </c>
      <c r="F66" s="163">
        <v>0</v>
      </c>
      <c r="G66" s="163">
        <v>0</v>
      </c>
      <c r="H66" s="163">
        <v>0</v>
      </c>
      <c r="I66" s="164" t="str">
        <f>IFERROR(H66/G66-1,"-")</f>
        <v>-</v>
      </c>
      <c r="J66" s="165">
        <f>IFERROR(H66/C66-1,"-")</f>
        <v>-1</v>
      </c>
      <c r="K66" s="164">
        <f>H66/H$8</f>
        <v>0</v>
      </c>
      <c r="L66" s="163">
        <v>17186</v>
      </c>
      <c r="M66" s="163">
        <v>3946</v>
      </c>
      <c r="N66" s="163">
        <v>16643</v>
      </c>
      <c r="O66" s="163">
        <v>0</v>
      </c>
      <c r="P66" s="163">
        <v>23633</v>
      </c>
      <c r="Q66" s="163">
        <v>0</v>
      </c>
      <c r="R66" s="164">
        <f>IFERROR(Q66/P66-1,"-")</f>
        <v>-1</v>
      </c>
      <c r="S66" s="165">
        <f>IFERROR(Q66/L66-1,"-")</f>
        <v>-1</v>
      </c>
      <c r="T66" s="164">
        <f>Q66/Q$8</f>
        <v>0</v>
      </c>
      <c r="U66" s="163">
        <v>18193</v>
      </c>
      <c r="V66" s="163">
        <v>16643</v>
      </c>
      <c r="W66" s="163">
        <v>22434</v>
      </c>
      <c r="X66" s="163">
        <v>27984</v>
      </c>
      <c r="Y66" s="163">
        <v>28822</v>
      </c>
      <c r="Z66" s="164">
        <f>IFERROR(Y66/X66-1,"-")</f>
        <v>2.9945683247569965E-2</v>
      </c>
      <c r="AA66" s="165">
        <f t="shared" si="54"/>
        <v>0.5842356950475458</v>
      </c>
      <c r="AB66" s="164">
        <f>Y66/Y$8</f>
        <v>9.0124401818122684E-3</v>
      </c>
    </row>
    <row r="67" spans="1:28" x14ac:dyDescent="0.25">
      <c r="A67" s="56"/>
      <c r="B67" s="162" t="s">
        <v>100</v>
      </c>
      <c r="C67" s="163">
        <v>358</v>
      </c>
      <c r="D67" s="163">
        <v>40</v>
      </c>
      <c r="E67" s="163">
        <v>0</v>
      </c>
      <c r="F67" s="163">
        <v>0</v>
      </c>
      <c r="G67" s="163">
        <v>0</v>
      </c>
      <c r="H67" s="163">
        <v>0</v>
      </c>
      <c r="I67" s="164" t="str">
        <f>IFERROR(H67/G67-1,"-")</f>
        <v>-</v>
      </c>
      <c r="J67" s="165">
        <f>IFERROR(H67/C67-1,"-")</f>
        <v>-1</v>
      </c>
      <c r="K67" s="164">
        <f>H67/H$8</f>
        <v>0</v>
      </c>
      <c r="L67" s="163">
        <v>14877</v>
      </c>
      <c r="M67" s="163">
        <v>7308</v>
      </c>
      <c r="N67" s="163">
        <v>2426</v>
      </c>
      <c r="O67" s="163">
        <v>0</v>
      </c>
      <c r="P67" s="163">
        <v>8482</v>
      </c>
      <c r="Q67" s="163">
        <v>0</v>
      </c>
      <c r="R67" s="164">
        <f>IFERROR(Q67/P67-1,"-")</f>
        <v>-1</v>
      </c>
      <c r="S67" s="165">
        <f>IFERROR(Q67/L67-1,"-")</f>
        <v>-1</v>
      </c>
      <c r="T67" s="164">
        <f>Q67/Q$8</f>
        <v>0</v>
      </c>
      <c r="U67" s="163">
        <v>15235</v>
      </c>
      <c r="V67" s="163">
        <v>2426</v>
      </c>
      <c r="W67" s="163">
        <v>5869</v>
      </c>
      <c r="X67" s="163">
        <v>9940</v>
      </c>
      <c r="Y67" s="163">
        <v>17927</v>
      </c>
      <c r="Z67" s="164">
        <f>IFERROR(Y67/X67-1,"-")</f>
        <v>0.80352112676056331</v>
      </c>
      <c r="AA67" s="165">
        <f t="shared" si="54"/>
        <v>0.17669839186084668</v>
      </c>
      <c r="AB67" s="164">
        <f>Y67/Y$8</f>
        <v>5.6056489882502442E-3</v>
      </c>
    </row>
    <row r="68" spans="1:28" x14ac:dyDescent="0.25">
      <c r="A68" s="56"/>
      <c r="B68" s="157" t="s">
        <v>107</v>
      </c>
      <c r="C68" s="158">
        <v>8533</v>
      </c>
      <c r="D68" s="158">
        <v>1843</v>
      </c>
      <c r="E68" s="158">
        <v>0</v>
      </c>
      <c r="F68" s="158">
        <v>0</v>
      </c>
      <c r="G68" s="158">
        <v>0</v>
      </c>
      <c r="H68" s="158">
        <v>0</v>
      </c>
      <c r="I68" s="159" t="str">
        <f>IFERROR(H68/G68-1,"-")</f>
        <v>-</v>
      </c>
      <c r="J68" s="160">
        <f>IFERROR(H68/C68-1,"-")</f>
        <v>-1</v>
      </c>
      <c r="K68" s="159">
        <f>H68/H$8</f>
        <v>0</v>
      </c>
      <c r="L68" s="158">
        <v>60394</v>
      </c>
      <c r="M68" s="158">
        <v>16734</v>
      </c>
      <c r="N68" s="158">
        <v>13665</v>
      </c>
      <c r="O68" s="158">
        <v>0</v>
      </c>
      <c r="P68" s="158">
        <v>37799</v>
      </c>
      <c r="Q68" s="158">
        <v>0</v>
      </c>
      <c r="R68" s="159">
        <f>IFERROR(Q68/P68-1,"-")</f>
        <v>-1</v>
      </c>
      <c r="S68" s="160">
        <f>IFERROR(Q68/L68-1,"-")</f>
        <v>-1</v>
      </c>
      <c r="T68" s="159">
        <f>Q68/Q$8</f>
        <v>0</v>
      </c>
      <c r="U68" s="158">
        <v>68927</v>
      </c>
      <c r="V68" s="158">
        <v>13665</v>
      </c>
      <c r="W68" s="158">
        <v>81987</v>
      </c>
      <c r="X68" s="158">
        <v>93143</v>
      </c>
      <c r="Y68" s="158">
        <v>99502</v>
      </c>
      <c r="Z68" s="159">
        <f>IFERROR(Y68/X68-1,"-")</f>
        <v>6.82713676819513E-2</v>
      </c>
      <c r="AA68" s="160">
        <f t="shared" si="54"/>
        <v>0.44358524235785679</v>
      </c>
      <c r="AB68" s="159">
        <f>Y68/Y$8</f>
        <v>3.1113587640367927E-2</v>
      </c>
    </row>
    <row r="69" spans="1:28" s="56" customFormat="1" x14ac:dyDescent="0.25">
      <c r="B69" s="162" t="s">
        <v>110</v>
      </c>
      <c r="C69" s="163">
        <v>1305</v>
      </c>
      <c r="D69" s="163">
        <v>217</v>
      </c>
      <c r="E69" s="163">
        <v>0</v>
      </c>
      <c r="F69" s="163">
        <v>0</v>
      </c>
      <c r="G69" s="163">
        <v>0</v>
      </c>
      <c r="H69" s="163">
        <v>0</v>
      </c>
      <c r="I69" s="164" t="str">
        <f t="shared" ref="I69:I76" si="55">IFERROR(H69/G69-1,"-")</f>
        <v>-</v>
      </c>
      <c r="J69" s="165">
        <f t="shared" ref="J69:J76" si="56">IFERROR(H69/C69-1,"-")</f>
        <v>-1</v>
      </c>
      <c r="K69" s="164">
        <f t="shared" ref="K69:K76" si="57">H69/H$8</f>
        <v>0</v>
      </c>
      <c r="L69" s="163">
        <v>29121</v>
      </c>
      <c r="M69" s="163">
        <v>6895</v>
      </c>
      <c r="N69" s="163">
        <v>2176</v>
      </c>
      <c r="O69" s="163">
        <v>0</v>
      </c>
      <c r="P69" s="163">
        <v>15523</v>
      </c>
      <c r="Q69" s="163">
        <v>0</v>
      </c>
      <c r="R69" s="164">
        <f t="shared" ref="R69:R76" si="58">IFERROR(Q69/P69-1,"-")</f>
        <v>-1</v>
      </c>
      <c r="S69" s="165">
        <f t="shared" ref="S69:S76" si="59">IFERROR(Q69/L69-1,"-")</f>
        <v>-1</v>
      </c>
      <c r="T69" s="164">
        <f t="shared" ref="T69:T76" si="60">Q69/Q$8</f>
        <v>0</v>
      </c>
      <c r="U69" s="163">
        <v>30426</v>
      </c>
      <c r="V69" s="163">
        <v>2176</v>
      </c>
      <c r="W69" s="163">
        <v>38844</v>
      </c>
      <c r="X69" s="163">
        <v>35609</v>
      </c>
      <c r="Y69" s="163">
        <v>34444</v>
      </c>
      <c r="Z69" s="164">
        <f t="shared" ref="Z69:Z76" si="61">IFERROR(Y69/X69-1,"-")</f>
        <v>-3.2716448088966232E-2</v>
      </c>
      <c r="AA69" s="165">
        <f t="shared" si="54"/>
        <v>0.13205810819693675</v>
      </c>
      <c r="AB69" s="164">
        <f t="shared" ref="AB69:AB76" si="62">Y69/Y$8</f>
        <v>1.0770400722446111E-2</v>
      </c>
    </row>
    <row r="70" spans="1:28" s="56" customFormat="1" x14ac:dyDescent="0.25">
      <c r="B70" s="162" t="s">
        <v>113</v>
      </c>
      <c r="C70" s="163">
        <v>1501</v>
      </c>
      <c r="D70" s="163">
        <v>271</v>
      </c>
      <c r="E70" s="163">
        <v>0</v>
      </c>
      <c r="F70" s="163">
        <v>0</v>
      </c>
      <c r="G70" s="163">
        <v>0</v>
      </c>
      <c r="H70" s="163">
        <v>0</v>
      </c>
      <c r="I70" s="164" t="str">
        <f t="shared" si="55"/>
        <v>-</v>
      </c>
      <c r="J70" s="165">
        <f t="shared" si="56"/>
        <v>-1</v>
      </c>
      <c r="K70" s="164">
        <f t="shared" si="57"/>
        <v>0</v>
      </c>
      <c r="L70" s="163">
        <v>6520</v>
      </c>
      <c r="M70" s="163">
        <v>2038</v>
      </c>
      <c r="N70" s="163">
        <v>1757</v>
      </c>
      <c r="O70" s="163">
        <v>0</v>
      </c>
      <c r="P70" s="163">
        <v>3330</v>
      </c>
      <c r="Q70" s="163">
        <v>0</v>
      </c>
      <c r="R70" s="164">
        <f t="shared" si="58"/>
        <v>-1</v>
      </c>
      <c r="S70" s="165">
        <f t="shared" si="59"/>
        <v>-1</v>
      </c>
      <c r="T70" s="164">
        <f t="shared" si="60"/>
        <v>0</v>
      </c>
      <c r="U70" s="163">
        <v>8021</v>
      </c>
      <c r="V70" s="163">
        <v>1757</v>
      </c>
      <c r="W70" s="163">
        <v>5542</v>
      </c>
      <c r="X70" s="163">
        <v>6459</v>
      </c>
      <c r="Y70" s="163">
        <v>6633</v>
      </c>
      <c r="Z70" s="164">
        <f t="shared" si="61"/>
        <v>2.6939154667905196E-2</v>
      </c>
      <c r="AA70" s="165">
        <f t="shared" si="54"/>
        <v>-0.17304575489340479</v>
      </c>
      <c r="AB70" s="164">
        <f t="shared" si="62"/>
        <v>2.0740932525834701E-3</v>
      </c>
    </row>
    <row r="71" spans="1:28" x14ac:dyDescent="0.25">
      <c r="A71" s="56"/>
      <c r="B71" s="162" t="s">
        <v>116</v>
      </c>
      <c r="C71" s="163">
        <v>1906</v>
      </c>
      <c r="D71" s="163">
        <v>564</v>
      </c>
      <c r="E71" s="163">
        <v>0</v>
      </c>
      <c r="F71" s="163">
        <v>0</v>
      </c>
      <c r="G71" s="163">
        <v>0</v>
      </c>
      <c r="H71" s="163">
        <v>0</v>
      </c>
      <c r="I71" s="164" t="str">
        <f t="shared" si="55"/>
        <v>-</v>
      </c>
      <c r="J71" s="165">
        <f t="shared" si="56"/>
        <v>-1</v>
      </c>
      <c r="K71" s="164">
        <f t="shared" si="57"/>
        <v>0</v>
      </c>
      <c r="L71" s="163">
        <v>5858</v>
      </c>
      <c r="M71" s="163">
        <v>1895</v>
      </c>
      <c r="N71" s="163">
        <v>2662</v>
      </c>
      <c r="O71" s="163">
        <v>0</v>
      </c>
      <c r="P71" s="163">
        <v>2991</v>
      </c>
      <c r="Q71" s="163">
        <v>0</v>
      </c>
      <c r="R71" s="164">
        <f t="shared" si="58"/>
        <v>-1</v>
      </c>
      <c r="S71" s="165">
        <f t="shared" si="59"/>
        <v>-1</v>
      </c>
      <c r="T71" s="164">
        <f t="shared" si="60"/>
        <v>0</v>
      </c>
      <c r="U71" s="163">
        <v>7764</v>
      </c>
      <c r="V71" s="163">
        <v>2662</v>
      </c>
      <c r="W71" s="163">
        <v>11009</v>
      </c>
      <c r="X71" s="163">
        <v>10476</v>
      </c>
      <c r="Y71" s="163">
        <v>13838</v>
      </c>
      <c r="Z71" s="164">
        <f t="shared" si="61"/>
        <v>0.32092401680030536</v>
      </c>
      <c r="AA71" s="165">
        <f t="shared" si="54"/>
        <v>0.78232869654817105</v>
      </c>
      <c r="AB71" s="164">
        <f t="shared" si="62"/>
        <v>4.3270469514925464E-3</v>
      </c>
    </row>
    <row r="72" spans="1:28" x14ac:dyDescent="0.25">
      <c r="A72" s="56"/>
      <c r="B72" s="162" t="s">
        <v>123</v>
      </c>
      <c r="C72" s="163">
        <v>78</v>
      </c>
      <c r="D72" s="163">
        <v>22</v>
      </c>
      <c r="E72" s="163">
        <v>0</v>
      </c>
      <c r="F72" s="163">
        <v>0</v>
      </c>
      <c r="G72" s="163">
        <v>0</v>
      </c>
      <c r="H72" s="163">
        <v>0</v>
      </c>
      <c r="I72" s="164" t="str">
        <f t="shared" si="55"/>
        <v>-</v>
      </c>
      <c r="J72" s="165">
        <f t="shared" si="56"/>
        <v>-1</v>
      </c>
      <c r="K72" s="164">
        <f t="shared" si="57"/>
        <v>0</v>
      </c>
      <c r="L72" s="163">
        <v>1189</v>
      </c>
      <c r="M72" s="163">
        <v>228</v>
      </c>
      <c r="N72" s="163">
        <v>658</v>
      </c>
      <c r="O72" s="163">
        <v>0</v>
      </c>
      <c r="P72" s="163">
        <v>1135</v>
      </c>
      <c r="Q72" s="163">
        <v>0</v>
      </c>
      <c r="R72" s="164">
        <f t="shared" si="58"/>
        <v>-1</v>
      </c>
      <c r="S72" s="165">
        <f t="shared" si="59"/>
        <v>-1</v>
      </c>
      <c r="T72" s="164">
        <f t="shared" si="60"/>
        <v>0</v>
      </c>
      <c r="U72" s="163">
        <v>1267</v>
      </c>
      <c r="V72" s="163">
        <v>658</v>
      </c>
      <c r="W72" s="163">
        <v>1360</v>
      </c>
      <c r="X72" s="163">
        <v>2515</v>
      </c>
      <c r="Y72" s="163">
        <v>3267</v>
      </c>
      <c r="Z72" s="164">
        <f t="shared" si="61"/>
        <v>0.29900596421471182</v>
      </c>
      <c r="AA72" s="165">
        <f t="shared" si="54"/>
        <v>1.5785319652722967</v>
      </c>
      <c r="AB72" s="164">
        <f t="shared" si="62"/>
        <v>1.0215683184366345E-3</v>
      </c>
    </row>
    <row r="73" spans="1:28" x14ac:dyDescent="0.25">
      <c r="A73" s="56"/>
      <c r="B73" s="162" t="s">
        <v>119</v>
      </c>
      <c r="C73" s="163">
        <v>0</v>
      </c>
      <c r="D73" s="163">
        <v>0</v>
      </c>
      <c r="E73" s="163">
        <v>0</v>
      </c>
      <c r="F73" s="163">
        <v>0</v>
      </c>
      <c r="G73" s="163">
        <v>0</v>
      </c>
      <c r="H73" s="163">
        <v>0</v>
      </c>
      <c r="I73" s="164" t="str">
        <f t="shared" si="55"/>
        <v>-</v>
      </c>
      <c r="J73" s="165" t="str">
        <f t="shared" si="56"/>
        <v>-</v>
      </c>
      <c r="K73" s="164">
        <f t="shared" si="57"/>
        <v>0</v>
      </c>
      <c r="L73" s="163">
        <v>1598</v>
      </c>
      <c r="M73" s="163">
        <v>591</v>
      </c>
      <c r="N73" s="163">
        <v>763</v>
      </c>
      <c r="O73" s="163">
        <v>0</v>
      </c>
      <c r="P73" s="163">
        <v>981</v>
      </c>
      <c r="Q73" s="163">
        <v>0</v>
      </c>
      <c r="R73" s="164">
        <f t="shared" si="58"/>
        <v>-1</v>
      </c>
      <c r="S73" s="165">
        <f t="shared" si="59"/>
        <v>-1</v>
      </c>
      <c r="T73" s="164">
        <f t="shared" si="60"/>
        <v>0</v>
      </c>
      <c r="U73" s="163">
        <v>1598</v>
      </c>
      <c r="V73" s="163">
        <v>763</v>
      </c>
      <c r="W73" s="163">
        <v>2196</v>
      </c>
      <c r="X73" s="163">
        <v>1917</v>
      </c>
      <c r="Y73" s="163">
        <v>2865</v>
      </c>
      <c r="Z73" s="164">
        <f t="shared" si="61"/>
        <v>0.49452269170579033</v>
      </c>
      <c r="AA73" s="165">
        <f t="shared" si="54"/>
        <v>0.79286608260325409</v>
      </c>
      <c r="AB73" s="164">
        <f t="shared" si="62"/>
        <v>8.9586569706793942E-4</v>
      </c>
    </row>
    <row r="74" spans="1:28" x14ac:dyDescent="0.25">
      <c r="A74" s="56"/>
      <c r="B74" s="162" t="s">
        <v>128</v>
      </c>
      <c r="C74" s="163">
        <v>165</v>
      </c>
      <c r="D74" s="163">
        <v>83</v>
      </c>
      <c r="E74" s="163">
        <v>0</v>
      </c>
      <c r="F74" s="163">
        <v>0</v>
      </c>
      <c r="G74" s="163">
        <v>0</v>
      </c>
      <c r="H74" s="163">
        <v>0</v>
      </c>
      <c r="I74" s="164" t="str">
        <f t="shared" si="55"/>
        <v>-</v>
      </c>
      <c r="J74" s="165">
        <f t="shared" si="56"/>
        <v>-1</v>
      </c>
      <c r="K74" s="164">
        <f t="shared" si="57"/>
        <v>0</v>
      </c>
      <c r="L74" s="163">
        <v>1018</v>
      </c>
      <c r="M74" s="163">
        <v>551</v>
      </c>
      <c r="N74" s="163">
        <v>22</v>
      </c>
      <c r="O74" s="163">
        <v>0</v>
      </c>
      <c r="P74" s="163">
        <v>30</v>
      </c>
      <c r="Q74" s="163">
        <v>0</v>
      </c>
      <c r="R74" s="164">
        <f t="shared" si="58"/>
        <v>-1</v>
      </c>
      <c r="S74" s="165">
        <f t="shared" si="59"/>
        <v>-1</v>
      </c>
      <c r="T74" s="164">
        <f t="shared" si="60"/>
        <v>0</v>
      </c>
      <c r="U74" s="163">
        <v>1183</v>
      </c>
      <c r="V74" s="163">
        <v>22</v>
      </c>
      <c r="W74" s="163">
        <v>897</v>
      </c>
      <c r="X74" s="163">
        <v>3209</v>
      </c>
      <c r="Y74" s="163">
        <v>1645</v>
      </c>
      <c r="Z74" s="164">
        <f t="shared" si="61"/>
        <v>-0.4873792458709878</v>
      </c>
      <c r="AA74" s="165">
        <f t="shared" si="54"/>
        <v>0.39053254437869822</v>
      </c>
      <c r="AB74" s="164">
        <f t="shared" si="62"/>
        <v>5.1438012973010832E-4</v>
      </c>
    </row>
    <row r="75" spans="1:28" x14ac:dyDescent="0.25">
      <c r="A75" s="56"/>
      <c r="B75" s="162" t="s">
        <v>131</v>
      </c>
      <c r="C75" s="163">
        <v>111</v>
      </c>
      <c r="D75" s="163">
        <v>63</v>
      </c>
      <c r="E75" s="163">
        <v>0</v>
      </c>
      <c r="F75" s="163">
        <v>0</v>
      </c>
      <c r="G75" s="163">
        <v>0</v>
      </c>
      <c r="H75" s="163">
        <v>0</v>
      </c>
      <c r="I75" s="164" t="str">
        <f t="shared" si="55"/>
        <v>-</v>
      </c>
      <c r="J75" s="165">
        <f t="shared" si="56"/>
        <v>-1</v>
      </c>
      <c r="K75" s="164">
        <f t="shared" si="57"/>
        <v>0</v>
      </c>
      <c r="L75" s="163">
        <v>1227</v>
      </c>
      <c r="M75" s="163">
        <v>710</v>
      </c>
      <c r="N75" s="163">
        <v>7</v>
      </c>
      <c r="O75" s="163">
        <v>0</v>
      </c>
      <c r="P75" s="163">
        <v>42</v>
      </c>
      <c r="Q75" s="163">
        <v>0</v>
      </c>
      <c r="R75" s="164">
        <f t="shared" si="58"/>
        <v>-1</v>
      </c>
      <c r="S75" s="165">
        <f t="shared" si="59"/>
        <v>-1</v>
      </c>
      <c r="T75" s="164">
        <f t="shared" si="60"/>
        <v>0</v>
      </c>
      <c r="U75" s="163">
        <v>1338</v>
      </c>
      <c r="V75" s="163">
        <v>7</v>
      </c>
      <c r="W75" s="163">
        <v>291</v>
      </c>
      <c r="X75" s="163">
        <v>930</v>
      </c>
      <c r="Y75" s="163">
        <v>205</v>
      </c>
      <c r="Z75" s="164">
        <f t="shared" si="61"/>
        <v>-0.77956989247311825</v>
      </c>
      <c r="AA75" s="165">
        <f t="shared" si="54"/>
        <v>-0.84678624813153958</v>
      </c>
      <c r="AB75" s="164">
        <f t="shared" si="62"/>
        <v>6.4102083036274895E-5</v>
      </c>
    </row>
    <row r="76" spans="1:28" x14ac:dyDescent="0.25">
      <c r="A76" s="56"/>
      <c r="B76" s="168" t="s">
        <v>145</v>
      </c>
      <c r="C76" s="169">
        <f t="shared" ref="C76:H76" si="63">C68-SUM(C69:C75)</f>
        <v>3467</v>
      </c>
      <c r="D76" s="169">
        <f t="shared" si="63"/>
        <v>623</v>
      </c>
      <c r="E76" s="169">
        <f t="shared" si="63"/>
        <v>0</v>
      </c>
      <c r="F76" s="169">
        <f t="shared" si="63"/>
        <v>0</v>
      </c>
      <c r="G76" s="169">
        <f t="shared" si="63"/>
        <v>0</v>
      </c>
      <c r="H76" s="169">
        <f t="shared" si="63"/>
        <v>0</v>
      </c>
      <c r="I76" s="170" t="str">
        <f t="shared" si="55"/>
        <v>-</v>
      </c>
      <c r="J76" s="171">
        <f t="shared" si="56"/>
        <v>-1</v>
      </c>
      <c r="K76" s="170">
        <f t="shared" si="57"/>
        <v>0</v>
      </c>
      <c r="L76" s="169">
        <f t="shared" ref="L76:Q76" si="64">L68-SUM(L69:L75)</f>
        <v>13863</v>
      </c>
      <c r="M76" s="169">
        <f t="shared" si="64"/>
        <v>3826</v>
      </c>
      <c r="N76" s="169">
        <f t="shared" si="64"/>
        <v>5620</v>
      </c>
      <c r="O76" s="169">
        <f t="shared" si="64"/>
        <v>0</v>
      </c>
      <c r="P76" s="169">
        <f t="shared" si="64"/>
        <v>13767</v>
      </c>
      <c r="Q76" s="169">
        <f t="shared" si="64"/>
        <v>0</v>
      </c>
      <c r="R76" s="170">
        <f t="shared" si="58"/>
        <v>-1</v>
      </c>
      <c r="S76" s="171">
        <f t="shared" si="59"/>
        <v>-1</v>
      </c>
      <c r="T76" s="170">
        <f t="shared" si="60"/>
        <v>0</v>
      </c>
      <c r="U76" s="169">
        <f>U68-SUM(U69:U75)</f>
        <v>17330</v>
      </c>
      <c r="V76" s="169">
        <f>V68-SUM(V69:V75)</f>
        <v>5620</v>
      </c>
      <c r="W76" s="169">
        <f>W68-SUM(W69:W75)</f>
        <v>21848</v>
      </c>
      <c r="X76" s="169">
        <f>X68-SUM(X69:X75)</f>
        <v>32028</v>
      </c>
      <c r="Y76" s="169">
        <f>Y68-SUM(Y69:Y75)</f>
        <v>36605</v>
      </c>
      <c r="Z76" s="170">
        <f t="shared" si="61"/>
        <v>0.14290620706881474</v>
      </c>
      <c r="AA76" s="171">
        <f t="shared" si="54"/>
        <v>1.1122331217541834</v>
      </c>
      <c r="AB76" s="170">
        <f t="shared" si="62"/>
        <v>1.1446130485574843E-2</v>
      </c>
    </row>
    <row r="77" spans="1:28" x14ac:dyDescent="0.25">
      <c r="A77" s="56"/>
      <c r="B77" s="153" t="s">
        <v>48</v>
      </c>
      <c r="C77" s="151"/>
      <c r="D77" s="151"/>
      <c r="E77" s="151"/>
      <c r="F77" s="151"/>
      <c r="G77" s="151"/>
      <c r="H77" s="151"/>
      <c r="I77" s="151"/>
      <c r="J77" s="151"/>
      <c r="K77" s="151"/>
      <c r="L77" s="151"/>
      <c r="M77" s="151"/>
      <c r="N77" s="151"/>
      <c r="O77" s="151"/>
      <c r="P77" s="151"/>
      <c r="Q77" s="151"/>
      <c r="R77" s="151"/>
      <c r="S77" s="151"/>
      <c r="T77" s="151"/>
      <c r="U77" s="151"/>
      <c r="V77" s="151"/>
      <c r="W77" s="151"/>
      <c r="X77" s="151"/>
      <c r="Y77" s="151"/>
      <c r="Z77" s="151"/>
      <c r="AA77" s="151"/>
      <c r="AB77" s="151"/>
    </row>
    <row r="78" spans="1:28" x14ac:dyDescent="0.25">
      <c r="A78" s="56"/>
      <c r="B78" s="154" t="s">
        <v>68</v>
      </c>
      <c r="C78" s="176">
        <f t="shared" ref="C78:H78" si="65">C79+C82</f>
        <v>99189</v>
      </c>
      <c r="D78" s="176">
        <f t="shared" si="65"/>
        <v>27254</v>
      </c>
      <c r="E78" s="176">
        <f t="shared" si="65"/>
        <v>43215</v>
      </c>
      <c r="F78" s="176">
        <f t="shared" si="65"/>
        <v>75459</v>
      </c>
      <c r="G78" s="176">
        <f t="shared" si="65"/>
        <v>77593</v>
      </c>
      <c r="H78" s="176">
        <f t="shared" si="65"/>
        <v>87151</v>
      </c>
      <c r="I78" s="177">
        <f>IFERROR(H78/G78-1,"-")</f>
        <v>0.1231812148003042</v>
      </c>
      <c r="J78" s="177">
        <f>IFERROR(H78/C78-1,"-")</f>
        <v>-0.12136426418252022</v>
      </c>
      <c r="K78" s="177">
        <f>H78/H$8</f>
        <v>0.15468431627299384</v>
      </c>
      <c r="L78" s="176">
        <f t="shared" ref="L78:Q78" si="66">L79+L82</f>
        <v>374546</v>
      </c>
      <c r="M78" s="176">
        <f t="shared" si="66"/>
        <v>120222</v>
      </c>
      <c r="N78" s="176">
        <f t="shared" si="66"/>
        <v>124348</v>
      </c>
      <c r="O78" s="176">
        <f t="shared" si="66"/>
        <v>348211</v>
      </c>
      <c r="P78" s="176">
        <f t="shared" si="66"/>
        <v>409555</v>
      </c>
      <c r="Q78" s="176">
        <f t="shared" si="66"/>
        <v>470041</v>
      </c>
      <c r="R78" s="177">
        <f>IFERROR(Q78/P78-1,"-")</f>
        <v>0.14768712382952232</v>
      </c>
      <c r="S78" s="177">
        <f>IFERROR(Q78/L78-1,"-")</f>
        <v>0.25496200733688257</v>
      </c>
      <c r="T78" s="177">
        <f>Q78/Q$8</f>
        <v>0.17840995182592351</v>
      </c>
      <c r="U78" s="176">
        <f>U79+U82</f>
        <v>473735</v>
      </c>
      <c r="V78" s="176">
        <f>V79+V82</f>
        <v>167563</v>
      </c>
      <c r="W78" s="176">
        <f>W79+W82</f>
        <v>423670</v>
      </c>
      <c r="X78" s="176">
        <f>X79+X82</f>
        <v>487148</v>
      </c>
      <c r="Y78" s="176">
        <f>Y79+Y82</f>
        <v>557192</v>
      </c>
      <c r="Z78" s="177">
        <f>IFERROR(Y78/X78-1,"-")</f>
        <v>0.14378381929105744</v>
      </c>
      <c r="AA78" s="177">
        <f t="shared" ref="AA78:AA90" si="67">IFERROR(Y78/U78-1,"-")</f>
        <v>0.17616811086366857</v>
      </c>
      <c r="AB78" s="177">
        <f>Y78/Y$8</f>
        <v>0.17423008707877113</v>
      </c>
    </row>
    <row r="79" spans="1:28" x14ac:dyDescent="0.25">
      <c r="A79" s="56"/>
      <c r="B79" s="157" t="s">
        <v>97</v>
      </c>
      <c r="C79" s="158">
        <v>45443</v>
      </c>
      <c r="D79" s="158">
        <v>10700</v>
      </c>
      <c r="E79" s="158">
        <v>26508</v>
      </c>
      <c r="F79" s="158">
        <v>39701</v>
      </c>
      <c r="G79" s="158">
        <v>39900</v>
      </c>
      <c r="H79" s="158">
        <v>43179</v>
      </c>
      <c r="I79" s="159">
        <f>IFERROR(H79/G79-1,"-")</f>
        <v>8.2180451127819465E-2</v>
      </c>
      <c r="J79" s="160">
        <f>IFERROR(H79/C79-1,"-")</f>
        <v>-4.9820654446229296E-2</v>
      </c>
      <c r="K79" s="159">
        <f>H79/H$8</f>
        <v>7.6638410257502509E-2</v>
      </c>
      <c r="L79" s="158">
        <v>175043</v>
      </c>
      <c r="M79" s="158">
        <v>52662</v>
      </c>
      <c r="N79" s="158">
        <v>75017</v>
      </c>
      <c r="O79" s="158">
        <v>177815</v>
      </c>
      <c r="P79" s="158">
        <v>185055</v>
      </c>
      <c r="Q79" s="158">
        <v>194018</v>
      </c>
      <c r="R79" s="159">
        <f>IFERROR(Q79/P79-1,"-")</f>
        <v>4.8434249277241825E-2</v>
      </c>
      <c r="S79" s="160">
        <f>IFERROR(Q79/L79-1,"-")</f>
        <v>0.10840193552441391</v>
      </c>
      <c r="T79" s="159">
        <f>Q79/Q$8</f>
        <v>7.3641963218872453E-2</v>
      </c>
      <c r="U79" s="158">
        <v>220486</v>
      </c>
      <c r="V79" s="158">
        <v>101525</v>
      </c>
      <c r="W79" s="158">
        <v>217516</v>
      </c>
      <c r="X79" s="158">
        <v>224955</v>
      </c>
      <c r="Y79" s="158">
        <v>237197</v>
      </c>
      <c r="Z79" s="159">
        <f>IFERROR(Y79/X79-1,"-")</f>
        <v>5.441977284345767E-2</v>
      </c>
      <c r="AA79" s="160">
        <f t="shared" si="67"/>
        <v>7.5791660241466552E-2</v>
      </c>
      <c r="AB79" s="159">
        <f>Y79/Y$8</f>
        <v>7.4169862390025834E-2</v>
      </c>
    </row>
    <row r="80" spans="1:28" x14ac:dyDescent="0.25">
      <c r="A80" s="56"/>
      <c r="B80" s="162" t="s">
        <v>103</v>
      </c>
      <c r="C80" s="163">
        <v>15514</v>
      </c>
      <c r="D80" s="163">
        <v>4497</v>
      </c>
      <c r="E80" s="163">
        <v>16691</v>
      </c>
      <c r="F80" s="163">
        <v>24487</v>
      </c>
      <c r="G80" s="163">
        <v>25295</v>
      </c>
      <c r="H80" s="163">
        <v>22887</v>
      </c>
      <c r="I80" s="164">
        <f>IFERROR(H80/G80-1,"-")</f>
        <v>-9.5196679185609812E-2</v>
      </c>
      <c r="J80" s="165">
        <f>IFERROR(H80/C80-1,"-")</f>
        <v>0.47524816294959393</v>
      </c>
      <c r="K80" s="164">
        <f>H80/H$8</f>
        <v>4.0622137973632087E-2</v>
      </c>
      <c r="L80" s="163">
        <v>22398</v>
      </c>
      <c r="M80" s="163">
        <v>8348</v>
      </c>
      <c r="N80" s="163">
        <v>16350</v>
      </c>
      <c r="O80" s="163">
        <v>27645</v>
      </c>
      <c r="P80" s="163">
        <v>23534</v>
      </c>
      <c r="Q80" s="163">
        <v>35427</v>
      </c>
      <c r="R80" s="164">
        <f>IFERROR(Q80/P80-1,"-")</f>
        <v>0.50535395597858423</v>
      </c>
      <c r="S80" s="165">
        <f>IFERROR(Q80/L80-1,"-")</f>
        <v>0.58170372354674527</v>
      </c>
      <c r="T80" s="164">
        <f>Q80/Q$8</f>
        <v>1.344676180021954E-2</v>
      </c>
      <c r="U80" s="163">
        <v>37912</v>
      </c>
      <c r="V80" s="163">
        <v>33041</v>
      </c>
      <c r="W80" s="163">
        <v>52132</v>
      </c>
      <c r="X80" s="163">
        <v>48829</v>
      </c>
      <c r="Y80" s="163">
        <v>58314</v>
      </c>
      <c r="Z80" s="164">
        <f>IFERROR(Y80/X80-1,"-")</f>
        <v>0.19424931905220255</v>
      </c>
      <c r="AA80" s="165">
        <f t="shared" si="67"/>
        <v>0.53814095800801853</v>
      </c>
      <c r="AB80" s="164">
        <f>Y80/Y$8</f>
        <v>1.8234384732572363E-2</v>
      </c>
    </row>
    <row r="81" spans="1:28" x14ac:dyDescent="0.25">
      <c r="A81" s="56"/>
      <c r="B81" s="162" t="s">
        <v>100</v>
      </c>
      <c r="C81" s="163">
        <v>29929</v>
      </c>
      <c r="D81" s="163">
        <v>6203</v>
      </c>
      <c r="E81" s="163">
        <v>9817</v>
      </c>
      <c r="F81" s="163">
        <v>15214</v>
      </c>
      <c r="G81" s="163">
        <v>14605</v>
      </c>
      <c r="H81" s="163">
        <v>20292</v>
      </c>
      <c r="I81" s="164">
        <f>IFERROR(H81/G81-1,"-")</f>
        <v>0.38938719616569673</v>
      </c>
      <c r="J81" s="165">
        <f>IFERROR(H81/C81-1,"-")</f>
        <v>-0.32199538908750713</v>
      </c>
      <c r="K81" s="164">
        <f>H81/H$8</f>
        <v>3.6016272283870415E-2</v>
      </c>
      <c r="L81" s="163">
        <v>152645</v>
      </c>
      <c r="M81" s="163">
        <v>44314</v>
      </c>
      <c r="N81" s="163">
        <v>58667</v>
      </c>
      <c r="O81" s="163">
        <v>150170</v>
      </c>
      <c r="P81" s="163">
        <v>161521</v>
      </c>
      <c r="Q81" s="163">
        <v>158591</v>
      </c>
      <c r="R81" s="164">
        <f>IFERROR(Q81/P81-1,"-")</f>
        <v>-1.814005609177749E-2</v>
      </c>
      <c r="S81" s="165">
        <f>IFERROR(Q81/L81-1,"-")</f>
        <v>3.8953126535425264E-2</v>
      </c>
      <c r="T81" s="164">
        <f>Q81/Q$8</f>
        <v>6.0195201418652915E-2</v>
      </c>
      <c r="U81" s="163">
        <v>182574</v>
      </c>
      <c r="V81" s="163">
        <v>68484</v>
      </c>
      <c r="W81" s="163">
        <v>165384</v>
      </c>
      <c r="X81" s="163">
        <v>176126</v>
      </c>
      <c r="Y81" s="163">
        <v>178883</v>
      </c>
      <c r="Z81" s="164">
        <f>IFERROR(Y81/X81-1,"-")</f>
        <v>1.565356619692726E-2</v>
      </c>
      <c r="AA81" s="165">
        <f t="shared" si="67"/>
        <v>-2.0216460175052298E-2</v>
      </c>
      <c r="AB81" s="164">
        <f>Y81/Y$8</f>
        <v>5.5935477657453478E-2</v>
      </c>
    </row>
    <row r="82" spans="1:28" x14ac:dyDescent="0.25">
      <c r="A82" s="56"/>
      <c r="B82" s="157" t="s">
        <v>107</v>
      </c>
      <c r="C82" s="158">
        <v>53746</v>
      </c>
      <c r="D82" s="158">
        <v>16554</v>
      </c>
      <c r="E82" s="158">
        <v>16707</v>
      </c>
      <c r="F82" s="158">
        <v>35758</v>
      </c>
      <c r="G82" s="158">
        <v>37693</v>
      </c>
      <c r="H82" s="158">
        <v>43972</v>
      </c>
      <c r="I82" s="159">
        <f>IFERROR(H82/G82-1,"-")</f>
        <v>0.16658265460430322</v>
      </c>
      <c r="J82" s="160">
        <f>IFERROR(H82/C82-1,"-")</f>
        <v>-0.18185539388977789</v>
      </c>
      <c r="K82" s="159">
        <f>H82/H$8</f>
        <v>7.8045906015491329E-2</v>
      </c>
      <c r="L82" s="158">
        <v>199503</v>
      </c>
      <c r="M82" s="158">
        <v>67560</v>
      </c>
      <c r="N82" s="158">
        <v>49331</v>
      </c>
      <c r="O82" s="158">
        <v>170396</v>
      </c>
      <c r="P82" s="158">
        <v>224500</v>
      </c>
      <c r="Q82" s="158">
        <v>276023</v>
      </c>
      <c r="R82" s="159">
        <f>IFERROR(Q82/P82-1,"-")</f>
        <v>0.2295011135857461</v>
      </c>
      <c r="S82" s="160">
        <f>IFERROR(Q82/L82-1,"-")</f>
        <v>0.38355312952687437</v>
      </c>
      <c r="T82" s="159">
        <f>Q82/Q$8</f>
        <v>0.10476798860705105</v>
      </c>
      <c r="U82" s="158">
        <v>253249</v>
      </c>
      <c r="V82" s="158">
        <v>66038</v>
      </c>
      <c r="W82" s="158">
        <v>206154</v>
      </c>
      <c r="X82" s="158">
        <v>262193</v>
      </c>
      <c r="Y82" s="158">
        <v>319995</v>
      </c>
      <c r="Z82" s="159">
        <f>IFERROR(Y82/X82-1,"-")</f>
        <v>0.22045592368980094</v>
      </c>
      <c r="AA82" s="160">
        <f t="shared" si="67"/>
        <v>0.26355878996560689</v>
      </c>
      <c r="AB82" s="159">
        <f>Y82/Y$8</f>
        <v>0.1000602246887453</v>
      </c>
    </row>
    <row r="83" spans="1:28" s="56" customFormat="1" x14ac:dyDescent="0.25">
      <c r="B83" s="162" t="s">
        <v>110</v>
      </c>
      <c r="C83" s="163">
        <v>6978</v>
      </c>
      <c r="D83" s="163">
        <v>2224</v>
      </c>
      <c r="E83" s="163">
        <v>1949</v>
      </c>
      <c r="F83" s="163">
        <v>4027</v>
      </c>
      <c r="G83" s="163">
        <v>5120</v>
      </c>
      <c r="H83" s="163">
        <v>6588</v>
      </c>
      <c r="I83" s="164">
        <f t="shared" ref="I83:I90" si="68">IFERROR(H83/G83-1,"-")</f>
        <v>0.28671874999999991</v>
      </c>
      <c r="J83" s="165">
        <f t="shared" ref="J83:J90" si="69">IFERROR(H83/C83-1,"-")</f>
        <v>-5.5889939810834011E-2</v>
      </c>
      <c r="K83" s="164">
        <f t="shared" ref="K83:K90" si="70">H83/H$8</f>
        <v>1.1693041681753316E-2</v>
      </c>
      <c r="L83" s="163">
        <v>39428</v>
      </c>
      <c r="M83" s="163">
        <v>13920</v>
      </c>
      <c r="N83" s="163">
        <v>3523</v>
      </c>
      <c r="O83" s="163">
        <v>40046</v>
      </c>
      <c r="P83" s="163">
        <v>52990</v>
      </c>
      <c r="Q83" s="163">
        <v>64151</v>
      </c>
      <c r="R83" s="164">
        <f t="shared" ref="R83:R90" si="71">IFERROR(Q83/P83-1,"-")</f>
        <v>0.21062464615965282</v>
      </c>
      <c r="S83" s="165">
        <f t="shared" ref="S83:S90" si="72">IFERROR(Q83/L83-1,"-")</f>
        <v>0.62704169625646755</v>
      </c>
      <c r="T83" s="164">
        <f t="shared" ref="T83:T90" si="73">Q83/Q$8</f>
        <v>2.4349315952405894E-2</v>
      </c>
      <c r="U83" s="163">
        <v>46406</v>
      </c>
      <c r="V83" s="163">
        <v>5472</v>
      </c>
      <c r="W83" s="163">
        <v>44073</v>
      </c>
      <c r="X83" s="163">
        <v>58110</v>
      </c>
      <c r="Y83" s="163">
        <v>70739</v>
      </c>
      <c r="Z83" s="164">
        <f t="shared" ref="Z83:Z90" si="74">IFERROR(Y83/X83-1,"-")</f>
        <v>0.21732920323524341</v>
      </c>
      <c r="AA83" s="165">
        <f t="shared" si="67"/>
        <v>0.52435029953023315</v>
      </c>
      <c r="AB83" s="164">
        <f t="shared" ref="AB83:AB90" si="75">Y83/Y$8</f>
        <v>2.2119596350746586E-2</v>
      </c>
    </row>
    <row r="84" spans="1:28" s="56" customFormat="1" x14ac:dyDescent="0.25">
      <c r="B84" s="162" t="s">
        <v>113</v>
      </c>
      <c r="C84" s="163">
        <v>14550</v>
      </c>
      <c r="D84" s="163">
        <v>4799</v>
      </c>
      <c r="E84" s="163">
        <v>3436</v>
      </c>
      <c r="F84" s="163">
        <v>8884</v>
      </c>
      <c r="G84" s="163">
        <v>10047</v>
      </c>
      <c r="H84" s="163">
        <v>10506</v>
      </c>
      <c r="I84" s="164">
        <f t="shared" si="68"/>
        <v>4.5685279187817285E-2</v>
      </c>
      <c r="J84" s="165">
        <f t="shared" si="69"/>
        <v>-0.27793814432989694</v>
      </c>
      <c r="K84" s="164">
        <f t="shared" si="70"/>
        <v>1.8647100168260527E-2</v>
      </c>
      <c r="L84" s="163">
        <v>87341</v>
      </c>
      <c r="M84" s="163">
        <v>25360</v>
      </c>
      <c r="N84" s="163">
        <v>13631</v>
      </c>
      <c r="O84" s="163">
        <v>57389</v>
      </c>
      <c r="P84" s="163">
        <v>67461</v>
      </c>
      <c r="Q84" s="163">
        <v>75520</v>
      </c>
      <c r="R84" s="164">
        <f t="shared" si="71"/>
        <v>0.11946161485895557</v>
      </c>
      <c r="S84" s="165">
        <f t="shared" si="72"/>
        <v>-0.13534308056926303</v>
      </c>
      <c r="T84" s="164">
        <f t="shared" si="73"/>
        <v>2.8664562371992535E-2</v>
      </c>
      <c r="U84" s="163">
        <v>101891</v>
      </c>
      <c r="V84" s="163">
        <v>17067</v>
      </c>
      <c r="W84" s="163">
        <v>66273</v>
      </c>
      <c r="X84" s="163">
        <v>77508</v>
      </c>
      <c r="Y84" s="163">
        <v>86026</v>
      </c>
      <c r="Z84" s="164">
        <f t="shared" si="74"/>
        <v>0.1098983330752954</v>
      </c>
      <c r="AA84" s="165">
        <f t="shared" si="67"/>
        <v>-0.15570560697215652</v>
      </c>
      <c r="AB84" s="164">
        <f t="shared" si="75"/>
        <v>2.6899735586724802E-2</v>
      </c>
    </row>
    <row r="85" spans="1:28" x14ac:dyDescent="0.25">
      <c r="A85" s="56"/>
      <c r="B85" s="162" t="s">
        <v>116</v>
      </c>
      <c r="C85" s="163">
        <v>3941</v>
      </c>
      <c r="D85" s="163">
        <v>1395</v>
      </c>
      <c r="E85" s="163">
        <v>3495</v>
      </c>
      <c r="F85" s="163">
        <v>4488</v>
      </c>
      <c r="G85" s="163">
        <v>4114</v>
      </c>
      <c r="H85" s="163">
        <v>4421</v>
      </c>
      <c r="I85" s="164">
        <f t="shared" si="68"/>
        <v>7.4623237724841918E-2</v>
      </c>
      <c r="J85" s="165">
        <f t="shared" si="69"/>
        <v>0.12179649835067252</v>
      </c>
      <c r="K85" s="164">
        <f t="shared" si="70"/>
        <v>7.8468332232895285E-3</v>
      </c>
      <c r="L85" s="163">
        <v>11499</v>
      </c>
      <c r="M85" s="163">
        <v>4325</v>
      </c>
      <c r="N85" s="163">
        <v>6321</v>
      </c>
      <c r="O85" s="163">
        <v>14433</v>
      </c>
      <c r="P85" s="163">
        <v>22774</v>
      </c>
      <c r="Q85" s="163">
        <v>35467</v>
      </c>
      <c r="R85" s="164">
        <f t="shared" si="71"/>
        <v>0.55734609642574862</v>
      </c>
      <c r="S85" s="165">
        <f t="shared" si="72"/>
        <v>2.0843551613183755</v>
      </c>
      <c r="T85" s="164">
        <f t="shared" si="73"/>
        <v>1.3461944301475891E-2</v>
      </c>
      <c r="U85" s="163">
        <v>15440</v>
      </c>
      <c r="V85" s="163">
        <v>9816</v>
      </c>
      <c r="W85" s="163">
        <v>18921</v>
      </c>
      <c r="X85" s="163">
        <v>26888</v>
      </c>
      <c r="Y85" s="163">
        <v>39888</v>
      </c>
      <c r="Z85" s="164">
        <f t="shared" si="74"/>
        <v>0.48348705742338582</v>
      </c>
      <c r="AA85" s="165">
        <f t="shared" si="67"/>
        <v>1.5834196891191712</v>
      </c>
      <c r="AB85" s="164">
        <f t="shared" si="75"/>
        <v>1.2472701893419187E-2</v>
      </c>
    </row>
    <row r="86" spans="1:28" x14ac:dyDescent="0.25">
      <c r="A86" s="56"/>
      <c r="B86" s="162" t="s">
        <v>123</v>
      </c>
      <c r="C86" s="163">
        <v>1516</v>
      </c>
      <c r="D86" s="163">
        <v>246</v>
      </c>
      <c r="E86" s="163">
        <v>345</v>
      </c>
      <c r="F86" s="163">
        <v>845</v>
      </c>
      <c r="G86" s="163">
        <v>806</v>
      </c>
      <c r="H86" s="163">
        <v>1051</v>
      </c>
      <c r="I86" s="164">
        <f t="shared" si="68"/>
        <v>0.30397022332506207</v>
      </c>
      <c r="J86" s="165">
        <f t="shared" si="69"/>
        <v>-0.30672823218997358</v>
      </c>
      <c r="K86" s="164">
        <f t="shared" si="70"/>
        <v>1.8654199768553031E-3</v>
      </c>
      <c r="L86" s="163">
        <v>3240</v>
      </c>
      <c r="M86" s="163">
        <v>1093</v>
      </c>
      <c r="N86" s="163">
        <v>1428</v>
      </c>
      <c r="O86" s="163">
        <v>3122</v>
      </c>
      <c r="P86" s="163">
        <v>4296</v>
      </c>
      <c r="Q86" s="163">
        <v>8016</v>
      </c>
      <c r="R86" s="164">
        <f t="shared" si="71"/>
        <v>0.86592178770949713</v>
      </c>
      <c r="S86" s="165">
        <f t="shared" si="72"/>
        <v>1.4740740740740739</v>
      </c>
      <c r="T86" s="164">
        <f t="shared" si="73"/>
        <v>3.0425732517729365E-3</v>
      </c>
      <c r="U86" s="163">
        <v>4756</v>
      </c>
      <c r="V86" s="163">
        <v>1773</v>
      </c>
      <c r="W86" s="163">
        <v>3967</v>
      </c>
      <c r="X86" s="163">
        <v>5102</v>
      </c>
      <c r="Y86" s="163">
        <v>9067</v>
      </c>
      <c r="Z86" s="164">
        <f t="shared" si="74"/>
        <v>0.77714621716973742</v>
      </c>
      <c r="AA86" s="165">
        <f t="shared" si="67"/>
        <v>0.90643397813288473</v>
      </c>
      <c r="AB86" s="164">
        <f t="shared" si="75"/>
        <v>2.8351882287312416E-3</v>
      </c>
    </row>
    <row r="87" spans="1:28" x14ac:dyDescent="0.25">
      <c r="A87" s="56"/>
      <c r="B87" s="162" t="s">
        <v>119</v>
      </c>
      <c r="C87" s="163">
        <v>801</v>
      </c>
      <c r="D87" s="163">
        <v>188</v>
      </c>
      <c r="E87" s="163">
        <v>331</v>
      </c>
      <c r="F87" s="163">
        <v>685</v>
      </c>
      <c r="G87" s="163">
        <v>543</v>
      </c>
      <c r="H87" s="163">
        <v>562</v>
      </c>
      <c r="I87" s="164">
        <f t="shared" si="68"/>
        <v>3.4990791896869267E-2</v>
      </c>
      <c r="J87" s="165">
        <f t="shared" si="69"/>
        <v>-0.29837702871410732</v>
      </c>
      <c r="K87" s="164">
        <f t="shared" si="70"/>
        <v>9.9749384109674619E-4</v>
      </c>
      <c r="L87" s="163">
        <v>3623</v>
      </c>
      <c r="M87" s="163">
        <v>1411</v>
      </c>
      <c r="N87" s="163">
        <v>1899</v>
      </c>
      <c r="O87" s="163">
        <v>2962</v>
      </c>
      <c r="P87" s="163">
        <v>4028</v>
      </c>
      <c r="Q87" s="163">
        <v>5211</v>
      </c>
      <c r="R87" s="164">
        <f t="shared" si="71"/>
        <v>0.29369414101290969</v>
      </c>
      <c r="S87" s="165">
        <f t="shared" si="72"/>
        <v>0.4383107921611924</v>
      </c>
      <c r="T87" s="164">
        <f t="shared" si="73"/>
        <v>1.9779003511712539E-3</v>
      </c>
      <c r="U87" s="163">
        <v>4424</v>
      </c>
      <c r="V87" s="163">
        <v>2230</v>
      </c>
      <c r="W87" s="163">
        <v>3647</v>
      </c>
      <c r="X87" s="163">
        <v>4571</v>
      </c>
      <c r="Y87" s="163">
        <v>5773</v>
      </c>
      <c r="Z87" s="164">
        <f t="shared" si="74"/>
        <v>0.26296215270181578</v>
      </c>
      <c r="AA87" s="165">
        <f t="shared" si="67"/>
        <v>0.30492766726943943</v>
      </c>
      <c r="AB87" s="164">
        <f t="shared" si="75"/>
        <v>1.8051771969190976E-3</v>
      </c>
    </row>
    <row r="88" spans="1:28" x14ac:dyDescent="0.25">
      <c r="A88" s="56"/>
      <c r="B88" s="162" t="s">
        <v>128</v>
      </c>
      <c r="C88" s="163">
        <v>642</v>
      </c>
      <c r="D88" s="163">
        <v>282</v>
      </c>
      <c r="E88" s="163">
        <v>120</v>
      </c>
      <c r="F88" s="163">
        <v>282</v>
      </c>
      <c r="G88" s="163">
        <v>306</v>
      </c>
      <c r="H88" s="163">
        <v>351</v>
      </c>
      <c r="I88" s="164">
        <f t="shared" si="68"/>
        <v>0.14705882352941169</v>
      </c>
      <c r="J88" s="165">
        <f t="shared" si="69"/>
        <v>-0.45327102803738317</v>
      </c>
      <c r="K88" s="164">
        <f t="shared" si="70"/>
        <v>6.2298992566718495E-4</v>
      </c>
      <c r="L88" s="163">
        <v>1953</v>
      </c>
      <c r="M88" s="163">
        <v>1415</v>
      </c>
      <c r="N88" s="163">
        <v>87</v>
      </c>
      <c r="O88" s="163">
        <v>1710</v>
      </c>
      <c r="P88" s="163">
        <v>2258</v>
      </c>
      <c r="Q88" s="163">
        <v>2196</v>
      </c>
      <c r="R88" s="164">
        <f t="shared" si="71"/>
        <v>-2.7457927369353374E-2</v>
      </c>
      <c r="S88" s="165">
        <f t="shared" si="72"/>
        <v>0.12442396313364057</v>
      </c>
      <c r="T88" s="164">
        <f t="shared" si="73"/>
        <v>8.3351931897372364E-4</v>
      </c>
      <c r="U88" s="163">
        <v>2595</v>
      </c>
      <c r="V88" s="163">
        <v>207</v>
      </c>
      <c r="W88" s="163">
        <v>1992</v>
      </c>
      <c r="X88" s="163">
        <v>2564</v>
      </c>
      <c r="Y88" s="163">
        <v>2547</v>
      </c>
      <c r="Z88" s="164">
        <f t="shared" si="74"/>
        <v>-6.6302652106083881E-3</v>
      </c>
      <c r="AA88" s="165">
        <f t="shared" si="67"/>
        <v>-1.8497109826589586E-2</v>
      </c>
      <c r="AB88" s="164">
        <f t="shared" si="75"/>
        <v>7.9642929508971793E-4</v>
      </c>
    </row>
    <row r="89" spans="1:28" x14ac:dyDescent="0.25">
      <c r="A89" s="56"/>
      <c r="B89" s="162" t="s">
        <v>131</v>
      </c>
      <c r="C89" s="163">
        <v>1559</v>
      </c>
      <c r="D89" s="163">
        <v>389</v>
      </c>
      <c r="E89" s="163">
        <v>139</v>
      </c>
      <c r="F89" s="163">
        <v>417</v>
      </c>
      <c r="G89" s="163">
        <v>408</v>
      </c>
      <c r="H89" s="163">
        <v>387</v>
      </c>
      <c r="I89" s="164">
        <f t="shared" si="68"/>
        <v>-5.1470588235294157E-2</v>
      </c>
      <c r="J89" s="165">
        <f t="shared" si="69"/>
        <v>-0.75176395125080187</v>
      </c>
      <c r="K89" s="164">
        <f t="shared" si="70"/>
        <v>6.8688632829971667E-4</v>
      </c>
      <c r="L89" s="163">
        <v>2482</v>
      </c>
      <c r="M89" s="163">
        <v>1895</v>
      </c>
      <c r="N89" s="163">
        <v>147</v>
      </c>
      <c r="O89" s="163">
        <v>1354</v>
      </c>
      <c r="P89" s="163">
        <v>2179</v>
      </c>
      <c r="Q89" s="163">
        <v>2731</v>
      </c>
      <c r="R89" s="164">
        <f t="shared" si="71"/>
        <v>0.25332721431849481</v>
      </c>
      <c r="S89" s="165">
        <f t="shared" si="72"/>
        <v>0.10032232070910552</v>
      </c>
      <c r="T89" s="164">
        <f t="shared" si="73"/>
        <v>1.0365852732774313E-3</v>
      </c>
      <c r="U89" s="163">
        <v>4041</v>
      </c>
      <c r="V89" s="163">
        <v>286</v>
      </c>
      <c r="W89" s="163">
        <v>1771</v>
      </c>
      <c r="X89" s="163">
        <v>2587</v>
      </c>
      <c r="Y89" s="163">
        <v>3118</v>
      </c>
      <c r="Z89" s="164">
        <f t="shared" si="74"/>
        <v>0.20525705450328569</v>
      </c>
      <c r="AA89" s="165">
        <f t="shared" si="67"/>
        <v>-0.2284088097005692</v>
      </c>
      <c r="AB89" s="164">
        <f t="shared" si="75"/>
        <v>9.7497704832734215E-4</v>
      </c>
    </row>
    <row r="90" spans="1:28" x14ac:dyDescent="0.25">
      <c r="A90" s="56"/>
      <c r="B90" s="168" t="s">
        <v>145</v>
      </c>
      <c r="C90" s="169">
        <f t="shared" ref="C90:H90" si="76">C82-SUM(C83:C89)</f>
        <v>23759</v>
      </c>
      <c r="D90" s="169">
        <f t="shared" si="76"/>
        <v>7031</v>
      </c>
      <c r="E90" s="169">
        <f t="shared" si="76"/>
        <v>6892</v>
      </c>
      <c r="F90" s="169">
        <f t="shared" si="76"/>
        <v>16130</v>
      </c>
      <c r="G90" s="169">
        <f t="shared" si="76"/>
        <v>16349</v>
      </c>
      <c r="H90" s="169">
        <f t="shared" si="76"/>
        <v>20106</v>
      </c>
      <c r="I90" s="170">
        <f t="shared" si="68"/>
        <v>0.22979998776683597</v>
      </c>
      <c r="J90" s="171">
        <f t="shared" si="69"/>
        <v>-0.15375226230060191</v>
      </c>
      <c r="K90" s="170">
        <f t="shared" si="70"/>
        <v>3.5686140870269001E-2</v>
      </c>
      <c r="L90" s="169">
        <f t="shared" ref="L90:Q90" si="77">L82-SUM(L83:L89)</f>
        <v>49937</v>
      </c>
      <c r="M90" s="169">
        <f t="shared" si="77"/>
        <v>18141</v>
      </c>
      <c r="N90" s="169">
        <f t="shared" si="77"/>
        <v>22295</v>
      </c>
      <c r="O90" s="169">
        <f t="shared" si="77"/>
        <v>49380</v>
      </c>
      <c r="P90" s="169">
        <f t="shared" si="77"/>
        <v>68514</v>
      </c>
      <c r="Q90" s="169">
        <f t="shared" si="77"/>
        <v>82731</v>
      </c>
      <c r="R90" s="170">
        <f t="shared" si="71"/>
        <v>0.20750503546720389</v>
      </c>
      <c r="S90" s="171">
        <f t="shared" si="72"/>
        <v>0.65670745138874986</v>
      </c>
      <c r="T90" s="170">
        <f t="shared" si="73"/>
        <v>3.1401587785981393E-2</v>
      </c>
      <c r="U90" s="169">
        <f>U82-SUM(U83:U89)</f>
        <v>73696</v>
      </c>
      <c r="V90" s="169">
        <f>V82-SUM(V83:V89)</f>
        <v>29187</v>
      </c>
      <c r="W90" s="169">
        <f>W82-SUM(W83:W89)</f>
        <v>65510</v>
      </c>
      <c r="X90" s="169">
        <f>X82-SUM(X83:X89)</f>
        <v>84863</v>
      </c>
      <c r="Y90" s="169">
        <f>Y82-SUM(Y83:Y89)</f>
        <v>102837</v>
      </c>
      <c r="Z90" s="170">
        <f t="shared" si="74"/>
        <v>0.211800195609394</v>
      </c>
      <c r="AA90" s="171">
        <f t="shared" si="67"/>
        <v>0.39542173252279644</v>
      </c>
      <c r="AB90" s="170">
        <f t="shared" si="75"/>
        <v>3.2156419088787323E-2</v>
      </c>
    </row>
    <row r="91" spans="1:28" x14ac:dyDescent="0.25">
      <c r="A91" s="56"/>
      <c r="B91" s="153" t="s">
        <v>49</v>
      </c>
      <c r="C91" s="151"/>
      <c r="D91" s="151"/>
      <c r="E91" s="151"/>
      <c r="F91" s="151"/>
      <c r="G91" s="151"/>
      <c r="H91" s="151"/>
      <c r="I91" s="151"/>
      <c r="J91" s="151"/>
      <c r="K91" s="151"/>
      <c r="L91" s="151"/>
      <c r="M91" s="151"/>
      <c r="N91" s="151"/>
      <c r="O91" s="151"/>
      <c r="P91" s="151"/>
      <c r="Q91" s="151"/>
      <c r="R91" s="151"/>
      <c r="S91" s="151"/>
      <c r="T91" s="151"/>
      <c r="U91" s="151"/>
      <c r="V91" s="151"/>
      <c r="W91" s="151"/>
      <c r="X91" s="151"/>
      <c r="Y91" s="151"/>
      <c r="Z91" s="151"/>
      <c r="AA91" s="151"/>
      <c r="AB91" s="151"/>
    </row>
    <row r="92" spans="1:28" x14ac:dyDescent="0.25">
      <c r="A92" s="56"/>
      <c r="B92" s="154" t="s">
        <v>68</v>
      </c>
      <c r="C92" s="176">
        <f t="shared" ref="C92:H92" si="78">C93+C96</f>
        <v>9488</v>
      </c>
      <c r="D92" s="176">
        <f t="shared" si="78"/>
        <v>4061</v>
      </c>
      <c r="E92" s="176">
        <f t="shared" si="78"/>
        <v>0</v>
      </c>
      <c r="F92" s="176">
        <f t="shared" si="78"/>
        <v>2892</v>
      </c>
      <c r="G92" s="176">
        <f t="shared" si="78"/>
        <v>4491</v>
      </c>
      <c r="H92" s="176">
        <f t="shared" si="78"/>
        <v>5405</v>
      </c>
      <c r="I92" s="177">
        <f>IFERROR(H92/G92-1,"-")</f>
        <v>0.20351814740592289</v>
      </c>
      <c r="J92" s="177">
        <f>IFERROR(H92/C92-1,"-")</f>
        <v>-0.43033305227655982</v>
      </c>
      <c r="K92" s="177">
        <f>H92/H$8</f>
        <v>9.5933348952453971E-3</v>
      </c>
      <c r="L92" s="176">
        <f t="shared" ref="L92:Q92" si="79">L93+L96</f>
        <v>29935</v>
      </c>
      <c r="M92" s="176">
        <f t="shared" si="79"/>
        <v>8693</v>
      </c>
      <c r="N92" s="176">
        <f t="shared" si="79"/>
        <v>0</v>
      </c>
      <c r="O92" s="176">
        <f t="shared" si="79"/>
        <v>22120</v>
      </c>
      <c r="P92" s="176">
        <f t="shared" si="79"/>
        <v>30713</v>
      </c>
      <c r="Q92" s="176">
        <f t="shared" si="79"/>
        <v>36372</v>
      </c>
      <c r="R92" s="177">
        <f>IFERROR(Q92/P92-1,"-")</f>
        <v>0.18425422459544816</v>
      </c>
      <c r="S92" s="177">
        <f>IFERROR(Q92/L92-1,"-")</f>
        <v>0.21503257056956748</v>
      </c>
      <c r="T92" s="177">
        <f>Q92/Q$8</f>
        <v>1.3805448392400855E-2</v>
      </c>
      <c r="U92" s="176">
        <f>U93+U96</f>
        <v>39423</v>
      </c>
      <c r="V92" s="176">
        <f>V93+V96</f>
        <v>21073</v>
      </c>
      <c r="W92" s="176">
        <f>W93+W96</f>
        <v>37456</v>
      </c>
      <c r="X92" s="176">
        <f>X93+X96</f>
        <v>44189</v>
      </c>
      <c r="Y92" s="176">
        <f>Y93+Y96</f>
        <v>41777</v>
      </c>
      <c r="Z92" s="177">
        <f>IFERROR(Y92/X92-1,"-")</f>
        <v>-5.4583719930299424E-2</v>
      </c>
      <c r="AA92" s="177">
        <f t="shared" ref="AA92:AA104" si="80">IFERROR(Y92/U92-1,"-")</f>
        <v>5.9711336022119088E-2</v>
      </c>
      <c r="AB92" s="177">
        <f>Y92/Y$8</f>
        <v>1.306337913661686E-2</v>
      </c>
    </row>
    <row r="93" spans="1:28" x14ac:dyDescent="0.25">
      <c r="A93" s="56"/>
      <c r="B93" s="157" t="s">
        <v>97</v>
      </c>
      <c r="C93" s="158">
        <v>6625</v>
      </c>
      <c r="D93" s="158">
        <v>2731</v>
      </c>
      <c r="E93" s="158">
        <v>0</v>
      </c>
      <c r="F93" s="158">
        <v>2345</v>
      </c>
      <c r="G93" s="158">
        <v>3131</v>
      </c>
      <c r="H93" s="158">
        <v>3940</v>
      </c>
      <c r="I93" s="159">
        <f>IFERROR(H93/G93-1,"-")</f>
        <v>0.25838390290641966</v>
      </c>
      <c r="J93" s="160">
        <f>IFERROR(H93/C93-1,"-")</f>
        <v>-0.4052830188679245</v>
      </c>
      <c r="K93" s="159">
        <f>H93/H$8</f>
        <v>6.9931062881159788E-3</v>
      </c>
      <c r="L93" s="158">
        <v>19633</v>
      </c>
      <c r="M93" s="158">
        <v>4723</v>
      </c>
      <c r="N93" s="158">
        <v>0</v>
      </c>
      <c r="O93" s="158">
        <v>15738</v>
      </c>
      <c r="P93" s="158">
        <v>20171</v>
      </c>
      <c r="Q93" s="158">
        <v>22213</v>
      </c>
      <c r="R93" s="159">
        <f>IFERROR(Q93/P93-1,"-")</f>
        <v>0.10123444549105143</v>
      </c>
      <c r="S93" s="160">
        <f>IFERROR(Q93/L93-1,"-")</f>
        <v>0.13141139917485867</v>
      </c>
      <c r="T93" s="159">
        <f>Q93/Q$8</f>
        <v>8.431222510183663E-3</v>
      </c>
      <c r="U93" s="158">
        <v>26258</v>
      </c>
      <c r="V93" s="158">
        <v>13958</v>
      </c>
      <c r="W93" s="158">
        <v>24786</v>
      </c>
      <c r="X93" s="158">
        <v>29860</v>
      </c>
      <c r="Y93" s="158">
        <v>26153</v>
      </c>
      <c r="Z93" s="159">
        <f>IFERROR(Y93/X93-1,"-")</f>
        <v>-0.12414601473543196</v>
      </c>
      <c r="AA93" s="160">
        <f t="shared" si="80"/>
        <v>-3.9987813237870595E-3</v>
      </c>
      <c r="AB93" s="159">
        <f>Y93/Y$8</f>
        <v>8.1778623299887682E-3</v>
      </c>
    </row>
    <row r="94" spans="1:28" x14ac:dyDescent="0.25">
      <c r="A94" s="56"/>
      <c r="B94" s="162" t="s">
        <v>103</v>
      </c>
      <c r="C94" s="163">
        <v>4918</v>
      </c>
      <c r="D94" s="163">
        <v>2063</v>
      </c>
      <c r="E94" s="163">
        <v>0</v>
      </c>
      <c r="F94" s="163">
        <v>1741</v>
      </c>
      <c r="G94" s="163">
        <v>2207</v>
      </c>
      <c r="H94" s="163">
        <v>2841</v>
      </c>
      <c r="I94" s="164">
        <f>IFERROR(H94/G94-1,"-")</f>
        <v>0.28726778432260991</v>
      </c>
      <c r="J94" s="165">
        <f>IFERROR(H94/C94-1,"-")</f>
        <v>-0.42232614884099229</v>
      </c>
      <c r="K94" s="164">
        <f>H94/H$8</f>
        <v>5.0424911077506336E-3</v>
      </c>
      <c r="L94" s="163">
        <v>7992</v>
      </c>
      <c r="M94" s="163">
        <v>2176</v>
      </c>
      <c r="N94" s="163">
        <v>0</v>
      </c>
      <c r="O94" s="163">
        <v>6916</v>
      </c>
      <c r="P94" s="163">
        <v>4680</v>
      </c>
      <c r="Q94" s="163">
        <v>5361</v>
      </c>
      <c r="R94" s="164">
        <f>IFERROR(Q94/P94-1,"-")</f>
        <v>0.14551282051282044</v>
      </c>
      <c r="S94" s="165">
        <f>IFERROR(Q94/L94-1,"-")</f>
        <v>-0.32920420420420415</v>
      </c>
      <c r="T94" s="164">
        <f>Q94/Q$8</f>
        <v>2.0348347308825738E-3</v>
      </c>
      <c r="U94" s="163">
        <v>12910</v>
      </c>
      <c r="V94" s="163">
        <v>7014</v>
      </c>
      <c r="W94" s="163">
        <v>11891</v>
      </c>
      <c r="X94" s="163">
        <v>9535</v>
      </c>
      <c r="Y94" s="163">
        <v>8202</v>
      </c>
      <c r="Z94" s="164">
        <f>IFERROR(Y94/X94-1,"-")</f>
        <v>-0.13980073413738858</v>
      </c>
      <c r="AA94" s="165">
        <f t="shared" si="80"/>
        <v>-0.36467854376452358</v>
      </c>
      <c r="AB94" s="164">
        <f>Y94/Y$8</f>
        <v>2.5647087076269598E-3</v>
      </c>
    </row>
    <row r="95" spans="1:28" x14ac:dyDescent="0.25">
      <c r="A95" s="56"/>
      <c r="B95" s="162" t="s">
        <v>100</v>
      </c>
      <c r="C95" s="163">
        <v>1707</v>
      </c>
      <c r="D95" s="163">
        <v>668</v>
      </c>
      <c r="E95" s="163">
        <v>0</v>
      </c>
      <c r="F95" s="163">
        <v>604</v>
      </c>
      <c r="G95" s="163">
        <v>924</v>
      </c>
      <c r="H95" s="163">
        <v>1099</v>
      </c>
      <c r="I95" s="164">
        <f>IFERROR(H95/G95-1,"-")</f>
        <v>0.18939393939393945</v>
      </c>
      <c r="J95" s="165">
        <f>IFERROR(H95/C95-1,"-")</f>
        <v>-0.35618043350908024</v>
      </c>
      <c r="K95" s="164">
        <f>H95/H$8</f>
        <v>1.9506151803653454E-3</v>
      </c>
      <c r="L95" s="163">
        <v>11641</v>
      </c>
      <c r="M95" s="163">
        <v>2547</v>
      </c>
      <c r="N95" s="163">
        <v>0</v>
      </c>
      <c r="O95" s="163">
        <v>8822</v>
      </c>
      <c r="P95" s="163">
        <v>15491</v>
      </c>
      <c r="Q95" s="163">
        <v>16852</v>
      </c>
      <c r="R95" s="164">
        <f>IFERROR(Q95/P95-1,"-")</f>
        <v>8.7857465625201803E-2</v>
      </c>
      <c r="S95" s="165">
        <f>IFERROR(Q95/L95-1,"-")</f>
        <v>0.44764195515849159</v>
      </c>
      <c r="T95" s="164">
        <f>Q95/Q$8</f>
        <v>6.3963877793010888E-3</v>
      </c>
      <c r="U95" s="163">
        <v>13348</v>
      </c>
      <c r="V95" s="163">
        <v>6944</v>
      </c>
      <c r="W95" s="163">
        <v>12895</v>
      </c>
      <c r="X95" s="163">
        <v>20325</v>
      </c>
      <c r="Y95" s="163">
        <v>17951</v>
      </c>
      <c r="Z95" s="164">
        <f>IFERROR(Y95/X95-1,"-")</f>
        <v>-0.11680196801968024</v>
      </c>
      <c r="AA95" s="165">
        <f t="shared" si="80"/>
        <v>0.34484566976326048</v>
      </c>
      <c r="AB95" s="164">
        <f>Y95/Y$8</f>
        <v>5.613153622361808E-3</v>
      </c>
    </row>
    <row r="96" spans="1:28" x14ac:dyDescent="0.25">
      <c r="A96" s="56"/>
      <c r="B96" s="157" t="s">
        <v>107</v>
      </c>
      <c r="C96" s="158">
        <v>2863</v>
      </c>
      <c r="D96" s="158">
        <v>1330</v>
      </c>
      <c r="E96" s="158">
        <v>0</v>
      </c>
      <c r="F96" s="158">
        <v>547</v>
      </c>
      <c r="G96" s="158">
        <v>1360</v>
      </c>
      <c r="H96" s="158">
        <v>1465</v>
      </c>
      <c r="I96" s="159">
        <f>IFERROR(H96/G96-1,"-")</f>
        <v>7.7205882352941124E-2</v>
      </c>
      <c r="J96" s="160">
        <f>IFERROR(H96/C96-1,"-")</f>
        <v>-0.48829898707649322</v>
      </c>
      <c r="K96" s="159">
        <f>H96/H$8</f>
        <v>2.6002286071294188E-3</v>
      </c>
      <c r="L96" s="158">
        <v>10302</v>
      </c>
      <c r="M96" s="158">
        <v>3970</v>
      </c>
      <c r="N96" s="158">
        <v>0</v>
      </c>
      <c r="O96" s="158">
        <v>6382</v>
      </c>
      <c r="P96" s="158">
        <v>10542</v>
      </c>
      <c r="Q96" s="158">
        <v>14159</v>
      </c>
      <c r="R96" s="159">
        <f>IFERROR(Q96/P96-1,"-")</f>
        <v>0.34310377537469172</v>
      </c>
      <c r="S96" s="160">
        <f>IFERROR(Q96/L96-1,"-")</f>
        <v>0.37439332168510964</v>
      </c>
      <c r="T96" s="159">
        <f>Q96/Q$8</f>
        <v>5.3742258822171915E-3</v>
      </c>
      <c r="U96" s="158">
        <v>13165</v>
      </c>
      <c r="V96" s="158">
        <v>7115</v>
      </c>
      <c r="W96" s="158">
        <v>12670</v>
      </c>
      <c r="X96" s="158">
        <v>14329</v>
      </c>
      <c r="Y96" s="158">
        <v>15624</v>
      </c>
      <c r="Z96" s="159">
        <f>IFERROR(Y96/X96-1,"-")</f>
        <v>9.0376160234489467E-2</v>
      </c>
      <c r="AA96" s="160">
        <f t="shared" si="80"/>
        <v>0.18678313710596273</v>
      </c>
      <c r="AB96" s="159">
        <f>Y96/Y$8</f>
        <v>4.8855168066280928E-3</v>
      </c>
    </row>
    <row r="97" spans="1:28" s="56" customFormat="1" x14ac:dyDescent="0.25">
      <c r="B97" s="162" t="s">
        <v>110</v>
      </c>
      <c r="C97" s="163">
        <v>126</v>
      </c>
      <c r="D97" s="163">
        <v>79</v>
      </c>
      <c r="E97" s="163">
        <v>0</v>
      </c>
      <c r="F97" s="163">
        <v>11</v>
      </c>
      <c r="G97" s="163">
        <v>68</v>
      </c>
      <c r="H97" s="163">
        <v>133</v>
      </c>
      <c r="I97" s="164">
        <f t="shared" ref="I97:I104" si="81">IFERROR(H97/G97-1,"-")</f>
        <v>0.95588235294117641</v>
      </c>
      <c r="J97" s="165">
        <f t="shared" ref="J97:J104" si="82">IFERROR(H97/C97-1,"-")</f>
        <v>5.555555555555558E-2</v>
      </c>
      <c r="K97" s="164">
        <f t="shared" ref="K97:K104" si="83">H97/H$8</f>
        <v>2.3606170972574245E-4</v>
      </c>
      <c r="L97" s="163">
        <v>1642</v>
      </c>
      <c r="M97" s="163">
        <v>915</v>
      </c>
      <c r="N97" s="163">
        <v>0</v>
      </c>
      <c r="O97" s="163">
        <v>735</v>
      </c>
      <c r="P97" s="163">
        <v>1637</v>
      </c>
      <c r="Q97" s="163">
        <v>2113</v>
      </c>
      <c r="R97" s="164">
        <f t="shared" ref="R97:R104" si="84">IFERROR(Q97/P97-1,"-")</f>
        <v>0.29077580940745262</v>
      </c>
      <c r="S97" s="165">
        <f t="shared" ref="S97:S104" si="85">IFERROR(Q97/L97-1,"-")</f>
        <v>0.28684531059683316</v>
      </c>
      <c r="T97" s="164">
        <f t="shared" ref="T97:T104" si="86">Q97/Q$8</f>
        <v>8.0201562886679327E-4</v>
      </c>
      <c r="U97" s="163">
        <v>1768</v>
      </c>
      <c r="V97" s="163">
        <v>346</v>
      </c>
      <c r="W97" s="163">
        <v>1661</v>
      </c>
      <c r="X97" s="163">
        <v>2018</v>
      </c>
      <c r="Y97" s="163">
        <v>2246</v>
      </c>
      <c r="Z97" s="164">
        <f t="shared" ref="Z97:Z104" si="87">IFERROR(Y97/X97-1,"-")</f>
        <v>0.11298315163528239</v>
      </c>
      <c r="AA97" s="165">
        <f t="shared" si="80"/>
        <v>0.27036199095022617</v>
      </c>
      <c r="AB97" s="164">
        <f t="shared" ref="AB97:AB104" si="88">Y97/Y$8</f>
        <v>7.0230867560718739E-4</v>
      </c>
    </row>
    <row r="98" spans="1:28" s="56" customFormat="1" x14ac:dyDescent="0.25">
      <c r="B98" s="162" t="s">
        <v>113</v>
      </c>
      <c r="C98" s="163">
        <v>383</v>
      </c>
      <c r="D98" s="163">
        <v>299</v>
      </c>
      <c r="E98" s="163">
        <v>0</v>
      </c>
      <c r="F98" s="163">
        <v>73</v>
      </c>
      <c r="G98" s="163">
        <v>177</v>
      </c>
      <c r="H98" s="163">
        <v>258</v>
      </c>
      <c r="I98" s="164">
        <f t="shared" si="81"/>
        <v>0.45762711864406769</v>
      </c>
      <c r="J98" s="165">
        <f t="shared" si="82"/>
        <v>-0.32637075718015662</v>
      </c>
      <c r="K98" s="164">
        <f t="shared" si="83"/>
        <v>4.579242188664778E-4</v>
      </c>
      <c r="L98" s="163">
        <v>2210</v>
      </c>
      <c r="M98" s="163">
        <v>772</v>
      </c>
      <c r="N98" s="163">
        <v>0</v>
      </c>
      <c r="O98" s="163">
        <v>1193</v>
      </c>
      <c r="P98" s="163">
        <v>2069</v>
      </c>
      <c r="Q98" s="163">
        <v>2752</v>
      </c>
      <c r="R98" s="164">
        <f t="shared" si="84"/>
        <v>0.33011116481391967</v>
      </c>
      <c r="S98" s="165">
        <f t="shared" si="85"/>
        <v>0.24524886877828056</v>
      </c>
      <c r="T98" s="164">
        <f t="shared" si="86"/>
        <v>1.0445560864370161E-3</v>
      </c>
      <c r="U98" s="163">
        <v>2593</v>
      </c>
      <c r="V98" s="163">
        <v>1176</v>
      </c>
      <c r="W98" s="163">
        <v>2396</v>
      </c>
      <c r="X98" s="163">
        <v>2589</v>
      </c>
      <c r="Y98" s="163">
        <v>3010</v>
      </c>
      <c r="Z98" s="164">
        <f t="shared" si="87"/>
        <v>0.16261104673619164</v>
      </c>
      <c r="AA98" s="165">
        <f t="shared" si="80"/>
        <v>0.16081758580794436</v>
      </c>
      <c r="AB98" s="164">
        <f t="shared" si="88"/>
        <v>9.4120619482530464E-4</v>
      </c>
    </row>
    <row r="99" spans="1:28" x14ac:dyDescent="0.25">
      <c r="A99" s="56"/>
      <c r="B99" s="162" t="s">
        <v>116</v>
      </c>
      <c r="C99" s="163">
        <v>881</v>
      </c>
      <c r="D99" s="163">
        <v>539</v>
      </c>
      <c r="E99" s="163">
        <v>0</v>
      </c>
      <c r="F99" s="163">
        <v>177</v>
      </c>
      <c r="G99" s="163">
        <v>566</v>
      </c>
      <c r="H99" s="163">
        <v>412</v>
      </c>
      <c r="I99" s="164">
        <f t="shared" si="81"/>
        <v>-0.27208480565371029</v>
      </c>
      <c r="J99" s="165">
        <f t="shared" si="82"/>
        <v>-0.53234960272417708</v>
      </c>
      <c r="K99" s="164">
        <f t="shared" si="83"/>
        <v>7.3125883012786384E-4</v>
      </c>
      <c r="L99" s="163">
        <v>1928</v>
      </c>
      <c r="M99" s="163">
        <v>622</v>
      </c>
      <c r="N99" s="163">
        <v>0</v>
      </c>
      <c r="O99" s="163">
        <v>1270</v>
      </c>
      <c r="P99" s="163">
        <v>1759</v>
      </c>
      <c r="Q99" s="163">
        <v>2340</v>
      </c>
      <c r="R99" s="164">
        <f t="shared" si="84"/>
        <v>0.33030130756111431</v>
      </c>
      <c r="S99" s="165">
        <f t="shared" si="85"/>
        <v>0.21369294605809119</v>
      </c>
      <c r="T99" s="164">
        <f t="shared" si="86"/>
        <v>8.881763234965908E-4</v>
      </c>
      <c r="U99" s="163">
        <v>2809</v>
      </c>
      <c r="V99" s="163">
        <v>2663</v>
      </c>
      <c r="W99" s="163">
        <v>2543</v>
      </c>
      <c r="X99" s="163">
        <v>2839</v>
      </c>
      <c r="Y99" s="163">
        <v>2752</v>
      </c>
      <c r="Z99" s="164">
        <f t="shared" si="87"/>
        <v>-3.0644593166607947E-2</v>
      </c>
      <c r="AA99" s="165">
        <f t="shared" si="80"/>
        <v>-2.0291918832324618E-2</v>
      </c>
      <c r="AB99" s="164">
        <f t="shared" si="88"/>
        <v>8.6053137812599275E-4</v>
      </c>
    </row>
    <row r="100" spans="1:28" x14ac:dyDescent="0.25">
      <c r="A100" s="56"/>
      <c r="B100" s="162" t="s">
        <v>123</v>
      </c>
      <c r="C100" s="163">
        <v>49</v>
      </c>
      <c r="D100" s="163">
        <v>55</v>
      </c>
      <c r="E100" s="163">
        <v>0</v>
      </c>
      <c r="F100" s="163">
        <v>15</v>
      </c>
      <c r="G100" s="163">
        <v>17</v>
      </c>
      <c r="H100" s="163">
        <v>60</v>
      </c>
      <c r="I100" s="164">
        <f t="shared" si="81"/>
        <v>2.5294117647058822</v>
      </c>
      <c r="J100" s="165">
        <f t="shared" si="82"/>
        <v>0.22448979591836737</v>
      </c>
      <c r="K100" s="164">
        <f t="shared" si="83"/>
        <v>1.0649400438755298E-4</v>
      </c>
      <c r="L100" s="163">
        <v>393</v>
      </c>
      <c r="M100" s="163">
        <v>210</v>
      </c>
      <c r="N100" s="163">
        <v>0</v>
      </c>
      <c r="O100" s="163">
        <v>469</v>
      </c>
      <c r="P100" s="163">
        <v>545</v>
      </c>
      <c r="Q100" s="163">
        <v>641</v>
      </c>
      <c r="R100" s="164">
        <f t="shared" si="84"/>
        <v>0.1761467889908257</v>
      </c>
      <c r="S100" s="165">
        <f t="shared" si="85"/>
        <v>0.63104325699745556</v>
      </c>
      <c r="T100" s="164">
        <f t="shared" si="86"/>
        <v>2.4329958263304046E-4</v>
      </c>
      <c r="U100" s="163">
        <v>442</v>
      </c>
      <c r="V100" s="163">
        <v>162</v>
      </c>
      <c r="W100" s="163">
        <v>886</v>
      </c>
      <c r="X100" s="163">
        <v>646</v>
      </c>
      <c r="Y100" s="163">
        <v>701</v>
      </c>
      <c r="Z100" s="164">
        <f t="shared" si="87"/>
        <v>8.5139318885449011E-2</v>
      </c>
      <c r="AA100" s="165">
        <f t="shared" si="80"/>
        <v>0.58597285067873295</v>
      </c>
      <c r="AB100" s="164">
        <f t="shared" si="88"/>
        <v>2.1919785467526198E-4</v>
      </c>
    </row>
    <row r="101" spans="1:28" x14ac:dyDescent="0.25">
      <c r="A101" s="56"/>
      <c r="B101" s="162" t="s">
        <v>119</v>
      </c>
      <c r="C101" s="163">
        <v>56</v>
      </c>
      <c r="D101" s="163">
        <v>30</v>
      </c>
      <c r="E101" s="163">
        <v>0</v>
      </c>
      <c r="F101" s="163">
        <v>5</v>
      </c>
      <c r="G101" s="163">
        <v>61</v>
      </c>
      <c r="H101" s="163">
        <v>30</v>
      </c>
      <c r="I101" s="164">
        <f t="shared" si="81"/>
        <v>-0.50819672131147542</v>
      </c>
      <c r="J101" s="165">
        <f t="shared" si="82"/>
        <v>-0.4642857142857143</v>
      </c>
      <c r="K101" s="164">
        <f t="shared" si="83"/>
        <v>5.3247002193776492E-5</v>
      </c>
      <c r="L101" s="163">
        <v>317</v>
      </c>
      <c r="M101" s="163">
        <v>102</v>
      </c>
      <c r="N101" s="163">
        <v>0</v>
      </c>
      <c r="O101" s="163">
        <v>268</v>
      </c>
      <c r="P101" s="163">
        <v>273</v>
      </c>
      <c r="Q101" s="163">
        <v>609</v>
      </c>
      <c r="R101" s="164">
        <f t="shared" si="84"/>
        <v>1.2307692307692308</v>
      </c>
      <c r="S101" s="165">
        <f t="shared" si="85"/>
        <v>0.92113564668769721</v>
      </c>
      <c r="T101" s="164">
        <f t="shared" si="86"/>
        <v>2.3115358162795888E-4</v>
      </c>
      <c r="U101" s="163">
        <v>373</v>
      </c>
      <c r="V101" s="163">
        <v>272</v>
      </c>
      <c r="W101" s="163">
        <v>523</v>
      </c>
      <c r="X101" s="163">
        <v>426</v>
      </c>
      <c r="Y101" s="163">
        <v>639</v>
      </c>
      <c r="Z101" s="164">
        <f t="shared" si="87"/>
        <v>0.5</v>
      </c>
      <c r="AA101" s="165">
        <f t="shared" si="80"/>
        <v>0.71313672922252014</v>
      </c>
      <c r="AB101" s="164">
        <f t="shared" si="88"/>
        <v>1.9981088322038859E-4</v>
      </c>
    </row>
    <row r="102" spans="1:28" x14ac:dyDescent="0.25">
      <c r="A102" s="56"/>
      <c r="B102" s="162" t="s">
        <v>128</v>
      </c>
      <c r="C102" s="163">
        <v>30</v>
      </c>
      <c r="D102" s="163">
        <v>22</v>
      </c>
      <c r="E102" s="163">
        <v>0</v>
      </c>
      <c r="F102" s="163">
        <v>0</v>
      </c>
      <c r="G102" s="163">
        <v>9</v>
      </c>
      <c r="H102" s="163">
        <v>16</v>
      </c>
      <c r="I102" s="164">
        <f t="shared" si="81"/>
        <v>0.77777777777777768</v>
      </c>
      <c r="J102" s="165">
        <f t="shared" si="82"/>
        <v>-0.46666666666666667</v>
      </c>
      <c r="K102" s="164">
        <f t="shared" si="83"/>
        <v>2.8398401170014127E-5</v>
      </c>
      <c r="L102" s="163">
        <v>77</v>
      </c>
      <c r="M102" s="163">
        <v>90</v>
      </c>
      <c r="N102" s="163">
        <v>0</v>
      </c>
      <c r="O102" s="163">
        <v>63</v>
      </c>
      <c r="P102" s="163">
        <v>82</v>
      </c>
      <c r="Q102" s="163">
        <v>162</v>
      </c>
      <c r="R102" s="164">
        <f t="shared" si="84"/>
        <v>0.97560975609756095</v>
      </c>
      <c r="S102" s="165">
        <f t="shared" si="85"/>
        <v>1.1038961038961039</v>
      </c>
      <c r="T102" s="164">
        <f t="shared" si="86"/>
        <v>6.1489130088225518E-5</v>
      </c>
      <c r="U102" s="163">
        <v>107</v>
      </c>
      <c r="V102" s="163">
        <v>20</v>
      </c>
      <c r="W102" s="163">
        <v>222</v>
      </c>
      <c r="X102" s="163">
        <v>106</v>
      </c>
      <c r="Y102" s="163">
        <v>178</v>
      </c>
      <c r="Z102" s="164">
        <f t="shared" si="87"/>
        <v>0.679245283018868</v>
      </c>
      <c r="AA102" s="165">
        <f t="shared" si="80"/>
        <v>0.66355140186915884</v>
      </c>
      <c r="AB102" s="164">
        <f t="shared" si="88"/>
        <v>5.5659369660765523E-5</v>
      </c>
    </row>
    <row r="103" spans="1:28" x14ac:dyDescent="0.25">
      <c r="A103" s="56"/>
      <c r="B103" s="162" t="s">
        <v>131</v>
      </c>
      <c r="C103" s="163">
        <v>37</v>
      </c>
      <c r="D103" s="163">
        <v>0</v>
      </c>
      <c r="E103" s="163">
        <v>0</v>
      </c>
      <c r="F103" s="163">
        <v>0</v>
      </c>
      <c r="G103" s="163">
        <v>0</v>
      </c>
      <c r="H103" s="163">
        <v>14</v>
      </c>
      <c r="I103" s="164" t="str">
        <f t="shared" si="81"/>
        <v>-</v>
      </c>
      <c r="J103" s="165">
        <f t="shared" si="82"/>
        <v>-0.6216216216216216</v>
      </c>
      <c r="K103" s="164">
        <f t="shared" si="83"/>
        <v>2.4848601023762361E-5</v>
      </c>
      <c r="L103" s="163">
        <v>109</v>
      </c>
      <c r="M103" s="163">
        <v>61</v>
      </c>
      <c r="N103" s="163">
        <v>0</v>
      </c>
      <c r="O103" s="163">
        <v>45</v>
      </c>
      <c r="P103" s="163">
        <v>167</v>
      </c>
      <c r="Q103" s="163">
        <v>268</v>
      </c>
      <c r="R103" s="164">
        <f t="shared" si="84"/>
        <v>0.60479041916167664</v>
      </c>
      <c r="S103" s="165">
        <f t="shared" si="85"/>
        <v>1.4587155963302751</v>
      </c>
      <c r="T103" s="164">
        <f t="shared" si="86"/>
        <v>1.0172275841755826E-4</v>
      </c>
      <c r="U103" s="163">
        <v>146</v>
      </c>
      <c r="V103" s="163">
        <v>63</v>
      </c>
      <c r="W103" s="163">
        <v>114</v>
      </c>
      <c r="X103" s="163">
        <v>190</v>
      </c>
      <c r="Y103" s="163">
        <v>282</v>
      </c>
      <c r="Z103" s="164">
        <f t="shared" si="87"/>
        <v>0.48421052631578942</v>
      </c>
      <c r="AA103" s="165">
        <f t="shared" si="80"/>
        <v>0.93150684931506844</v>
      </c>
      <c r="AB103" s="164">
        <f t="shared" si="88"/>
        <v>8.8179450810875714E-5</v>
      </c>
    </row>
    <row r="104" spans="1:28" x14ac:dyDescent="0.25">
      <c r="A104" s="56"/>
      <c r="B104" s="168" t="s">
        <v>145</v>
      </c>
      <c r="C104" s="169">
        <f t="shared" ref="C104:H104" si="89">C96-SUM(C97:C103)</f>
        <v>1301</v>
      </c>
      <c r="D104" s="169">
        <f t="shared" si="89"/>
        <v>306</v>
      </c>
      <c r="E104" s="169">
        <f t="shared" si="89"/>
        <v>0</v>
      </c>
      <c r="F104" s="169">
        <f t="shared" si="89"/>
        <v>266</v>
      </c>
      <c r="G104" s="169">
        <f t="shared" si="89"/>
        <v>462</v>
      </c>
      <c r="H104" s="169">
        <f t="shared" si="89"/>
        <v>542</v>
      </c>
      <c r="I104" s="170">
        <f t="shared" si="81"/>
        <v>0.17316017316017307</v>
      </c>
      <c r="J104" s="171">
        <f t="shared" si="82"/>
        <v>-0.58339738662567253</v>
      </c>
      <c r="K104" s="170">
        <f t="shared" si="83"/>
        <v>9.6199583963422857E-4</v>
      </c>
      <c r="L104" s="169">
        <f t="shared" ref="L104:Q104" si="90">L96-SUM(L97:L103)</f>
        <v>3626</v>
      </c>
      <c r="M104" s="169">
        <f t="shared" si="90"/>
        <v>1198</v>
      </c>
      <c r="N104" s="169">
        <f t="shared" si="90"/>
        <v>0</v>
      </c>
      <c r="O104" s="169">
        <f t="shared" si="90"/>
        <v>2339</v>
      </c>
      <c r="P104" s="169">
        <f t="shared" si="90"/>
        <v>4010</v>
      </c>
      <c r="Q104" s="169">
        <f t="shared" si="90"/>
        <v>5274</v>
      </c>
      <c r="R104" s="170">
        <f t="shared" si="84"/>
        <v>0.31521197007481305</v>
      </c>
      <c r="S104" s="171">
        <f t="shared" si="85"/>
        <v>0.4544953116381687</v>
      </c>
      <c r="T104" s="170">
        <f t="shared" si="86"/>
        <v>2.0018127906500085E-3</v>
      </c>
      <c r="U104" s="169">
        <f>U96-SUM(U97:U103)</f>
        <v>4927</v>
      </c>
      <c r="V104" s="169">
        <f>V96-SUM(V97:V103)</f>
        <v>2413</v>
      </c>
      <c r="W104" s="169">
        <f>W96-SUM(W97:W103)</f>
        <v>4325</v>
      </c>
      <c r="X104" s="169">
        <f>X96-SUM(X97:X103)</f>
        <v>5515</v>
      </c>
      <c r="Y104" s="169">
        <f>Y96-SUM(Y97:Y103)</f>
        <v>5816</v>
      </c>
      <c r="Z104" s="170">
        <f t="shared" si="87"/>
        <v>5.4578422484134137E-2</v>
      </c>
      <c r="AA104" s="171">
        <f t="shared" si="80"/>
        <v>0.18043434138420955</v>
      </c>
      <c r="AB104" s="170">
        <f t="shared" si="88"/>
        <v>1.8186229997023161E-3</v>
      </c>
    </row>
    <row r="105" spans="1:28" x14ac:dyDescent="0.25">
      <c r="A105" s="56"/>
      <c r="B105" s="153" t="s">
        <v>50</v>
      </c>
      <c r="C105" s="151"/>
      <c r="D105" s="151"/>
      <c r="E105" s="151"/>
      <c r="F105" s="151"/>
      <c r="G105" s="151"/>
      <c r="H105" s="151"/>
      <c r="I105" s="151"/>
      <c r="J105" s="151"/>
      <c r="K105" s="151"/>
      <c r="L105" s="151"/>
      <c r="M105" s="151"/>
      <c r="N105" s="151"/>
      <c r="O105" s="151"/>
      <c r="P105" s="151"/>
      <c r="Q105" s="151"/>
      <c r="R105" s="151"/>
      <c r="S105" s="151"/>
      <c r="T105" s="151"/>
      <c r="U105" s="151"/>
      <c r="V105" s="151"/>
      <c r="W105" s="151"/>
      <c r="X105" s="151"/>
      <c r="Y105" s="151"/>
      <c r="Z105" s="151"/>
      <c r="AA105" s="151"/>
      <c r="AB105" s="151"/>
    </row>
    <row r="106" spans="1:28" x14ac:dyDescent="0.25">
      <c r="A106" s="56"/>
      <c r="B106" s="154" t="s">
        <v>68</v>
      </c>
      <c r="C106" s="176">
        <f t="shared" ref="C106:H106" si="91">C107+C110</f>
        <v>0</v>
      </c>
      <c r="D106" s="176">
        <f t="shared" si="91"/>
        <v>0</v>
      </c>
      <c r="E106" s="176">
        <f t="shared" si="91"/>
        <v>0</v>
      </c>
      <c r="F106" s="176">
        <f t="shared" si="91"/>
        <v>0</v>
      </c>
      <c r="G106" s="176">
        <f t="shared" si="91"/>
        <v>0</v>
      </c>
      <c r="H106" s="176">
        <f t="shared" si="91"/>
        <v>0</v>
      </c>
      <c r="I106" s="177" t="str">
        <f>IFERROR(H106/G106-1,"-")</f>
        <v>-</v>
      </c>
      <c r="J106" s="177" t="str">
        <f>IFERROR(H106/C106-1,"-")</f>
        <v>-</v>
      </c>
      <c r="K106" s="177">
        <f>H106/H$8</f>
        <v>0</v>
      </c>
      <c r="L106" s="176">
        <f t="shared" ref="L106:Q106" si="92">L107+L110</f>
        <v>63582</v>
      </c>
      <c r="M106" s="176">
        <f t="shared" si="92"/>
        <v>22627</v>
      </c>
      <c r="N106" s="176">
        <f t="shared" si="92"/>
        <v>0</v>
      </c>
      <c r="O106" s="176">
        <f t="shared" si="92"/>
        <v>0</v>
      </c>
      <c r="P106" s="176">
        <f t="shared" si="92"/>
        <v>0</v>
      </c>
      <c r="Q106" s="176">
        <f t="shared" si="92"/>
        <v>0</v>
      </c>
      <c r="R106" s="177" t="str">
        <f>IFERROR(Q106/P106-1,"-")</f>
        <v>-</v>
      </c>
      <c r="S106" s="177">
        <f>IFERROR(Q106/L106-1,"-")</f>
        <v>-1</v>
      </c>
      <c r="T106" s="177">
        <f>Q106/Q$8</f>
        <v>0</v>
      </c>
      <c r="U106" s="176">
        <f>U107+U110</f>
        <v>63582</v>
      </c>
      <c r="V106" s="176">
        <f>V107+V110</f>
        <v>62554</v>
      </c>
      <c r="W106" s="176">
        <f>W107+W110</f>
        <v>124607</v>
      </c>
      <c r="X106" s="176">
        <f>X107+X110</f>
        <v>163429</v>
      </c>
      <c r="Y106" s="176">
        <f>Y107+Y110</f>
        <v>157299</v>
      </c>
      <c r="Z106" s="177">
        <f>IFERROR(Y106/X106-1,"-")</f>
        <v>-3.7508642896915467E-2</v>
      </c>
      <c r="AA106" s="177">
        <f t="shared" ref="AA106:AA118" si="93">IFERROR(Y106/U106-1,"-")</f>
        <v>1.4739548928942154</v>
      </c>
      <c r="AB106" s="177">
        <f>Y106/Y$8</f>
        <v>4.9186310046453685E-2</v>
      </c>
    </row>
    <row r="107" spans="1:28" x14ac:dyDescent="0.25">
      <c r="A107" s="56"/>
      <c r="B107" s="157" t="s">
        <v>97</v>
      </c>
      <c r="C107" s="158">
        <v>0</v>
      </c>
      <c r="D107" s="158">
        <v>0</v>
      </c>
      <c r="E107" s="158">
        <v>0</v>
      </c>
      <c r="F107" s="158">
        <v>0</v>
      </c>
      <c r="G107" s="158">
        <v>0</v>
      </c>
      <c r="H107" s="158">
        <v>0</v>
      </c>
      <c r="I107" s="159" t="str">
        <f>IFERROR(H107/G107-1,"-")</f>
        <v>-</v>
      </c>
      <c r="J107" s="160" t="str">
        <f>IFERROR(H107/C107-1,"-")</f>
        <v>-</v>
      </c>
      <c r="K107" s="159">
        <f>H107/H$8</f>
        <v>0</v>
      </c>
      <c r="L107" s="158">
        <v>13571</v>
      </c>
      <c r="M107" s="158">
        <v>5441</v>
      </c>
      <c r="N107" s="158">
        <v>0</v>
      </c>
      <c r="O107" s="158">
        <v>0</v>
      </c>
      <c r="P107" s="158">
        <v>0</v>
      </c>
      <c r="Q107" s="158">
        <v>0</v>
      </c>
      <c r="R107" s="159" t="str">
        <f>IFERROR(Q107/P107-1,"-")</f>
        <v>-</v>
      </c>
      <c r="S107" s="160">
        <f>IFERROR(Q107/L107-1,"-")</f>
        <v>-1</v>
      </c>
      <c r="T107" s="159">
        <f>Q107/Q$8</f>
        <v>0</v>
      </c>
      <c r="U107" s="158">
        <v>13571</v>
      </c>
      <c r="V107" s="158">
        <v>33144</v>
      </c>
      <c r="W107" s="158">
        <v>31290</v>
      </c>
      <c r="X107" s="158">
        <v>37406</v>
      </c>
      <c r="Y107" s="158">
        <v>35367</v>
      </c>
      <c r="Z107" s="159">
        <f>IFERROR(Y107/X107-1,"-")</f>
        <v>-5.4509971662300205E-2</v>
      </c>
      <c r="AA107" s="160">
        <f t="shared" si="93"/>
        <v>1.6060717706874952</v>
      </c>
      <c r="AB107" s="159">
        <f>Y107/Y$8</f>
        <v>1.1059016442653339E-2</v>
      </c>
    </row>
    <row r="108" spans="1:28" x14ac:dyDescent="0.25">
      <c r="A108" s="56"/>
      <c r="B108" s="162" t="s">
        <v>103</v>
      </c>
      <c r="C108" s="163">
        <v>0</v>
      </c>
      <c r="D108" s="163">
        <v>0</v>
      </c>
      <c r="E108" s="163">
        <v>0</v>
      </c>
      <c r="F108" s="163">
        <v>0</v>
      </c>
      <c r="G108" s="163">
        <v>0</v>
      </c>
      <c r="H108" s="163">
        <v>0</v>
      </c>
      <c r="I108" s="164" t="str">
        <f>IFERROR(H108/G108-1,"-")</f>
        <v>-</v>
      </c>
      <c r="J108" s="165" t="str">
        <f>IFERROR(H108/C108-1,"-")</f>
        <v>-</v>
      </c>
      <c r="K108" s="164">
        <f>H108/H$8</f>
        <v>0</v>
      </c>
      <c r="L108" s="163">
        <v>2488</v>
      </c>
      <c r="M108" s="163">
        <v>273</v>
      </c>
      <c r="N108" s="163">
        <v>0</v>
      </c>
      <c r="O108" s="163">
        <v>0</v>
      </c>
      <c r="P108" s="163">
        <v>0</v>
      </c>
      <c r="Q108" s="163">
        <v>0</v>
      </c>
      <c r="R108" s="164" t="str">
        <f>IFERROR(Q108/P108-1,"-")</f>
        <v>-</v>
      </c>
      <c r="S108" s="165">
        <f>IFERROR(Q108/L108-1,"-")</f>
        <v>-1</v>
      </c>
      <c r="T108" s="164">
        <f>Q108/Q$8</f>
        <v>0</v>
      </c>
      <c r="U108" s="163">
        <v>2488</v>
      </c>
      <c r="V108" s="163">
        <v>17889</v>
      </c>
      <c r="W108" s="163">
        <v>8698</v>
      </c>
      <c r="X108" s="163">
        <v>12435</v>
      </c>
      <c r="Y108" s="163">
        <v>10145</v>
      </c>
      <c r="Z108" s="164">
        <f>IFERROR(Y108/X108-1,"-")</f>
        <v>-0.18415761962203459</v>
      </c>
      <c r="AA108" s="165">
        <f t="shared" si="93"/>
        <v>3.077572347266881</v>
      </c>
      <c r="AB108" s="164">
        <f>Y108/Y$8</f>
        <v>3.172271377575653E-3</v>
      </c>
    </row>
    <row r="109" spans="1:28" x14ac:dyDescent="0.25">
      <c r="A109" s="56"/>
      <c r="B109" s="162" t="s">
        <v>100</v>
      </c>
      <c r="C109" s="163">
        <v>0</v>
      </c>
      <c r="D109" s="163">
        <v>0</v>
      </c>
      <c r="E109" s="163">
        <v>0</v>
      </c>
      <c r="F109" s="163">
        <v>0</v>
      </c>
      <c r="G109" s="163">
        <v>0</v>
      </c>
      <c r="H109" s="163">
        <v>0</v>
      </c>
      <c r="I109" s="164" t="str">
        <f>IFERROR(H109/G109-1,"-")</f>
        <v>-</v>
      </c>
      <c r="J109" s="165" t="str">
        <f>IFERROR(H109/C109-1,"-")</f>
        <v>-</v>
      </c>
      <c r="K109" s="164">
        <f>H109/H$8</f>
        <v>0</v>
      </c>
      <c r="L109" s="163">
        <v>11083</v>
      </c>
      <c r="M109" s="163">
        <v>5168</v>
      </c>
      <c r="N109" s="163">
        <v>0</v>
      </c>
      <c r="O109" s="163">
        <v>0</v>
      </c>
      <c r="P109" s="163">
        <v>0</v>
      </c>
      <c r="Q109" s="163">
        <v>0</v>
      </c>
      <c r="R109" s="164" t="str">
        <f>IFERROR(Q109/P109-1,"-")</f>
        <v>-</v>
      </c>
      <c r="S109" s="165">
        <f>IFERROR(Q109/L109-1,"-")</f>
        <v>-1</v>
      </c>
      <c r="T109" s="164">
        <f>Q109/Q$8</f>
        <v>0</v>
      </c>
      <c r="U109" s="163">
        <v>11083</v>
      </c>
      <c r="V109" s="163">
        <v>15255</v>
      </c>
      <c r="W109" s="163">
        <v>22592</v>
      </c>
      <c r="X109" s="163">
        <v>24971</v>
      </c>
      <c r="Y109" s="163">
        <v>25222</v>
      </c>
      <c r="Z109" s="164">
        <f>IFERROR(Y109/X109-1,"-")</f>
        <v>1.0051659925513601E-2</v>
      </c>
      <c r="AA109" s="165">
        <f t="shared" si="93"/>
        <v>1.2757376161689074</v>
      </c>
      <c r="AB109" s="164">
        <f>Y109/Y$8</f>
        <v>7.8867450650776851E-3</v>
      </c>
    </row>
    <row r="110" spans="1:28" x14ac:dyDescent="0.25">
      <c r="A110" s="56"/>
      <c r="B110" s="157" t="s">
        <v>107</v>
      </c>
      <c r="C110" s="158">
        <v>0</v>
      </c>
      <c r="D110" s="158">
        <v>0</v>
      </c>
      <c r="E110" s="158">
        <v>0</v>
      </c>
      <c r="F110" s="158">
        <v>0</v>
      </c>
      <c r="G110" s="158">
        <v>0</v>
      </c>
      <c r="H110" s="158">
        <v>0</v>
      </c>
      <c r="I110" s="159" t="str">
        <f>IFERROR(H110/G110-1,"-")</f>
        <v>-</v>
      </c>
      <c r="J110" s="160" t="str">
        <f>IFERROR(H110/C110-1,"-")</f>
        <v>-</v>
      </c>
      <c r="K110" s="159">
        <f>H110/H$8</f>
        <v>0</v>
      </c>
      <c r="L110" s="158">
        <v>50011</v>
      </c>
      <c r="M110" s="158">
        <v>17186</v>
      </c>
      <c r="N110" s="158">
        <v>0</v>
      </c>
      <c r="O110" s="158">
        <v>0</v>
      </c>
      <c r="P110" s="158">
        <v>0</v>
      </c>
      <c r="Q110" s="158">
        <v>0</v>
      </c>
      <c r="R110" s="159" t="str">
        <f>IFERROR(Q110/P110-1,"-")</f>
        <v>-</v>
      </c>
      <c r="S110" s="160">
        <f>IFERROR(Q110/L110-1,"-")</f>
        <v>-1</v>
      </c>
      <c r="T110" s="159">
        <f>Q110/Q$8</f>
        <v>0</v>
      </c>
      <c r="U110" s="158">
        <v>50011</v>
      </c>
      <c r="V110" s="158">
        <v>29410</v>
      </c>
      <c r="W110" s="158">
        <v>93317</v>
      </c>
      <c r="X110" s="158">
        <v>126023</v>
      </c>
      <c r="Y110" s="158">
        <v>121932</v>
      </c>
      <c r="Z110" s="159">
        <f>IFERROR(Y110/X110-1,"-")</f>
        <v>-3.2462328305150612E-2</v>
      </c>
      <c r="AA110" s="160">
        <f t="shared" si="93"/>
        <v>1.4381036172042152</v>
      </c>
      <c r="AB110" s="159">
        <f>Y110/Y$8</f>
        <v>3.812729360380035E-2</v>
      </c>
    </row>
    <row r="111" spans="1:28" s="56" customFormat="1" x14ac:dyDescent="0.25">
      <c r="B111" s="162" t="s">
        <v>110</v>
      </c>
      <c r="C111" s="163">
        <v>0</v>
      </c>
      <c r="D111" s="163">
        <v>0</v>
      </c>
      <c r="E111" s="163">
        <v>0</v>
      </c>
      <c r="F111" s="163">
        <v>0</v>
      </c>
      <c r="G111" s="163">
        <v>0</v>
      </c>
      <c r="H111" s="163">
        <v>0</v>
      </c>
      <c r="I111" s="164" t="str">
        <f t="shared" ref="I111:I118" si="94">IFERROR(H111/G111-1,"-")</f>
        <v>-</v>
      </c>
      <c r="J111" s="165" t="str">
        <f t="shared" ref="J111:J118" si="95">IFERROR(H111/C111-1,"-")</f>
        <v>-</v>
      </c>
      <c r="K111" s="164">
        <f t="shared" ref="K111:K118" si="96">H111/H$8</f>
        <v>0</v>
      </c>
      <c r="L111" s="163">
        <v>28201</v>
      </c>
      <c r="M111" s="163">
        <v>9701</v>
      </c>
      <c r="N111" s="163">
        <v>0</v>
      </c>
      <c r="O111" s="163">
        <v>0</v>
      </c>
      <c r="P111" s="163">
        <v>0</v>
      </c>
      <c r="Q111" s="163">
        <v>0</v>
      </c>
      <c r="R111" s="164" t="str">
        <f t="shared" ref="R111:R118" si="97">IFERROR(Q111/P111-1,"-")</f>
        <v>-</v>
      </c>
      <c r="S111" s="165">
        <f t="shared" ref="S111:S118" si="98">IFERROR(Q111/L111-1,"-")</f>
        <v>-1</v>
      </c>
      <c r="T111" s="164">
        <f t="shared" ref="T111:T118" si="99">Q111/Q$8</f>
        <v>0</v>
      </c>
      <c r="U111" s="163">
        <v>28201</v>
      </c>
      <c r="V111" s="163">
        <v>8851</v>
      </c>
      <c r="W111" s="163">
        <v>56042</v>
      </c>
      <c r="X111" s="163">
        <v>83042</v>
      </c>
      <c r="Y111" s="163">
        <v>76715</v>
      </c>
      <c r="Z111" s="164">
        <f t="shared" ref="Z111:Z118" si="100">IFERROR(Y111/X111-1,"-")</f>
        <v>-7.6190361503817305E-2</v>
      </c>
      <c r="AA111" s="165">
        <f t="shared" si="93"/>
        <v>1.7202936066096948</v>
      </c>
      <c r="AB111" s="164">
        <f t="shared" ref="AB111:AB118" si="101">Y111/Y$8</f>
        <v>2.3988250244525996E-2</v>
      </c>
    </row>
    <row r="112" spans="1:28" s="56" customFormat="1" x14ac:dyDescent="0.25">
      <c r="B112" s="162" t="s">
        <v>113</v>
      </c>
      <c r="C112" s="163">
        <v>0</v>
      </c>
      <c r="D112" s="163">
        <v>0</v>
      </c>
      <c r="E112" s="163">
        <v>0</v>
      </c>
      <c r="F112" s="163">
        <v>0</v>
      </c>
      <c r="G112" s="163">
        <v>0</v>
      </c>
      <c r="H112" s="163">
        <v>0</v>
      </c>
      <c r="I112" s="164" t="str">
        <f t="shared" si="94"/>
        <v>-</v>
      </c>
      <c r="J112" s="165" t="str">
        <f t="shared" si="95"/>
        <v>-</v>
      </c>
      <c r="K112" s="164">
        <f t="shared" si="96"/>
        <v>0</v>
      </c>
      <c r="L112" s="163">
        <v>3326</v>
      </c>
      <c r="M112" s="163">
        <v>1353</v>
      </c>
      <c r="N112" s="163">
        <v>0</v>
      </c>
      <c r="O112" s="163">
        <v>0</v>
      </c>
      <c r="P112" s="163">
        <v>0</v>
      </c>
      <c r="Q112" s="163">
        <v>0</v>
      </c>
      <c r="R112" s="164" t="str">
        <f t="shared" si="97"/>
        <v>-</v>
      </c>
      <c r="S112" s="165">
        <f t="shared" si="98"/>
        <v>-1</v>
      </c>
      <c r="T112" s="164">
        <f t="shared" si="99"/>
        <v>0</v>
      </c>
      <c r="U112" s="163">
        <v>3326</v>
      </c>
      <c r="V112" s="163">
        <v>4836</v>
      </c>
      <c r="W112" s="163">
        <v>4079</v>
      </c>
      <c r="X112" s="163">
        <v>5399</v>
      </c>
      <c r="Y112" s="163">
        <v>5111</v>
      </c>
      <c r="Z112" s="164">
        <f t="shared" si="100"/>
        <v>-5.3343211705871418E-2</v>
      </c>
      <c r="AA112" s="165">
        <f t="shared" si="93"/>
        <v>0.53668069753457615</v>
      </c>
      <c r="AB112" s="164">
        <f t="shared" si="101"/>
        <v>1.5981743726751268E-3</v>
      </c>
    </row>
    <row r="113" spans="1:28" x14ac:dyDescent="0.25">
      <c r="A113" s="56"/>
      <c r="B113" s="162" t="s">
        <v>116</v>
      </c>
      <c r="C113" s="163">
        <v>0</v>
      </c>
      <c r="D113" s="163">
        <v>0</v>
      </c>
      <c r="E113" s="163">
        <v>0</v>
      </c>
      <c r="F113" s="163">
        <v>0</v>
      </c>
      <c r="G113" s="163">
        <v>0</v>
      </c>
      <c r="H113" s="163">
        <v>0</v>
      </c>
      <c r="I113" s="164" t="str">
        <f t="shared" si="94"/>
        <v>-</v>
      </c>
      <c r="J113" s="165" t="str">
        <f t="shared" si="95"/>
        <v>-</v>
      </c>
      <c r="K113" s="164">
        <f t="shared" si="96"/>
        <v>0</v>
      </c>
      <c r="L113" s="163">
        <v>7744</v>
      </c>
      <c r="M113" s="163">
        <v>895</v>
      </c>
      <c r="N113" s="163">
        <v>0</v>
      </c>
      <c r="O113" s="163">
        <v>0</v>
      </c>
      <c r="P113" s="163">
        <v>0</v>
      </c>
      <c r="Q113" s="163">
        <v>0</v>
      </c>
      <c r="R113" s="164" t="str">
        <f t="shared" si="97"/>
        <v>-</v>
      </c>
      <c r="S113" s="165">
        <f t="shared" si="98"/>
        <v>-1</v>
      </c>
      <c r="T113" s="164">
        <f t="shared" si="99"/>
        <v>0</v>
      </c>
      <c r="U113" s="163">
        <v>7744</v>
      </c>
      <c r="V113" s="163">
        <v>4386</v>
      </c>
      <c r="W113" s="163">
        <v>6231</v>
      </c>
      <c r="X113" s="163">
        <v>9908</v>
      </c>
      <c r="Y113" s="163">
        <v>9298</v>
      </c>
      <c r="Z113" s="164">
        <f t="shared" si="100"/>
        <v>-6.1566410981025443E-2</v>
      </c>
      <c r="AA113" s="165">
        <f t="shared" si="93"/>
        <v>0.20067148760330578</v>
      </c>
      <c r="AB113" s="164">
        <f t="shared" si="101"/>
        <v>2.907420332055044E-3</v>
      </c>
    </row>
    <row r="114" spans="1:28" x14ac:dyDescent="0.25">
      <c r="A114" s="56"/>
      <c r="B114" s="162" t="s">
        <v>123</v>
      </c>
      <c r="C114" s="163">
        <v>0</v>
      </c>
      <c r="D114" s="163">
        <v>0</v>
      </c>
      <c r="E114" s="163">
        <v>0</v>
      </c>
      <c r="F114" s="163">
        <v>0</v>
      </c>
      <c r="G114" s="163">
        <v>0</v>
      </c>
      <c r="H114" s="163">
        <v>0</v>
      </c>
      <c r="I114" s="164" t="str">
        <f t="shared" si="94"/>
        <v>-</v>
      </c>
      <c r="J114" s="165" t="str">
        <f t="shared" si="95"/>
        <v>-</v>
      </c>
      <c r="K114" s="164">
        <f t="shared" si="96"/>
        <v>0</v>
      </c>
      <c r="L114" s="163">
        <v>798</v>
      </c>
      <c r="M114" s="163">
        <v>429</v>
      </c>
      <c r="N114" s="163">
        <v>0</v>
      </c>
      <c r="O114" s="163">
        <v>0</v>
      </c>
      <c r="P114" s="163">
        <v>0</v>
      </c>
      <c r="Q114" s="163">
        <v>0</v>
      </c>
      <c r="R114" s="164" t="str">
        <f t="shared" si="97"/>
        <v>-</v>
      </c>
      <c r="S114" s="165">
        <f t="shared" si="98"/>
        <v>-1</v>
      </c>
      <c r="T114" s="164">
        <f t="shared" si="99"/>
        <v>0</v>
      </c>
      <c r="U114" s="163">
        <v>798</v>
      </c>
      <c r="V114" s="163">
        <v>2087</v>
      </c>
      <c r="W114" s="163">
        <v>4297</v>
      </c>
      <c r="X114" s="163">
        <v>3974</v>
      </c>
      <c r="Y114" s="163">
        <v>4038</v>
      </c>
      <c r="Z114" s="164">
        <f t="shared" si="100"/>
        <v>1.6104680422747819E-2</v>
      </c>
      <c r="AA114" s="165">
        <f t="shared" si="93"/>
        <v>4.0601503759398501</v>
      </c>
      <c r="AB114" s="164">
        <f t="shared" si="101"/>
        <v>1.2626546892706245E-3</v>
      </c>
    </row>
    <row r="115" spans="1:28" x14ac:dyDescent="0.25">
      <c r="A115" s="56"/>
      <c r="B115" s="162" t="s">
        <v>119</v>
      </c>
      <c r="C115" s="163">
        <v>0</v>
      </c>
      <c r="D115" s="163">
        <v>0</v>
      </c>
      <c r="E115" s="163">
        <v>0</v>
      </c>
      <c r="F115" s="163">
        <v>0</v>
      </c>
      <c r="G115" s="163">
        <v>0</v>
      </c>
      <c r="H115" s="163">
        <v>0</v>
      </c>
      <c r="I115" s="164" t="str">
        <f t="shared" si="94"/>
        <v>-</v>
      </c>
      <c r="J115" s="165" t="str">
        <f t="shared" si="95"/>
        <v>-</v>
      </c>
      <c r="K115" s="164">
        <f t="shared" si="96"/>
        <v>0</v>
      </c>
      <c r="L115" s="163">
        <v>2385</v>
      </c>
      <c r="M115" s="163">
        <v>623</v>
      </c>
      <c r="N115" s="163">
        <v>0</v>
      </c>
      <c r="O115" s="163">
        <v>0</v>
      </c>
      <c r="P115" s="163">
        <v>0</v>
      </c>
      <c r="Q115" s="163">
        <v>0</v>
      </c>
      <c r="R115" s="164" t="str">
        <f t="shared" si="97"/>
        <v>-</v>
      </c>
      <c r="S115" s="165">
        <f t="shared" si="98"/>
        <v>-1</v>
      </c>
      <c r="T115" s="164">
        <f t="shared" si="99"/>
        <v>0</v>
      </c>
      <c r="U115" s="163">
        <v>2385</v>
      </c>
      <c r="V115" s="163">
        <v>2579</v>
      </c>
      <c r="W115" s="163">
        <v>3452</v>
      </c>
      <c r="X115" s="163">
        <v>3657</v>
      </c>
      <c r="Y115" s="163">
        <v>3285</v>
      </c>
      <c r="Z115" s="164">
        <f t="shared" si="100"/>
        <v>-0.10172272354388845</v>
      </c>
      <c r="AA115" s="165">
        <f t="shared" si="93"/>
        <v>0.37735849056603765</v>
      </c>
      <c r="AB115" s="164">
        <f t="shared" si="101"/>
        <v>1.0271967940203076E-3</v>
      </c>
    </row>
    <row r="116" spans="1:28" x14ac:dyDescent="0.25">
      <c r="A116" s="56"/>
      <c r="B116" s="162" t="s">
        <v>128</v>
      </c>
      <c r="C116" s="163">
        <v>0</v>
      </c>
      <c r="D116" s="163">
        <v>0</v>
      </c>
      <c r="E116" s="163">
        <v>0</v>
      </c>
      <c r="F116" s="163">
        <v>0</v>
      </c>
      <c r="G116" s="163">
        <v>0</v>
      </c>
      <c r="H116" s="163">
        <v>0</v>
      </c>
      <c r="I116" s="164" t="str">
        <f t="shared" si="94"/>
        <v>-</v>
      </c>
      <c r="J116" s="165" t="str">
        <f t="shared" si="95"/>
        <v>-</v>
      </c>
      <c r="K116" s="164">
        <f t="shared" si="96"/>
        <v>0</v>
      </c>
      <c r="L116" s="163">
        <v>247</v>
      </c>
      <c r="M116" s="163">
        <v>206</v>
      </c>
      <c r="N116" s="163">
        <v>0</v>
      </c>
      <c r="O116" s="163">
        <v>0</v>
      </c>
      <c r="P116" s="163">
        <v>0</v>
      </c>
      <c r="Q116" s="163">
        <v>0</v>
      </c>
      <c r="R116" s="164" t="str">
        <f t="shared" si="97"/>
        <v>-</v>
      </c>
      <c r="S116" s="165">
        <f t="shared" si="98"/>
        <v>-1</v>
      </c>
      <c r="T116" s="164">
        <f t="shared" si="99"/>
        <v>0</v>
      </c>
      <c r="U116" s="163">
        <v>247</v>
      </c>
      <c r="V116" s="163">
        <v>48</v>
      </c>
      <c r="W116" s="163">
        <v>484</v>
      </c>
      <c r="X116" s="163">
        <v>797</v>
      </c>
      <c r="Y116" s="163">
        <v>839</v>
      </c>
      <c r="Z116" s="164">
        <f t="shared" si="100"/>
        <v>5.2697616060225938E-2</v>
      </c>
      <c r="AA116" s="165">
        <f t="shared" si="93"/>
        <v>2.3967611336032388</v>
      </c>
      <c r="AB116" s="164">
        <f t="shared" si="101"/>
        <v>2.6234950081675432E-4</v>
      </c>
    </row>
    <row r="117" spans="1:28" x14ac:dyDescent="0.25">
      <c r="A117" s="56"/>
      <c r="B117" s="162" t="s">
        <v>131</v>
      </c>
      <c r="C117" s="163">
        <v>0</v>
      </c>
      <c r="D117" s="163">
        <v>0</v>
      </c>
      <c r="E117" s="163">
        <v>0</v>
      </c>
      <c r="F117" s="163">
        <v>0</v>
      </c>
      <c r="G117" s="163">
        <v>0</v>
      </c>
      <c r="H117" s="163">
        <v>0</v>
      </c>
      <c r="I117" s="164" t="str">
        <f t="shared" si="94"/>
        <v>-</v>
      </c>
      <c r="J117" s="165" t="str">
        <f t="shared" si="95"/>
        <v>-</v>
      </c>
      <c r="K117" s="164">
        <f t="shared" si="96"/>
        <v>0</v>
      </c>
      <c r="L117" s="163">
        <v>696</v>
      </c>
      <c r="M117" s="163">
        <v>526</v>
      </c>
      <c r="N117" s="163">
        <v>0</v>
      </c>
      <c r="O117" s="163">
        <v>0</v>
      </c>
      <c r="P117" s="163">
        <v>0</v>
      </c>
      <c r="Q117" s="163">
        <v>0</v>
      </c>
      <c r="R117" s="164" t="str">
        <f t="shared" si="97"/>
        <v>-</v>
      </c>
      <c r="S117" s="165">
        <f t="shared" si="98"/>
        <v>-1</v>
      </c>
      <c r="T117" s="164">
        <f t="shared" si="99"/>
        <v>0</v>
      </c>
      <c r="U117" s="163">
        <v>696</v>
      </c>
      <c r="V117" s="163">
        <v>32</v>
      </c>
      <c r="W117" s="163">
        <v>645</v>
      </c>
      <c r="X117" s="163">
        <v>414</v>
      </c>
      <c r="Y117" s="163">
        <v>1046</v>
      </c>
      <c r="Z117" s="164">
        <f t="shared" si="100"/>
        <v>1.5265700483091789</v>
      </c>
      <c r="AA117" s="165">
        <f t="shared" si="93"/>
        <v>0.50287356321839072</v>
      </c>
      <c r="AB117" s="164">
        <f t="shared" si="101"/>
        <v>3.2707697002899288E-4</v>
      </c>
    </row>
    <row r="118" spans="1:28" x14ac:dyDescent="0.25">
      <c r="A118" s="56"/>
      <c r="B118" s="168" t="s">
        <v>145</v>
      </c>
      <c r="C118" s="169">
        <f t="shared" ref="C118:H118" si="102">C110-SUM(C111:C117)</f>
        <v>0</v>
      </c>
      <c r="D118" s="169">
        <f t="shared" si="102"/>
        <v>0</v>
      </c>
      <c r="E118" s="169">
        <f t="shared" si="102"/>
        <v>0</v>
      </c>
      <c r="F118" s="169">
        <f t="shared" si="102"/>
        <v>0</v>
      </c>
      <c r="G118" s="169">
        <f t="shared" si="102"/>
        <v>0</v>
      </c>
      <c r="H118" s="169">
        <f t="shared" si="102"/>
        <v>0</v>
      </c>
      <c r="I118" s="170" t="str">
        <f t="shared" si="94"/>
        <v>-</v>
      </c>
      <c r="J118" s="171" t="str">
        <f t="shared" si="95"/>
        <v>-</v>
      </c>
      <c r="K118" s="170">
        <f t="shared" si="96"/>
        <v>0</v>
      </c>
      <c r="L118" s="169">
        <f t="shared" ref="L118:Q118" si="103">L110-SUM(L111:L117)</f>
        <v>6614</v>
      </c>
      <c r="M118" s="169">
        <f t="shared" si="103"/>
        <v>3453</v>
      </c>
      <c r="N118" s="169">
        <f t="shared" si="103"/>
        <v>0</v>
      </c>
      <c r="O118" s="169">
        <f t="shared" si="103"/>
        <v>0</v>
      </c>
      <c r="P118" s="169">
        <f t="shared" si="103"/>
        <v>0</v>
      </c>
      <c r="Q118" s="169">
        <f t="shared" si="103"/>
        <v>0</v>
      </c>
      <c r="R118" s="170" t="str">
        <f t="shared" si="97"/>
        <v>-</v>
      </c>
      <c r="S118" s="171">
        <f t="shared" si="98"/>
        <v>-1</v>
      </c>
      <c r="T118" s="170">
        <f t="shared" si="99"/>
        <v>0</v>
      </c>
      <c r="U118" s="169">
        <f>U110-SUM(U111:U117)</f>
        <v>6614</v>
      </c>
      <c r="V118" s="169">
        <f>V110-SUM(V111:V117)</f>
        <v>6591</v>
      </c>
      <c r="W118" s="169">
        <f>W110-SUM(W111:W117)</f>
        <v>18087</v>
      </c>
      <c r="X118" s="169">
        <f>X110-SUM(X111:X117)</f>
        <v>18832</v>
      </c>
      <c r="Y118" s="169">
        <f>Y110-SUM(Y111:Y117)</f>
        <v>21600</v>
      </c>
      <c r="Z118" s="170">
        <f t="shared" si="100"/>
        <v>0.14698385726423102</v>
      </c>
      <c r="AA118" s="171">
        <f t="shared" si="93"/>
        <v>2.2657998185666766</v>
      </c>
      <c r="AB118" s="170">
        <f t="shared" si="101"/>
        <v>6.7541707004075014E-3</v>
      </c>
    </row>
    <row r="119" spans="1:28" x14ac:dyDescent="0.25">
      <c r="A119" s="56"/>
      <c r="B119" s="153" t="s">
        <v>51</v>
      </c>
      <c r="C119" s="151"/>
      <c r="D119" s="151"/>
      <c r="E119" s="151"/>
      <c r="F119" s="151"/>
      <c r="G119" s="151"/>
      <c r="H119" s="151"/>
      <c r="I119" s="151"/>
      <c r="J119" s="151"/>
      <c r="K119" s="151"/>
      <c r="L119" s="151"/>
      <c r="M119" s="151"/>
      <c r="N119" s="151"/>
      <c r="O119" s="151"/>
      <c r="P119" s="151"/>
      <c r="Q119" s="151"/>
      <c r="R119" s="151"/>
      <c r="S119" s="151"/>
      <c r="T119" s="151"/>
      <c r="U119" s="151"/>
      <c r="V119" s="151"/>
      <c r="W119" s="151"/>
      <c r="X119" s="151"/>
      <c r="Y119" s="151"/>
      <c r="Z119" s="151"/>
      <c r="AA119" s="151"/>
      <c r="AB119" s="151"/>
    </row>
    <row r="120" spans="1:28" x14ac:dyDescent="0.25">
      <c r="A120" s="56"/>
      <c r="B120" s="154" t="s">
        <v>68</v>
      </c>
      <c r="C120" s="176">
        <f t="shared" ref="C120:H120" si="104">C121+C124</f>
        <v>78582</v>
      </c>
      <c r="D120" s="176">
        <f t="shared" si="104"/>
        <v>33292</v>
      </c>
      <c r="E120" s="176">
        <f t="shared" si="104"/>
        <v>38912</v>
      </c>
      <c r="F120" s="176">
        <f t="shared" si="104"/>
        <v>62934</v>
      </c>
      <c r="G120" s="176">
        <f t="shared" si="104"/>
        <v>69792</v>
      </c>
      <c r="H120" s="176">
        <f t="shared" si="104"/>
        <v>75011</v>
      </c>
      <c r="I120" s="177">
        <f>IFERROR(H120/G120-1,"-")</f>
        <v>7.4779344337459808E-2</v>
      </c>
      <c r="J120" s="177">
        <f>IFERROR(H120/C120-1,"-")</f>
        <v>-4.5442976763126364E-2</v>
      </c>
      <c r="K120" s="177">
        <f>H120/H$8</f>
        <v>0.1331370293852456</v>
      </c>
      <c r="L120" s="176">
        <f t="shared" ref="L120:Q120" si="105">L121+L124</f>
        <v>80548</v>
      </c>
      <c r="M120" s="176">
        <f t="shared" si="105"/>
        <v>33760</v>
      </c>
      <c r="N120" s="176">
        <f t="shared" si="105"/>
        <v>64687</v>
      </c>
      <c r="O120" s="176">
        <f t="shared" si="105"/>
        <v>95049</v>
      </c>
      <c r="P120" s="176">
        <f t="shared" si="105"/>
        <v>104520</v>
      </c>
      <c r="Q120" s="176">
        <f t="shared" si="105"/>
        <v>106809</v>
      </c>
      <c r="R120" s="177">
        <f>IFERROR(Q120/P120-1,"-")</f>
        <v>2.1900114810562643E-2</v>
      </c>
      <c r="S120" s="177">
        <f>IFERROR(Q120/L120-1,"-")</f>
        <v>0.32602919998013613</v>
      </c>
      <c r="T120" s="177">
        <f>Q120/Q$8</f>
        <v>4.0540694417242465E-2</v>
      </c>
      <c r="U120" s="176">
        <f>U121+U124</f>
        <v>159130</v>
      </c>
      <c r="V120" s="176">
        <f>V121+V124</f>
        <v>103599</v>
      </c>
      <c r="W120" s="176">
        <f>W121+W124</f>
        <v>157983</v>
      </c>
      <c r="X120" s="176">
        <f>X121+X124</f>
        <v>174312</v>
      </c>
      <c r="Y120" s="176">
        <f>Y121+Y124</f>
        <v>181820</v>
      </c>
      <c r="Z120" s="177">
        <f>IFERROR(Y120/X120-1,"-")</f>
        <v>4.307219239065585E-2</v>
      </c>
      <c r="AA120" s="177">
        <f t="shared" ref="AA120:AA132" si="106">IFERROR(Y120/U120-1,"-")</f>
        <v>0.14258782127820013</v>
      </c>
      <c r="AB120" s="177">
        <f>Y120/Y$8</f>
        <v>5.6853857256856107E-2</v>
      </c>
    </row>
    <row r="121" spans="1:28" x14ac:dyDescent="0.25">
      <c r="A121" s="56"/>
      <c r="B121" s="157" t="s">
        <v>97</v>
      </c>
      <c r="C121" s="158">
        <v>35977</v>
      </c>
      <c r="D121" s="158">
        <v>15436</v>
      </c>
      <c r="E121" s="158">
        <v>20875</v>
      </c>
      <c r="F121" s="158">
        <v>36797</v>
      </c>
      <c r="G121" s="158">
        <v>45435</v>
      </c>
      <c r="H121" s="158">
        <v>52085</v>
      </c>
      <c r="I121" s="159">
        <f>IFERROR(H121/G121-1,"-")</f>
        <v>0.14636293606250694</v>
      </c>
      <c r="J121" s="160">
        <f>IFERROR(H121/C121-1,"-")</f>
        <v>0.44773049448258617</v>
      </c>
      <c r="K121" s="159">
        <f>H121/H$8</f>
        <v>9.2445670308761621E-2</v>
      </c>
      <c r="L121" s="158">
        <v>51537</v>
      </c>
      <c r="M121" s="158">
        <v>20894</v>
      </c>
      <c r="N121" s="158">
        <v>47965</v>
      </c>
      <c r="O121" s="158">
        <v>60445</v>
      </c>
      <c r="P121" s="158">
        <v>62889</v>
      </c>
      <c r="Q121" s="158">
        <v>63766</v>
      </c>
      <c r="R121" s="159">
        <f>IFERROR(Q121/P121-1,"-")</f>
        <v>1.3945205043807363E-2</v>
      </c>
      <c r="S121" s="160">
        <f>IFERROR(Q121/L121-1,"-")</f>
        <v>0.2372858334788599</v>
      </c>
      <c r="T121" s="159">
        <f>Q121/Q$8</f>
        <v>2.4203184377813509E-2</v>
      </c>
      <c r="U121" s="158">
        <v>87514</v>
      </c>
      <c r="V121" s="158">
        <v>68840</v>
      </c>
      <c r="W121" s="158">
        <v>97242</v>
      </c>
      <c r="X121" s="158">
        <v>108324</v>
      </c>
      <c r="Y121" s="158">
        <v>115851</v>
      </c>
      <c r="Z121" s="159">
        <f>IFERROR(Y121/X121-1,"-")</f>
        <v>6.9485986484989493E-2</v>
      </c>
      <c r="AA121" s="160">
        <f t="shared" si="106"/>
        <v>0.32379962063212742</v>
      </c>
      <c r="AB121" s="159">
        <f>Y121/Y$8</f>
        <v>3.6225806935782846E-2</v>
      </c>
    </row>
    <row r="122" spans="1:28" x14ac:dyDescent="0.25">
      <c r="A122" s="56"/>
      <c r="B122" s="162" t="s">
        <v>103</v>
      </c>
      <c r="C122" s="163">
        <v>17805</v>
      </c>
      <c r="D122" s="163">
        <v>7502</v>
      </c>
      <c r="E122" s="163">
        <v>9953</v>
      </c>
      <c r="F122" s="163">
        <v>21247</v>
      </c>
      <c r="G122" s="163">
        <v>20704</v>
      </c>
      <c r="H122" s="163">
        <v>31006</v>
      </c>
      <c r="I122" s="164">
        <f>IFERROR(H122/G122-1,"-")</f>
        <v>0.49758500772797531</v>
      </c>
      <c r="J122" s="165">
        <f>IFERROR(H122/C122-1,"-")</f>
        <v>0.74142094917158108</v>
      </c>
      <c r="K122" s="164">
        <f>H122/H$8</f>
        <v>5.5032551667341126E-2</v>
      </c>
      <c r="L122" s="163">
        <v>26446</v>
      </c>
      <c r="M122" s="163">
        <v>9189</v>
      </c>
      <c r="N122" s="163">
        <v>24995</v>
      </c>
      <c r="O122" s="163">
        <v>29459</v>
      </c>
      <c r="P122" s="163">
        <v>28111</v>
      </c>
      <c r="Q122" s="163">
        <v>26429</v>
      </c>
      <c r="R122" s="164">
        <f>IFERROR(Q122/P122-1,"-")</f>
        <v>-5.9834228593788952E-2</v>
      </c>
      <c r="S122" s="165">
        <f>IFERROR(Q122/L122-1,"-")</f>
        <v>-6.4281932995535751E-4</v>
      </c>
      <c r="T122" s="164">
        <f>Q122/Q$8</f>
        <v>1.0031458142603162E-2</v>
      </c>
      <c r="U122" s="163">
        <v>44251</v>
      </c>
      <c r="V122" s="163">
        <v>34948</v>
      </c>
      <c r="W122" s="163">
        <v>50706</v>
      </c>
      <c r="X122" s="163">
        <v>48815</v>
      </c>
      <c r="Y122" s="163">
        <v>57435</v>
      </c>
      <c r="Z122" s="164">
        <f>IFERROR(Y122/X122-1,"-")</f>
        <v>0.17658506606575841</v>
      </c>
      <c r="AA122" s="165">
        <f t="shared" si="106"/>
        <v>0.29793676979051331</v>
      </c>
      <c r="AB122" s="164">
        <f>Y122/Y$8</f>
        <v>1.7959527508236334E-2</v>
      </c>
    </row>
    <row r="123" spans="1:28" x14ac:dyDescent="0.25">
      <c r="A123" s="56"/>
      <c r="B123" s="162" t="s">
        <v>100</v>
      </c>
      <c r="C123" s="163">
        <v>18172</v>
      </c>
      <c r="D123" s="163">
        <v>7934</v>
      </c>
      <c r="E123" s="163">
        <v>10922</v>
      </c>
      <c r="F123" s="163">
        <v>15550</v>
      </c>
      <c r="G123" s="163">
        <v>24731</v>
      </c>
      <c r="H123" s="163">
        <v>21079</v>
      </c>
      <c r="I123" s="164">
        <f>IFERROR(H123/G123-1,"-")</f>
        <v>-0.14766891755286882</v>
      </c>
      <c r="J123" s="165">
        <f>IFERROR(H123/C123-1,"-")</f>
        <v>0.1599713845476558</v>
      </c>
      <c r="K123" s="164">
        <f>H123/H$8</f>
        <v>3.7413118641420488E-2</v>
      </c>
      <c r="L123" s="163">
        <v>25091</v>
      </c>
      <c r="M123" s="163">
        <v>11705</v>
      </c>
      <c r="N123" s="163">
        <v>22970</v>
      </c>
      <c r="O123" s="163">
        <v>30986</v>
      </c>
      <c r="P123" s="163">
        <v>34778</v>
      </c>
      <c r="Q123" s="163">
        <v>37337</v>
      </c>
      <c r="R123" s="164">
        <f>IFERROR(Q123/P123-1,"-")</f>
        <v>7.3580999482431464E-2</v>
      </c>
      <c r="S123" s="165">
        <f>IFERROR(Q123/L123-1,"-")</f>
        <v>0.4880634490454745</v>
      </c>
      <c r="T123" s="164">
        <f>Q123/Q$8</f>
        <v>1.4171726235210347E-2</v>
      </c>
      <c r="U123" s="163">
        <v>43263</v>
      </c>
      <c r="V123" s="163">
        <v>33892</v>
      </c>
      <c r="W123" s="163">
        <v>46536</v>
      </c>
      <c r="X123" s="163">
        <v>59509</v>
      </c>
      <c r="Y123" s="163">
        <v>58416</v>
      </c>
      <c r="Z123" s="164">
        <f>IFERROR(Y123/X123-1,"-")</f>
        <v>-1.8366969702061864E-2</v>
      </c>
      <c r="AA123" s="165">
        <f t="shared" si="106"/>
        <v>0.35025310311351499</v>
      </c>
      <c r="AB123" s="164">
        <f>Y123/Y$8</f>
        <v>1.8266279427546508E-2</v>
      </c>
    </row>
    <row r="124" spans="1:28" x14ac:dyDescent="0.25">
      <c r="A124" s="56"/>
      <c r="B124" s="157" t="s">
        <v>107</v>
      </c>
      <c r="C124" s="158">
        <v>42605</v>
      </c>
      <c r="D124" s="158">
        <v>17856</v>
      </c>
      <c r="E124" s="158">
        <v>18037</v>
      </c>
      <c r="F124" s="158">
        <v>26137</v>
      </c>
      <c r="G124" s="158">
        <v>24357</v>
      </c>
      <c r="H124" s="158">
        <v>22926</v>
      </c>
      <c r="I124" s="159">
        <f>IFERROR(H124/G124-1,"-")</f>
        <v>-5.8751077718930955E-2</v>
      </c>
      <c r="J124" s="160">
        <f>IFERROR(H124/C124-1,"-")</f>
        <v>-0.4618941438798263</v>
      </c>
      <c r="K124" s="159">
        <f>H124/H$8</f>
        <v>4.0691359076483996E-2</v>
      </c>
      <c r="L124" s="158">
        <v>29011</v>
      </c>
      <c r="M124" s="158">
        <v>12866</v>
      </c>
      <c r="N124" s="158">
        <v>16722</v>
      </c>
      <c r="O124" s="158">
        <v>34604</v>
      </c>
      <c r="P124" s="158">
        <v>41631</v>
      </c>
      <c r="Q124" s="158">
        <v>43043</v>
      </c>
      <c r="R124" s="159">
        <f>IFERROR(Q124/P124-1,"-")</f>
        <v>3.3917032980231188E-2</v>
      </c>
      <c r="S124" s="160">
        <f>IFERROR(Q124/L124-1,"-")</f>
        <v>0.48367860466719526</v>
      </c>
      <c r="T124" s="159">
        <f>Q124/Q$8</f>
        <v>1.6337510039428956E-2</v>
      </c>
      <c r="U124" s="158">
        <v>71616</v>
      </c>
      <c r="V124" s="158">
        <v>34759</v>
      </c>
      <c r="W124" s="158">
        <v>60741</v>
      </c>
      <c r="X124" s="158">
        <v>65988</v>
      </c>
      <c r="Y124" s="158">
        <v>65969</v>
      </c>
      <c r="Z124" s="159">
        <f>IFERROR(Y124/X124-1,"-")</f>
        <v>-2.8793113899494571E-4</v>
      </c>
      <c r="AA124" s="160">
        <f t="shared" si="106"/>
        <v>-7.8851094727435234E-2</v>
      </c>
      <c r="AB124" s="159">
        <f>Y124/Y$8</f>
        <v>2.0628050321073264E-2</v>
      </c>
    </row>
    <row r="125" spans="1:28" s="56" customFormat="1" x14ac:dyDescent="0.25">
      <c r="B125" s="162" t="s">
        <v>110</v>
      </c>
      <c r="C125" s="163">
        <v>2151</v>
      </c>
      <c r="D125" s="163">
        <v>1098</v>
      </c>
      <c r="E125" s="163">
        <v>260</v>
      </c>
      <c r="F125" s="163">
        <v>1769</v>
      </c>
      <c r="G125" s="163">
        <v>2494</v>
      </c>
      <c r="H125" s="163">
        <v>1771</v>
      </c>
      <c r="I125" s="164">
        <f t="shared" ref="I125:I132" si="107">IFERROR(H125/G125-1,"-")</f>
        <v>-0.28989574979951882</v>
      </c>
      <c r="J125" s="165">
        <f t="shared" ref="J125:J132" si="108">IFERROR(H125/C125-1,"-")</f>
        <v>-0.17666201766620182</v>
      </c>
      <c r="K125" s="164">
        <f t="shared" ref="K125:K132" si="109">H125/H$8</f>
        <v>3.1433480295059387E-3</v>
      </c>
      <c r="L125" s="163">
        <v>5504</v>
      </c>
      <c r="M125" s="163">
        <v>1921</v>
      </c>
      <c r="N125" s="163">
        <v>1076</v>
      </c>
      <c r="O125" s="163">
        <v>4920</v>
      </c>
      <c r="P125" s="163">
        <v>6187</v>
      </c>
      <c r="Q125" s="163">
        <v>6027</v>
      </c>
      <c r="R125" s="164">
        <f t="shared" ref="R125:R132" si="110">IFERROR(Q125/P125-1,"-")</f>
        <v>-2.5860675610150263E-2</v>
      </c>
      <c r="S125" s="165">
        <f t="shared" ref="S125:S132" si="111">IFERROR(Q125/L125-1,"-")</f>
        <v>9.5021802325581328E-2</v>
      </c>
      <c r="T125" s="164">
        <f t="shared" ref="T125:T132" si="112">Q125/Q$8</f>
        <v>2.2876233768008344E-3</v>
      </c>
      <c r="U125" s="163">
        <v>7655</v>
      </c>
      <c r="V125" s="163">
        <v>1336</v>
      </c>
      <c r="W125" s="163">
        <v>6689</v>
      </c>
      <c r="X125" s="163">
        <v>8681</v>
      </c>
      <c r="Y125" s="163">
        <v>7798</v>
      </c>
      <c r="Z125" s="164">
        <f t="shared" ref="Z125:Z132" si="113">IFERROR(Y125/X125-1,"-")</f>
        <v>-0.10171639212072336</v>
      </c>
      <c r="AA125" s="165">
        <f t="shared" si="106"/>
        <v>1.8680600914434908E-2</v>
      </c>
      <c r="AB125" s="164">
        <f t="shared" ref="AB125:AB132" si="114">Y125/Y$8</f>
        <v>2.4383807000823007E-3</v>
      </c>
    </row>
    <row r="126" spans="1:28" s="56" customFormat="1" x14ac:dyDescent="0.25">
      <c r="B126" s="162" t="s">
        <v>113</v>
      </c>
      <c r="C126" s="163">
        <v>2847</v>
      </c>
      <c r="D126" s="163">
        <v>1350</v>
      </c>
      <c r="E126" s="163">
        <v>1336</v>
      </c>
      <c r="F126" s="163">
        <v>2110</v>
      </c>
      <c r="G126" s="163">
        <v>3208</v>
      </c>
      <c r="H126" s="163">
        <v>3221</v>
      </c>
      <c r="I126" s="164">
        <f t="shared" si="107"/>
        <v>4.0523690773066612E-3</v>
      </c>
      <c r="J126" s="165">
        <f t="shared" si="108"/>
        <v>0.13136635054443269</v>
      </c>
      <c r="K126" s="164">
        <f t="shared" si="109"/>
        <v>5.7169531355384688E-3</v>
      </c>
      <c r="L126" s="163">
        <v>3647</v>
      </c>
      <c r="M126" s="163">
        <v>1835</v>
      </c>
      <c r="N126" s="163">
        <v>2133</v>
      </c>
      <c r="O126" s="163">
        <v>4261</v>
      </c>
      <c r="P126" s="163">
        <v>6018</v>
      </c>
      <c r="Q126" s="163">
        <v>5594</v>
      </c>
      <c r="R126" s="164">
        <f t="shared" si="110"/>
        <v>-7.0455300764373563E-2</v>
      </c>
      <c r="S126" s="165">
        <f t="shared" si="111"/>
        <v>0.53386344941047437</v>
      </c>
      <c r="T126" s="164">
        <f t="shared" si="112"/>
        <v>2.1232728007008241E-3</v>
      </c>
      <c r="U126" s="163">
        <v>6494</v>
      </c>
      <c r="V126" s="163">
        <v>3469</v>
      </c>
      <c r="W126" s="163">
        <v>6371</v>
      </c>
      <c r="X126" s="163">
        <v>9226</v>
      </c>
      <c r="Y126" s="163">
        <v>8815</v>
      </c>
      <c r="Z126" s="164">
        <f t="shared" si="113"/>
        <v>-4.4548016475178809E-2</v>
      </c>
      <c r="AA126" s="165">
        <f t="shared" si="106"/>
        <v>0.35740683708038179</v>
      </c>
      <c r="AB126" s="164">
        <f t="shared" si="114"/>
        <v>2.7563895705598209E-3</v>
      </c>
    </row>
    <row r="127" spans="1:28" x14ac:dyDescent="0.25">
      <c r="A127" s="56"/>
      <c r="B127" s="162" t="s">
        <v>116</v>
      </c>
      <c r="C127" s="163">
        <v>2179</v>
      </c>
      <c r="D127" s="163">
        <v>1002</v>
      </c>
      <c r="E127" s="163">
        <v>1422</v>
      </c>
      <c r="F127" s="163">
        <v>1806</v>
      </c>
      <c r="G127" s="163">
        <v>2154</v>
      </c>
      <c r="H127" s="163">
        <v>1918</v>
      </c>
      <c r="I127" s="164">
        <f t="shared" si="107"/>
        <v>-0.10956360259981435</v>
      </c>
      <c r="J127" s="165">
        <f t="shared" si="108"/>
        <v>-0.11977971546581001</v>
      </c>
      <c r="K127" s="164">
        <f t="shared" si="109"/>
        <v>3.4042583402554435E-3</v>
      </c>
      <c r="L127" s="163">
        <v>2740</v>
      </c>
      <c r="M127" s="163">
        <v>1222</v>
      </c>
      <c r="N127" s="163">
        <v>3461</v>
      </c>
      <c r="O127" s="163">
        <v>4071</v>
      </c>
      <c r="P127" s="163">
        <v>4167</v>
      </c>
      <c r="Q127" s="163">
        <v>4323</v>
      </c>
      <c r="R127" s="164">
        <f t="shared" si="110"/>
        <v>3.7437005039596905E-2</v>
      </c>
      <c r="S127" s="165">
        <f t="shared" si="111"/>
        <v>0.57773722627737234</v>
      </c>
      <c r="T127" s="164">
        <f t="shared" si="112"/>
        <v>1.6408488232802401E-3</v>
      </c>
      <c r="U127" s="163">
        <v>4919</v>
      </c>
      <c r="V127" s="163">
        <v>4883</v>
      </c>
      <c r="W127" s="163">
        <v>5877</v>
      </c>
      <c r="X127" s="163">
        <v>6321</v>
      </c>
      <c r="Y127" s="163">
        <v>6241</v>
      </c>
      <c r="Z127" s="164">
        <f t="shared" si="113"/>
        <v>-1.2656225280810007E-2</v>
      </c>
      <c r="AA127" s="165">
        <f t="shared" si="106"/>
        <v>0.26875381175035584</v>
      </c>
      <c r="AB127" s="164">
        <f t="shared" si="114"/>
        <v>1.9515175620945934E-3</v>
      </c>
    </row>
    <row r="128" spans="1:28" x14ac:dyDescent="0.25">
      <c r="A128" s="56"/>
      <c r="B128" s="162" t="s">
        <v>123</v>
      </c>
      <c r="C128" s="163">
        <v>573</v>
      </c>
      <c r="D128" s="163">
        <v>296</v>
      </c>
      <c r="E128" s="163">
        <v>184</v>
      </c>
      <c r="F128" s="163">
        <v>602</v>
      </c>
      <c r="G128" s="163">
        <v>504</v>
      </c>
      <c r="H128" s="163">
        <v>432</v>
      </c>
      <c r="I128" s="164">
        <f t="shared" si="107"/>
        <v>-0.1428571428571429</v>
      </c>
      <c r="J128" s="165">
        <f t="shared" si="108"/>
        <v>-0.24607329842931935</v>
      </c>
      <c r="K128" s="164">
        <f t="shared" si="109"/>
        <v>7.6675683159038146E-4</v>
      </c>
      <c r="L128" s="163">
        <v>646</v>
      </c>
      <c r="M128" s="163">
        <v>298</v>
      </c>
      <c r="N128" s="163">
        <v>482</v>
      </c>
      <c r="O128" s="163">
        <v>1251</v>
      </c>
      <c r="P128" s="163">
        <v>1392</v>
      </c>
      <c r="Q128" s="163">
        <v>1257</v>
      </c>
      <c r="R128" s="164">
        <f t="shared" si="110"/>
        <v>-9.6982758620689613E-2</v>
      </c>
      <c r="S128" s="165">
        <f t="shared" si="111"/>
        <v>0.94582043343653255</v>
      </c>
      <c r="T128" s="164">
        <f t="shared" si="112"/>
        <v>4.7711010198086092E-4</v>
      </c>
      <c r="U128" s="163">
        <v>1219</v>
      </c>
      <c r="V128" s="163">
        <v>666</v>
      </c>
      <c r="W128" s="163">
        <v>1853</v>
      </c>
      <c r="X128" s="163">
        <v>1896</v>
      </c>
      <c r="Y128" s="163">
        <v>1689</v>
      </c>
      <c r="Z128" s="164">
        <f t="shared" si="113"/>
        <v>-0.10917721518987344</v>
      </c>
      <c r="AA128" s="165">
        <f t="shared" si="106"/>
        <v>0.38556193601312549</v>
      </c>
      <c r="AB128" s="164">
        <f t="shared" si="114"/>
        <v>5.2813862560130876E-4</v>
      </c>
    </row>
    <row r="129" spans="1:28" x14ac:dyDescent="0.25">
      <c r="A129" s="56"/>
      <c r="B129" s="162" t="s">
        <v>119</v>
      </c>
      <c r="C129" s="163">
        <v>471</v>
      </c>
      <c r="D129" s="163">
        <v>233</v>
      </c>
      <c r="E129" s="163">
        <v>134</v>
      </c>
      <c r="F129" s="163">
        <v>438</v>
      </c>
      <c r="G129" s="163">
        <v>374</v>
      </c>
      <c r="H129" s="163">
        <v>383</v>
      </c>
      <c r="I129" s="164">
        <f t="shared" si="107"/>
        <v>2.4064171122994749E-2</v>
      </c>
      <c r="J129" s="165">
        <f t="shared" si="108"/>
        <v>-0.18683651804670909</v>
      </c>
      <c r="K129" s="164">
        <f t="shared" si="109"/>
        <v>6.7978672800721315E-4</v>
      </c>
      <c r="L129" s="163">
        <v>564</v>
      </c>
      <c r="M129" s="163">
        <v>345</v>
      </c>
      <c r="N129" s="163">
        <v>444</v>
      </c>
      <c r="O129" s="163">
        <v>825</v>
      </c>
      <c r="P129" s="163">
        <v>922</v>
      </c>
      <c r="Q129" s="163">
        <v>1008</v>
      </c>
      <c r="R129" s="164">
        <f t="shared" si="110"/>
        <v>9.3275488069414214E-2</v>
      </c>
      <c r="S129" s="165">
        <f t="shared" si="111"/>
        <v>0.7872340425531914</v>
      </c>
      <c r="T129" s="164">
        <f t="shared" si="112"/>
        <v>3.8259903166006987E-4</v>
      </c>
      <c r="U129" s="163">
        <v>1035</v>
      </c>
      <c r="V129" s="163">
        <v>578</v>
      </c>
      <c r="W129" s="163">
        <v>1263</v>
      </c>
      <c r="X129" s="163">
        <v>1296</v>
      </c>
      <c r="Y129" s="163">
        <v>1391</v>
      </c>
      <c r="Z129" s="164">
        <f t="shared" si="113"/>
        <v>7.3302469135802406E-2</v>
      </c>
      <c r="AA129" s="165">
        <f t="shared" si="106"/>
        <v>0.34396135265700489</v>
      </c>
      <c r="AB129" s="164">
        <f t="shared" si="114"/>
        <v>4.3495608538272385E-4</v>
      </c>
    </row>
    <row r="130" spans="1:28" x14ac:dyDescent="0.25">
      <c r="A130" s="56"/>
      <c r="B130" s="162" t="s">
        <v>128</v>
      </c>
      <c r="C130" s="163">
        <v>332</v>
      </c>
      <c r="D130" s="163">
        <v>174</v>
      </c>
      <c r="E130" s="163">
        <v>32</v>
      </c>
      <c r="F130" s="163">
        <v>167</v>
      </c>
      <c r="G130" s="163">
        <v>164</v>
      </c>
      <c r="H130" s="163">
        <v>171</v>
      </c>
      <c r="I130" s="164">
        <f t="shared" si="107"/>
        <v>4.2682926829268331E-2</v>
      </c>
      <c r="J130" s="165">
        <f t="shared" si="108"/>
        <v>-0.48493975903614461</v>
      </c>
      <c r="K130" s="164">
        <f t="shared" si="109"/>
        <v>3.0350791250452599E-4</v>
      </c>
      <c r="L130" s="163">
        <v>804</v>
      </c>
      <c r="M130" s="163">
        <v>463</v>
      </c>
      <c r="N130" s="163">
        <v>66</v>
      </c>
      <c r="O130" s="163">
        <v>488</v>
      </c>
      <c r="P130" s="163">
        <v>697</v>
      </c>
      <c r="Q130" s="163">
        <v>775</v>
      </c>
      <c r="R130" s="164">
        <f t="shared" si="110"/>
        <v>0.11190817790530838</v>
      </c>
      <c r="S130" s="165">
        <f t="shared" si="111"/>
        <v>-3.6069651741293507E-2</v>
      </c>
      <c r="T130" s="164">
        <f t="shared" si="112"/>
        <v>2.9416096184181959E-4</v>
      </c>
      <c r="U130" s="163">
        <v>1136</v>
      </c>
      <c r="V130" s="163">
        <v>98</v>
      </c>
      <c r="W130" s="163">
        <v>655</v>
      </c>
      <c r="X130" s="163">
        <v>861</v>
      </c>
      <c r="Y130" s="163">
        <v>946</v>
      </c>
      <c r="Z130" s="164">
        <f t="shared" si="113"/>
        <v>9.8722415795586604E-2</v>
      </c>
      <c r="AA130" s="165">
        <f t="shared" si="106"/>
        <v>-0.16725352112676062</v>
      </c>
      <c r="AB130" s="164">
        <f t="shared" si="114"/>
        <v>2.9580766123081005E-4</v>
      </c>
    </row>
    <row r="131" spans="1:28" x14ac:dyDescent="0.25">
      <c r="A131" s="56"/>
      <c r="B131" s="162" t="s">
        <v>131</v>
      </c>
      <c r="C131" s="163">
        <v>332</v>
      </c>
      <c r="D131" s="163">
        <v>164</v>
      </c>
      <c r="E131" s="163">
        <v>81</v>
      </c>
      <c r="F131" s="163">
        <v>158</v>
      </c>
      <c r="G131" s="163">
        <v>271</v>
      </c>
      <c r="H131" s="163">
        <v>201</v>
      </c>
      <c r="I131" s="164">
        <f t="shared" si="107"/>
        <v>-0.25830258302583031</v>
      </c>
      <c r="J131" s="165">
        <f t="shared" si="108"/>
        <v>-0.39457831325301207</v>
      </c>
      <c r="K131" s="164">
        <f t="shared" si="109"/>
        <v>3.5675491469830249E-4</v>
      </c>
      <c r="L131" s="163">
        <v>1356</v>
      </c>
      <c r="M131" s="163">
        <v>846</v>
      </c>
      <c r="N131" s="163">
        <v>146</v>
      </c>
      <c r="O131" s="163">
        <v>947</v>
      </c>
      <c r="P131" s="163">
        <v>1293</v>
      </c>
      <c r="Q131" s="163">
        <v>1226</v>
      </c>
      <c r="R131" s="164">
        <f t="shared" si="110"/>
        <v>-5.1817478731631894E-2</v>
      </c>
      <c r="S131" s="165">
        <f t="shared" si="111"/>
        <v>-9.587020648967548E-2</v>
      </c>
      <c r="T131" s="164">
        <f t="shared" si="112"/>
        <v>4.6534366350718816E-4</v>
      </c>
      <c r="U131" s="163">
        <v>1688</v>
      </c>
      <c r="V131" s="163">
        <v>227</v>
      </c>
      <c r="W131" s="163">
        <v>1105</v>
      </c>
      <c r="X131" s="163">
        <v>1564</v>
      </c>
      <c r="Y131" s="163">
        <v>1427</v>
      </c>
      <c r="Z131" s="164">
        <f t="shared" si="113"/>
        <v>-8.7595907928388783E-2</v>
      </c>
      <c r="AA131" s="165">
        <f t="shared" si="106"/>
        <v>-0.15462085308056872</v>
      </c>
      <c r="AB131" s="164">
        <f t="shared" si="114"/>
        <v>4.4621303655006966E-4</v>
      </c>
    </row>
    <row r="132" spans="1:28" x14ac:dyDescent="0.25">
      <c r="A132" s="56"/>
      <c r="B132" s="168" t="s">
        <v>145</v>
      </c>
      <c r="C132" s="169">
        <f t="shared" ref="C132:H132" si="115">C124-SUM(C125:C131)</f>
        <v>33720</v>
      </c>
      <c r="D132" s="169">
        <f t="shared" si="115"/>
        <v>13539</v>
      </c>
      <c r="E132" s="169">
        <f t="shared" si="115"/>
        <v>14588</v>
      </c>
      <c r="F132" s="169">
        <f t="shared" si="115"/>
        <v>19087</v>
      </c>
      <c r="G132" s="169">
        <f t="shared" si="115"/>
        <v>15188</v>
      </c>
      <c r="H132" s="169">
        <f t="shared" si="115"/>
        <v>14829</v>
      </c>
      <c r="I132" s="170">
        <f t="shared" si="107"/>
        <v>-2.3637081906768498E-2</v>
      </c>
      <c r="J132" s="171">
        <f t="shared" si="108"/>
        <v>-0.5602313167259787</v>
      </c>
      <c r="K132" s="170">
        <f t="shared" si="109"/>
        <v>2.631999318438372E-2</v>
      </c>
      <c r="L132" s="169">
        <f t="shared" ref="L132:Q132" si="116">L124-SUM(L125:L131)</f>
        <v>13750</v>
      </c>
      <c r="M132" s="169">
        <f t="shared" si="116"/>
        <v>5936</v>
      </c>
      <c r="N132" s="169">
        <f t="shared" si="116"/>
        <v>8914</v>
      </c>
      <c r="O132" s="169">
        <f t="shared" si="116"/>
        <v>17841</v>
      </c>
      <c r="P132" s="169">
        <f t="shared" si="116"/>
        <v>20955</v>
      </c>
      <c r="Q132" s="169">
        <f t="shared" si="116"/>
        <v>22833</v>
      </c>
      <c r="R132" s="170">
        <f t="shared" si="110"/>
        <v>8.962061560486756E-2</v>
      </c>
      <c r="S132" s="171">
        <f t="shared" si="111"/>
        <v>0.66058181818181816</v>
      </c>
      <c r="T132" s="170">
        <f t="shared" si="112"/>
        <v>8.6665512796571184E-3</v>
      </c>
      <c r="U132" s="169">
        <f>U124-SUM(U125:U131)</f>
        <v>47470</v>
      </c>
      <c r="V132" s="169">
        <f>V124-SUM(V125:V131)</f>
        <v>23502</v>
      </c>
      <c r="W132" s="169">
        <f>W124-SUM(W125:W131)</f>
        <v>36928</v>
      </c>
      <c r="X132" s="169">
        <f>X124-SUM(X125:X131)</f>
        <v>36143</v>
      </c>
      <c r="Y132" s="169">
        <f>Y124-SUM(Y125:Y131)</f>
        <v>37662</v>
      </c>
      <c r="Z132" s="170">
        <f t="shared" si="113"/>
        <v>4.2027501867581529E-2</v>
      </c>
      <c r="AA132" s="171">
        <f t="shared" si="106"/>
        <v>-0.20661470402359383</v>
      </c>
      <c r="AB132" s="170">
        <f t="shared" si="114"/>
        <v>1.1776647079571635E-2</v>
      </c>
    </row>
    <row r="133" spans="1:28" x14ac:dyDescent="0.25">
      <c r="A133" s="56"/>
      <c r="B133" s="153" t="s">
        <v>52</v>
      </c>
      <c r="C133" s="151"/>
      <c r="D133" s="151"/>
      <c r="E133" s="151"/>
      <c r="F133" s="151"/>
      <c r="G133" s="151"/>
      <c r="H133" s="151"/>
      <c r="I133" s="151"/>
      <c r="J133" s="151"/>
      <c r="K133" s="151"/>
      <c r="L133" s="151"/>
      <c r="M133" s="151"/>
      <c r="N133" s="151"/>
      <c r="O133" s="151"/>
      <c r="P133" s="151"/>
      <c r="Q133" s="151"/>
      <c r="R133" s="151"/>
      <c r="S133" s="151"/>
      <c r="T133" s="151"/>
      <c r="U133" s="151"/>
      <c r="V133" s="151"/>
      <c r="W133" s="151"/>
      <c r="X133" s="151"/>
      <c r="Y133" s="151"/>
      <c r="Z133" s="151"/>
      <c r="AA133" s="151"/>
      <c r="AB133" s="151"/>
    </row>
    <row r="134" spans="1:28" x14ac:dyDescent="0.25">
      <c r="A134" s="56"/>
      <c r="B134" s="154" t="s">
        <v>68</v>
      </c>
      <c r="C134" s="176">
        <f t="shared" ref="C134:H134" si="117">C135+C138</f>
        <v>21908</v>
      </c>
      <c r="D134" s="176">
        <f t="shared" si="117"/>
        <v>9862</v>
      </c>
      <c r="E134" s="176">
        <f t="shared" si="117"/>
        <v>12187</v>
      </c>
      <c r="F134" s="176">
        <f t="shared" si="117"/>
        <v>36976</v>
      </c>
      <c r="G134" s="176">
        <f t="shared" si="117"/>
        <v>36097</v>
      </c>
      <c r="H134" s="176">
        <f t="shared" si="117"/>
        <v>40056</v>
      </c>
      <c r="I134" s="177">
        <f>IFERROR(H134/G134-1,"-")</f>
        <v>0.10967670443527155</v>
      </c>
      <c r="J134" s="177">
        <f>IFERROR(H134/C134-1,"-")</f>
        <v>0.82837319700566003</v>
      </c>
      <c r="K134" s="177">
        <f>H134/H$8</f>
        <v>7.1095397329130366E-2</v>
      </c>
      <c r="L134" s="176">
        <f t="shared" ref="L134:Q134" si="118">L135+L138</f>
        <v>111607</v>
      </c>
      <c r="M134" s="176">
        <f t="shared" si="118"/>
        <v>40956</v>
      </c>
      <c r="N134" s="176">
        <f t="shared" si="118"/>
        <v>25030</v>
      </c>
      <c r="O134" s="176">
        <f t="shared" si="118"/>
        <v>120299</v>
      </c>
      <c r="P134" s="176">
        <f t="shared" si="118"/>
        <v>132879</v>
      </c>
      <c r="Q134" s="176">
        <f t="shared" si="118"/>
        <v>136256</v>
      </c>
      <c r="R134" s="177">
        <f>IFERROR(Q134/P134-1,"-")</f>
        <v>2.5414098540777808E-2</v>
      </c>
      <c r="S134" s="177">
        <f>IFERROR(Q134/L134-1,"-")</f>
        <v>0.22085532269481312</v>
      </c>
      <c r="T134" s="177">
        <f>Q134/Q$8</f>
        <v>5.1717672279637382E-2</v>
      </c>
      <c r="U134" s="176">
        <f>U135+U138</f>
        <v>133515</v>
      </c>
      <c r="V134" s="176">
        <f>V135+V138</f>
        <v>64813</v>
      </c>
      <c r="W134" s="176">
        <f>W135+W138</f>
        <v>157275</v>
      </c>
      <c r="X134" s="176">
        <f>X135+X138</f>
        <v>168976</v>
      </c>
      <c r="Y134" s="176">
        <f>Y135+Y138</f>
        <v>176312</v>
      </c>
      <c r="Z134" s="177">
        <f>IFERROR(Y134/X134-1,"-")</f>
        <v>4.3414449389262311E-2</v>
      </c>
      <c r="AA134" s="177">
        <f t="shared" ref="AA134:AA146" si="119">IFERROR(Y134/U134-1,"-")</f>
        <v>0.32054076321012626</v>
      </c>
      <c r="AB134" s="177">
        <f>Y134/Y$8</f>
        <v>5.5131543728252193E-2</v>
      </c>
    </row>
    <row r="135" spans="1:28" x14ac:dyDescent="0.25">
      <c r="A135" s="56"/>
      <c r="B135" s="157" t="s">
        <v>97</v>
      </c>
      <c r="C135" s="158">
        <v>7332</v>
      </c>
      <c r="D135" s="158">
        <v>2454</v>
      </c>
      <c r="E135" s="158">
        <v>4622</v>
      </c>
      <c r="F135" s="158">
        <v>4456</v>
      </c>
      <c r="G135" s="158">
        <v>5848</v>
      </c>
      <c r="H135" s="158">
        <v>6251</v>
      </c>
      <c r="I135" s="159">
        <f>IFERROR(H135/G135-1,"-")</f>
        <v>6.8912448700410467E-2</v>
      </c>
      <c r="J135" s="160">
        <f>IFERROR(H135/C135-1,"-")</f>
        <v>-0.14743589743589747</v>
      </c>
      <c r="K135" s="159">
        <f>H135/H$8</f>
        <v>1.1094900357109895E-2</v>
      </c>
      <c r="L135" s="158">
        <v>21521</v>
      </c>
      <c r="M135" s="158">
        <v>6197</v>
      </c>
      <c r="N135" s="158">
        <v>10309</v>
      </c>
      <c r="O135" s="158">
        <v>13389</v>
      </c>
      <c r="P135" s="158">
        <v>13122</v>
      </c>
      <c r="Q135" s="158">
        <v>10192</v>
      </c>
      <c r="R135" s="159">
        <f>IFERROR(Q135/P135-1,"-")</f>
        <v>-0.2232891327541533</v>
      </c>
      <c r="S135" s="160">
        <f>IFERROR(Q135/L135-1,"-")</f>
        <v>-0.52641605873333019</v>
      </c>
      <c r="T135" s="159">
        <f>Q135/Q$8</f>
        <v>3.8685013201184841E-3</v>
      </c>
      <c r="U135" s="158">
        <v>28853</v>
      </c>
      <c r="V135" s="158">
        <v>31570</v>
      </c>
      <c r="W135" s="158">
        <v>17845</v>
      </c>
      <c r="X135" s="158">
        <v>18970</v>
      </c>
      <c r="Y135" s="158">
        <v>16443</v>
      </c>
      <c r="Z135" s="159">
        <f>IFERROR(Y135/X135-1,"-")</f>
        <v>-0.13321033210332101</v>
      </c>
      <c r="AA135" s="160">
        <f t="shared" si="119"/>
        <v>-0.43011125359581326</v>
      </c>
      <c r="AB135" s="159">
        <f>Y135/Y$8</f>
        <v>5.1416124456852104E-3</v>
      </c>
    </row>
    <row r="136" spans="1:28" x14ac:dyDescent="0.25">
      <c r="A136" s="56"/>
      <c r="B136" s="162" t="s">
        <v>103</v>
      </c>
      <c r="C136" s="163">
        <v>7332</v>
      </c>
      <c r="D136" s="163">
        <v>2454</v>
      </c>
      <c r="E136" s="163">
        <v>4622</v>
      </c>
      <c r="F136" s="163">
        <v>4385</v>
      </c>
      <c r="G136" s="163">
        <v>5848</v>
      </c>
      <c r="H136" s="163">
        <v>6251</v>
      </c>
      <c r="I136" s="164">
        <f>IFERROR(H136/G136-1,"-")</f>
        <v>6.8912448700410467E-2</v>
      </c>
      <c r="J136" s="165">
        <f>IFERROR(H136/C136-1,"-")</f>
        <v>-0.14743589743589747</v>
      </c>
      <c r="K136" s="164">
        <f>H136/H$8</f>
        <v>1.1094900357109895E-2</v>
      </c>
      <c r="L136" s="163">
        <v>7370</v>
      </c>
      <c r="M136" s="163">
        <v>3528</v>
      </c>
      <c r="N136" s="163">
        <v>5691</v>
      </c>
      <c r="O136" s="163">
        <v>8111</v>
      </c>
      <c r="P136" s="163">
        <v>6381</v>
      </c>
      <c r="Q136" s="163">
        <v>4037</v>
      </c>
      <c r="R136" s="164">
        <f>IFERROR(Q136/P136-1,"-")</f>
        <v>-0.36734054223475943</v>
      </c>
      <c r="S136" s="165">
        <f>IFERROR(Q136/L136-1,"-")</f>
        <v>-0.4522388059701492</v>
      </c>
      <c r="T136" s="164">
        <f>Q136/Q$8</f>
        <v>1.5322939392973234E-3</v>
      </c>
      <c r="U136" s="163">
        <v>14702</v>
      </c>
      <c r="V136" s="163">
        <v>24857</v>
      </c>
      <c r="W136" s="163">
        <v>12496</v>
      </c>
      <c r="X136" s="163">
        <v>12229</v>
      </c>
      <c r="Y136" s="163">
        <v>10288</v>
      </c>
      <c r="Z136" s="164">
        <f>IFERROR(Y136/X136-1,"-")</f>
        <v>-0.15872107285959602</v>
      </c>
      <c r="AA136" s="165">
        <f t="shared" si="119"/>
        <v>-0.30023126105291797</v>
      </c>
      <c r="AB136" s="164">
        <f>Y136/Y$8</f>
        <v>3.2169864891570545E-3</v>
      </c>
    </row>
    <row r="137" spans="1:28" x14ac:dyDescent="0.25">
      <c r="A137" s="56"/>
      <c r="B137" s="162" t="s">
        <v>100</v>
      </c>
      <c r="C137" s="163">
        <v>0</v>
      </c>
      <c r="D137" s="163">
        <v>0</v>
      </c>
      <c r="E137" s="163">
        <v>0</v>
      </c>
      <c r="F137" s="163">
        <v>71</v>
      </c>
      <c r="G137" s="163">
        <v>0</v>
      </c>
      <c r="H137" s="163">
        <v>0</v>
      </c>
      <c r="I137" s="164" t="str">
        <f>IFERROR(H137/G137-1,"-")</f>
        <v>-</v>
      </c>
      <c r="J137" s="165" t="str">
        <f>IFERROR(H137/C137-1,"-")</f>
        <v>-</v>
      </c>
      <c r="K137" s="164">
        <f>H137/H$8</f>
        <v>0</v>
      </c>
      <c r="L137" s="163">
        <v>14151</v>
      </c>
      <c r="M137" s="163">
        <v>2669</v>
      </c>
      <c r="N137" s="163">
        <v>4618</v>
      </c>
      <c r="O137" s="163">
        <v>5278</v>
      </c>
      <c r="P137" s="163">
        <v>6741</v>
      </c>
      <c r="Q137" s="163">
        <v>6155</v>
      </c>
      <c r="R137" s="164">
        <f>IFERROR(Q137/P137-1,"-")</f>
        <v>-8.6930722444741093E-2</v>
      </c>
      <c r="S137" s="165">
        <f>IFERROR(Q137/L137-1,"-")</f>
        <v>-0.56504840647304078</v>
      </c>
      <c r="T137" s="164">
        <f>Q137/Q$8</f>
        <v>2.3362073808211609E-3</v>
      </c>
      <c r="U137" s="163">
        <v>14151</v>
      </c>
      <c r="V137" s="163">
        <v>6713</v>
      </c>
      <c r="W137" s="163">
        <v>5349</v>
      </c>
      <c r="X137" s="163">
        <v>6741</v>
      </c>
      <c r="Y137" s="163">
        <v>6155</v>
      </c>
      <c r="Z137" s="164">
        <f>IFERROR(Y137/X137-1,"-")</f>
        <v>-8.6930722444741093E-2</v>
      </c>
      <c r="AA137" s="165">
        <f t="shared" si="119"/>
        <v>-0.56504840647304078</v>
      </c>
      <c r="AB137" s="164">
        <f>Y137/Y$8</f>
        <v>1.9246259565281561E-3</v>
      </c>
    </row>
    <row r="138" spans="1:28" x14ac:dyDescent="0.25">
      <c r="A138" s="56"/>
      <c r="B138" s="157" t="s">
        <v>107</v>
      </c>
      <c r="C138" s="158">
        <v>14576</v>
      </c>
      <c r="D138" s="158">
        <v>7408</v>
      </c>
      <c r="E138" s="158">
        <v>7565</v>
      </c>
      <c r="F138" s="158">
        <v>32520</v>
      </c>
      <c r="G138" s="158">
        <v>30249</v>
      </c>
      <c r="H138" s="158">
        <v>33805</v>
      </c>
      <c r="I138" s="159">
        <f>IFERROR(H138/G138-1,"-")</f>
        <v>0.11755760521008951</v>
      </c>
      <c r="J138" s="160">
        <f>IFERROR(H138/C138-1,"-")</f>
        <v>1.3192233809001097</v>
      </c>
      <c r="K138" s="159">
        <f>H138/H$8</f>
        <v>6.0000496972020478E-2</v>
      </c>
      <c r="L138" s="158">
        <v>90086</v>
      </c>
      <c r="M138" s="158">
        <v>34759</v>
      </c>
      <c r="N138" s="158">
        <v>14721</v>
      </c>
      <c r="O138" s="158">
        <v>106910</v>
      </c>
      <c r="P138" s="158">
        <v>119757</v>
      </c>
      <c r="Q138" s="158">
        <v>126064</v>
      </c>
      <c r="R138" s="159">
        <f>IFERROR(Q138/P138-1,"-")</f>
        <v>5.266497991766661E-2</v>
      </c>
      <c r="S138" s="160">
        <f>IFERROR(Q138/L138-1,"-")</f>
        <v>0.39937393157649348</v>
      </c>
      <c r="T138" s="159">
        <f>Q138/Q$8</f>
        <v>4.7849170959518898E-2</v>
      </c>
      <c r="U138" s="158">
        <v>104662</v>
      </c>
      <c r="V138" s="158">
        <v>33243</v>
      </c>
      <c r="W138" s="158">
        <v>139430</v>
      </c>
      <c r="X138" s="158">
        <v>150006</v>
      </c>
      <c r="Y138" s="158">
        <v>159869</v>
      </c>
      <c r="Z138" s="159">
        <f>IFERROR(Y138/X138-1,"-")</f>
        <v>6.5750703305201164E-2</v>
      </c>
      <c r="AA138" s="160">
        <f t="shared" si="119"/>
        <v>0.52747893218168973</v>
      </c>
      <c r="AB138" s="159">
        <f>Y138/Y$8</f>
        <v>4.9989931282566985E-2</v>
      </c>
    </row>
    <row r="139" spans="1:28" s="56" customFormat="1" x14ac:dyDescent="0.25">
      <c r="B139" s="162" t="s">
        <v>110</v>
      </c>
      <c r="C139" s="163">
        <v>8579</v>
      </c>
      <c r="D139" s="163">
        <v>3361</v>
      </c>
      <c r="E139" s="163">
        <v>3323</v>
      </c>
      <c r="F139" s="163">
        <v>16427</v>
      </c>
      <c r="G139" s="163">
        <v>15330</v>
      </c>
      <c r="H139" s="163">
        <v>19327</v>
      </c>
      <c r="I139" s="164">
        <f t="shared" ref="I139:I146" si="120">IFERROR(H139/G139-1,"-")</f>
        <v>0.26073059360730588</v>
      </c>
      <c r="J139" s="165">
        <f t="shared" ref="J139:J146" si="121">IFERROR(H139/C139-1,"-")</f>
        <v>1.2528266697750321</v>
      </c>
      <c r="K139" s="164">
        <f t="shared" ref="K139:K146" si="122">H139/H$8</f>
        <v>3.4303493713303941E-2</v>
      </c>
      <c r="L139" s="163">
        <v>41492</v>
      </c>
      <c r="M139" s="163">
        <v>12472</v>
      </c>
      <c r="N139" s="163">
        <v>1862</v>
      </c>
      <c r="O139" s="163">
        <v>44609</v>
      </c>
      <c r="P139" s="163">
        <v>50285</v>
      </c>
      <c r="Q139" s="163">
        <v>53456</v>
      </c>
      <c r="R139" s="164">
        <f t="shared" ref="R139:R146" si="123">IFERROR(Q139/P139-1,"-")</f>
        <v>6.3060554837426563E-2</v>
      </c>
      <c r="S139" s="165">
        <f t="shared" ref="S139:S146" si="124">IFERROR(Q139/L139-1,"-")</f>
        <v>0.28834474115492137</v>
      </c>
      <c r="T139" s="164">
        <f t="shared" ref="T139:T146" si="125">Q139/Q$8</f>
        <v>2.0289894678988785E-2</v>
      </c>
      <c r="U139" s="163">
        <v>50071</v>
      </c>
      <c r="V139" s="163">
        <v>5517</v>
      </c>
      <c r="W139" s="163">
        <v>61036</v>
      </c>
      <c r="X139" s="163">
        <v>65615</v>
      </c>
      <c r="Y139" s="163">
        <v>72783</v>
      </c>
      <c r="Z139" s="164">
        <f t="shared" ref="Z139:Z146" si="126">IFERROR(Y139/X139-1,"-")</f>
        <v>0.1092433132667836</v>
      </c>
      <c r="AA139" s="165">
        <f t="shared" si="119"/>
        <v>0.45359589383076027</v>
      </c>
      <c r="AB139" s="164">
        <f t="shared" ref="AB139:AB146" si="127">Y139/Y$8</f>
        <v>2.2758741022581443E-2</v>
      </c>
    </row>
    <row r="140" spans="1:28" s="56" customFormat="1" x14ac:dyDescent="0.25">
      <c r="B140" s="162" t="s">
        <v>113</v>
      </c>
      <c r="C140" s="163">
        <v>1278</v>
      </c>
      <c r="D140" s="163">
        <v>1257</v>
      </c>
      <c r="E140" s="163">
        <v>680</v>
      </c>
      <c r="F140" s="163">
        <v>1026</v>
      </c>
      <c r="G140" s="163">
        <v>1373</v>
      </c>
      <c r="H140" s="163">
        <v>1223</v>
      </c>
      <c r="I140" s="164">
        <f t="shared" si="120"/>
        <v>-0.10924981791697019</v>
      </c>
      <c r="J140" s="165">
        <f t="shared" si="121"/>
        <v>-4.3035993740219047E-2</v>
      </c>
      <c r="K140" s="164">
        <f t="shared" si="122"/>
        <v>2.1707027894329548E-3</v>
      </c>
      <c r="L140" s="163">
        <v>7664</v>
      </c>
      <c r="M140" s="163">
        <v>2280</v>
      </c>
      <c r="N140" s="163">
        <v>1466</v>
      </c>
      <c r="O140" s="163">
        <v>7720</v>
      </c>
      <c r="P140" s="163">
        <v>11483</v>
      </c>
      <c r="Q140" s="163">
        <v>12140</v>
      </c>
      <c r="R140" s="164">
        <f t="shared" si="123"/>
        <v>5.7215013498214784E-2</v>
      </c>
      <c r="S140" s="165">
        <f t="shared" si="124"/>
        <v>0.58402922755741127</v>
      </c>
      <c r="T140" s="164">
        <f t="shared" si="125"/>
        <v>4.6078891313028258E-3</v>
      </c>
      <c r="U140" s="163">
        <v>8942</v>
      </c>
      <c r="V140" s="163">
        <v>3377</v>
      </c>
      <c r="W140" s="163">
        <v>8746</v>
      </c>
      <c r="X140" s="163">
        <v>12856</v>
      </c>
      <c r="Y140" s="163">
        <v>13363</v>
      </c>
      <c r="Z140" s="164">
        <f t="shared" si="126"/>
        <v>3.9436838830118282E-2</v>
      </c>
      <c r="AA140" s="165">
        <f t="shared" si="119"/>
        <v>0.49440840975173339</v>
      </c>
      <c r="AB140" s="164">
        <f t="shared" si="127"/>
        <v>4.178517734701178E-3</v>
      </c>
    </row>
    <row r="141" spans="1:28" x14ac:dyDescent="0.25">
      <c r="A141" s="56"/>
      <c r="B141" s="162" t="s">
        <v>116</v>
      </c>
      <c r="C141" s="163">
        <v>646</v>
      </c>
      <c r="D141" s="163">
        <v>147</v>
      </c>
      <c r="E141" s="163">
        <v>371</v>
      </c>
      <c r="F141" s="163">
        <v>4892</v>
      </c>
      <c r="G141" s="163">
        <v>3993</v>
      </c>
      <c r="H141" s="163">
        <v>3899</v>
      </c>
      <c r="I141" s="164">
        <f t="shared" si="120"/>
        <v>-2.3541197094916089E-2</v>
      </c>
      <c r="J141" s="165">
        <f t="shared" si="121"/>
        <v>5.0356037151702786</v>
      </c>
      <c r="K141" s="164">
        <f t="shared" si="122"/>
        <v>6.9203353851178175E-3</v>
      </c>
      <c r="L141" s="163">
        <v>11924</v>
      </c>
      <c r="M141" s="163">
        <v>3786</v>
      </c>
      <c r="N141" s="163">
        <v>3158</v>
      </c>
      <c r="O141" s="163">
        <v>12813</v>
      </c>
      <c r="P141" s="163">
        <v>12029</v>
      </c>
      <c r="Q141" s="163">
        <v>12213</v>
      </c>
      <c r="R141" s="164">
        <f t="shared" si="123"/>
        <v>1.5296367112810794E-2</v>
      </c>
      <c r="S141" s="165">
        <f t="shared" si="124"/>
        <v>2.4236833277423653E-2</v>
      </c>
      <c r="T141" s="164">
        <f t="shared" si="125"/>
        <v>4.6355971960956683E-3</v>
      </c>
      <c r="U141" s="163">
        <v>12570</v>
      </c>
      <c r="V141" s="163">
        <v>7198</v>
      </c>
      <c r="W141" s="163">
        <v>17705</v>
      </c>
      <c r="X141" s="163">
        <v>16022</v>
      </c>
      <c r="Y141" s="163">
        <v>16112</v>
      </c>
      <c r="Z141" s="164">
        <f t="shared" si="126"/>
        <v>5.6172762451629499E-3</v>
      </c>
      <c r="AA141" s="165">
        <f t="shared" si="119"/>
        <v>0.28178202068416858</v>
      </c>
      <c r="AB141" s="164">
        <f t="shared" si="127"/>
        <v>5.0381110335632256E-3</v>
      </c>
    </row>
    <row r="142" spans="1:28" x14ac:dyDescent="0.25">
      <c r="A142" s="56"/>
      <c r="B142" s="162" t="s">
        <v>123</v>
      </c>
      <c r="C142" s="163">
        <v>446</v>
      </c>
      <c r="D142" s="163">
        <v>113</v>
      </c>
      <c r="E142" s="163">
        <v>613</v>
      </c>
      <c r="F142" s="163">
        <v>3543</v>
      </c>
      <c r="G142" s="163">
        <v>2717</v>
      </c>
      <c r="H142" s="163">
        <v>1486</v>
      </c>
      <c r="I142" s="164">
        <f t="shared" si="120"/>
        <v>-0.45307324254692671</v>
      </c>
      <c r="J142" s="165">
        <f t="shared" si="121"/>
        <v>2.3318385650224216</v>
      </c>
      <c r="K142" s="164">
        <f t="shared" si="122"/>
        <v>2.6375015086650623E-3</v>
      </c>
      <c r="L142" s="163">
        <v>1519</v>
      </c>
      <c r="M142" s="163">
        <v>447</v>
      </c>
      <c r="N142" s="163">
        <v>294</v>
      </c>
      <c r="O142" s="163">
        <v>3069</v>
      </c>
      <c r="P142" s="163">
        <v>2937</v>
      </c>
      <c r="Q142" s="163">
        <v>2319</v>
      </c>
      <c r="R142" s="164">
        <f t="shared" si="123"/>
        <v>-0.21041879468845759</v>
      </c>
      <c r="S142" s="165">
        <f t="shared" si="124"/>
        <v>0.52666227781435149</v>
      </c>
      <c r="T142" s="164">
        <f t="shared" si="125"/>
        <v>8.8020551033700595E-4</v>
      </c>
      <c r="U142" s="163">
        <v>1965</v>
      </c>
      <c r="V142" s="163">
        <v>1022</v>
      </c>
      <c r="W142" s="163">
        <v>6612</v>
      </c>
      <c r="X142" s="163">
        <v>5654</v>
      </c>
      <c r="Y142" s="163">
        <v>3805</v>
      </c>
      <c r="Z142" s="164">
        <f t="shared" si="126"/>
        <v>-0.32702511496285813</v>
      </c>
      <c r="AA142" s="165">
        <f t="shared" si="119"/>
        <v>0.93638676844783708</v>
      </c>
      <c r="AB142" s="164">
        <f t="shared" si="127"/>
        <v>1.1897971997708585E-3</v>
      </c>
    </row>
    <row r="143" spans="1:28" x14ac:dyDescent="0.25">
      <c r="A143" s="56"/>
      <c r="B143" s="162" t="s">
        <v>119</v>
      </c>
      <c r="C143" s="163">
        <v>152</v>
      </c>
      <c r="D143" s="163">
        <v>428</v>
      </c>
      <c r="E143" s="163">
        <v>765</v>
      </c>
      <c r="F143" s="163">
        <v>280</v>
      </c>
      <c r="G143" s="163">
        <v>774</v>
      </c>
      <c r="H143" s="163">
        <v>791</v>
      </c>
      <c r="I143" s="164">
        <f t="shared" si="120"/>
        <v>2.1963824289405576E-2</v>
      </c>
      <c r="J143" s="165">
        <f t="shared" si="121"/>
        <v>4.2039473684210522</v>
      </c>
      <c r="K143" s="164">
        <f t="shared" si="122"/>
        <v>1.4039459578425735E-3</v>
      </c>
      <c r="L143" s="163">
        <v>2535</v>
      </c>
      <c r="M143" s="163">
        <v>773</v>
      </c>
      <c r="N143" s="163">
        <v>469</v>
      </c>
      <c r="O143" s="163">
        <v>2355</v>
      </c>
      <c r="P143" s="163">
        <v>2569</v>
      </c>
      <c r="Q143" s="163">
        <v>2964</v>
      </c>
      <c r="R143" s="164">
        <f t="shared" si="123"/>
        <v>0.15375632541845086</v>
      </c>
      <c r="S143" s="165">
        <f t="shared" si="124"/>
        <v>0.1692307692307693</v>
      </c>
      <c r="T143" s="164">
        <f t="shared" si="125"/>
        <v>1.1250233430956816E-3</v>
      </c>
      <c r="U143" s="163">
        <v>2687</v>
      </c>
      <c r="V143" s="163">
        <v>1638</v>
      </c>
      <c r="W143" s="163">
        <v>2635</v>
      </c>
      <c r="X143" s="163">
        <v>3343</v>
      </c>
      <c r="Y143" s="163">
        <v>3755</v>
      </c>
      <c r="Z143" s="164">
        <f t="shared" si="126"/>
        <v>0.12324259647023639</v>
      </c>
      <c r="AA143" s="165">
        <f t="shared" si="119"/>
        <v>0.39746929661332331</v>
      </c>
      <c r="AB143" s="164">
        <f t="shared" si="127"/>
        <v>1.1741625453717671E-3</v>
      </c>
    </row>
    <row r="144" spans="1:28" x14ac:dyDescent="0.25">
      <c r="A144" s="56"/>
      <c r="B144" s="162" t="s">
        <v>128</v>
      </c>
      <c r="C144" s="163">
        <v>248</v>
      </c>
      <c r="D144" s="163">
        <v>142</v>
      </c>
      <c r="E144" s="163">
        <v>0</v>
      </c>
      <c r="F144" s="163">
        <v>79</v>
      </c>
      <c r="G144" s="163">
        <v>139</v>
      </c>
      <c r="H144" s="163">
        <v>6</v>
      </c>
      <c r="I144" s="164">
        <f t="shared" si="120"/>
        <v>-0.95683453237410077</v>
      </c>
      <c r="J144" s="165">
        <f t="shared" si="121"/>
        <v>-0.97580645161290325</v>
      </c>
      <c r="K144" s="164">
        <f t="shared" si="122"/>
        <v>1.0649400438755298E-5</v>
      </c>
      <c r="L144" s="163">
        <v>715</v>
      </c>
      <c r="M144" s="163">
        <v>1439</v>
      </c>
      <c r="N144" s="163">
        <v>17</v>
      </c>
      <c r="O144" s="163">
        <v>1578</v>
      </c>
      <c r="P144" s="163">
        <v>1825</v>
      </c>
      <c r="Q144" s="163">
        <v>1836</v>
      </c>
      <c r="R144" s="164">
        <f t="shared" si="123"/>
        <v>6.0273972602740145E-3</v>
      </c>
      <c r="S144" s="165">
        <f t="shared" si="124"/>
        <v>1.5678321678321678</v>
      </c>
      <c r="T144" s="164">
        <f t="shared" si="125"/>
        <v>6.9687680766655584E-4</v>
      </c>
      <c r="U144" s="163">
        <v>963</v>
      </c>
      <c r="V144" s="163">
        <v>36</v>
      </c>
      <c r="W144" s="163">
        <v>1657</v>
      </c>
      <c r="X144" s="163">
        <v>1964</v>
      </c>
      <c r="Y144" s="163">
        <v>1842</v>
      </c>
      <c r="Z144" s="164">
        <f t="shared" si="126"/>
        <v>-6.2118126272912466E-2</v>
      </c>
      <c r="AA144" s="165">
        <f t="shared" si="119"/>
        <v>0.91277258566978192</v>
      </c>
      <c r="AB144" s="164">
        <f t="shared" si="127"/>
        <v>5.7598066806252861E-4</v>
      </c>
    </row>
    <row r="145" spans="1:28" x14ac:dyDescent="0.25">
      <c r="A145" s="56"/>
      <c r="B145" s="162" t="s">
        <v>131</v>
      </c>
      <c r="C145" s="163">
        <v>73</v>
      </c>
      <c r="D145" s="163">
        <v>815</v>
      </c>
      <c r="E145" s="163">
        <v>2</v>
      </c>
      <c r="F145" s="163">
        <v>49</v>
      </c>
      <c r="G145" s="163">
        <v>62</v>
      </c>
      <c r="H145" s="163">
        <v>54</v>
      </c>
      <c r="I145" s="164">
        <f t="shared" si="120"/>
        <v>-0.12903225806451613</v>
      </c>
      <c r="J145" s="165">
        <f t="shared" si="121"/>
        <v>-0.26027397260273977</v>
      </c>
      <c r="K145" s="164">
        <f t="shared" si="122"/>
        <v>9.5844603948797683E-5</v>
      </c>
      <c r="L145" s="163">
        <v>3120</v>
      </c>
      <c r="M145" s="163">
        <v>2465</v>
      </c>
      <c r="N145" s="163">
        <v>4</v>
      </c>
      <c r="O145" s="163">
        <v>693</v>
      </c>
      <c r="P145" s="163">
        <v>1267</v>
      </c>
      <c r="Q145" s="163">
        <v>1116</v>
      </c>
      <c r="R145" s="164">
        <f t="shared" si="123"/>
        <v>-0.11917916337805845</v>
      </c>
      <c r="S145" s="165">
        <f t="shared" si="124"/>
        <v>-0.64230769230769225</v>
      </c>
      <c r="T145" s="164">
        <f t="shared" si="125"/>
        <v>4.2359178505222019E-4</v>
      </c>
      <c r="U145" s="163">
        <v>3193</v>
      </c>
      <c r="V145" s="163">
        <v>43</v>
      </c>
      <c r="W145" s="163">
        <v>742</v>
      </c>
      <c r="X145" s="163">
        <v>1329</v>
      </c>
      <c r="Y145" s="163">
        <v>1170</v>
      </c>
      <c r="Z145" s="164">
        <f t="shared" si="126"/>
        <v>-0.11963882618510158</v>
      </c>
      <c r="AA145" s="165">
        <f t="shared" si="119"/>
        <v>-0.63357344190416542</v>
      </c>
      <c r="AB145" s="164">
        <f t="shared" si="127"/>
        <v>3.6585091293873966E-4</v>
      </c>
    </row>
    <row r="146" spans="1:28" x14ac:dyDescent="0.25">
      <c r="A146" s="56"/>
      <c r="B146" s="168" t="s">
        <v>145</v>
      </c>
      <c r="C146" s="169">
        <f t="shared" ref="C146:H146" si="128">C138-SUM(C139:C145)</f>
        <v>3154</v>
      </c>
      <c r="D146" s="169">
        <f t="shared" si="128"/>
        <v>1145</v>
      </c>
      <c r="E146" s="169">
        <f t="shared" si="128"/>
        <v>1811</v>
      </c>
      <c r="F146" s="169">
        <f t="shared" si="128"/>
        <v>6224</v>
      </c>
      <c r="G146" s="169">
        <f t="shared" si="128"/>
        <v>5861</v>
      </c>
      <c r="H146" s="169">
        <f t="shared" si="128"/>
        <v>7019</v>
      </c>
      <c r="I146" s="170">
        <f t="shared" si="120"/>
        <v>0.19757720525507594</v>
      </c>
      <c r="J146" s="171">
        <f t="shared" si="121"/>
        <v>1.2254280279010779</v>
      </c>
      <c r="K146" s="170">
        <f t="shared" si="122"/>
        <v>1.2458023613270574E-2</v>
      </c>
      <c r="L146" s="169">
        <f t="shared" ref="L146:Q146" si="129">L138-SUM(L139:L145)</f>
        <v>21117</v>
      </c>
      <c r="M146" s="169">
        <f t="shared" si="129"/>
        <v>11097</v>
      </c>
      <c r="N146" s="169">
        <f t="shared" si="129"/>
        <v>7451</v>
      </c>
      <c r="O146" s="169">
        <f t="shared" si="129"/>
        <v>34073</v>
      </c>
      <c r="P146" s="169">
        <f t="shared" si="129"/>
        <v>37362</v>
      </c>
      <c r="Q146" s="169">
        <f t="shared" si="129"/>
        <v>40020</v>
      </c>
      <c r="R146" s="170">
        <f t="shared" si="123"/>
        <v>7.1141801830737039E-2</v>
      </c>
      <c r="S146" s="171">
        <f t="shared" si="124"/>
        <v>0.89515556186958367</v>
      </c>
      <c r="T146" s="170">
        <f t="shared" si="125"/>
        <v>1.5190092506980155E-2</v>
      </c>
      <c r="U146" s="169">
        <f>U138-SUM(U139:U145)</f>
        <v>24271</v>
      </c>
      <c r="V146" s="169">
        <f>V138-SUM(V139:V145)</f>
        <v>14412</v>
      </c>
      <c r="W146" s="169">
        <f>W138-SUM(W139:W145)</f>
        <v>40297</v>
      </c>
      <c r="X146" s="169">
        <f>X138-SUM(X139:X145)</f>
        <v>43223</v>
      </c>
      <c r="Y146" s="169">
        <f>Y138-SUM(Y139:Y145)</f>
        <v>47039</v>
      </c>
      <c r="Z146" s="170">
        <f t="shared" si="126"/>
        <v>8.8286329037780886E-2</v>
      </c>
      <c r="AA146" s="171">
        <f t="shared" si="119"/>
        <v>0.93807424498372538</v>
      </c>
      <c r="AB146" s="170">
        <f t="shared" si="127"/>
        <v>1.4708770165577244E-2</v>
      </c>
    </row>
    <row r="147" spans="1:28" x14ac:dyDescent="0.25">
      <c r="A147" s="56"/>
      <c r="B147" s="153" t="s">
        <v>53</v>
      </c>
      <c r="C147" s="151"/>
      <c r="D147" s="151"/>
      <c r="E147" s="151"/>
      <c r="F147" s="151"/>
      <c r="G147" s="151"/>
      <c r="H147" s="151"/>
      <c r="I147" s="151"/>
      <c r="J147" s="151"/>
      <c r="K147" s="151"/>
      <c r="L147" s="151"/>
      <c r="M147" s="151"/>
      <c r="N147" s="151"/>
      <c r="O147" s="151"/>
      <c r="P147" s="151"/>
      <c r="Q147" s="151"/>
      <c r="R147" s="151"/>
      <c r="S147" s="151"/>
      <c r="T147" s="151"/>
      <c r="U147" s="151"/>
      <c r="V147" s="151"/>
      <c r="W147" s="151"/>
      <c r="X147" s="151"/>
      <c r="Y147" s="151"/>
      <c r="Z147" s="151"/>
      <c r="AA147" s="151"/>
      <c r="AB147" s="151"/>
    </row>
    <row r="148" spans="1:28" x14ac:dyDescent="0.25">
      <c r="A148" s="56"/>
      <c r="B148" s="154" t="s">
        <v>68</v>
      </c>
      <c r="C148" s="176">
        <f t="shared" ref="C148:H148" si="130">C149+C152</f>
        <v>20324</v>
      </c>
      <c r="D148" s="176">
        <f t="shared" si="130"/>
        <v>8632</v>
      </c>
      <c r="E148" s="176">
        <f t="shared" si="130"/>
        <v>8367</v>
      </c>
      <c r="F148" s="176">
        <f t="shared" si="130"/>
        <v>21427</v>
      </c>
      <c r="G148" s="176">
        <f t="shared" si="130"/>
        <v>21446</v>
      </c>
      <c r="H148" s="176">
        <f t="shared" si="130"/>
        <v>26088</v>
      </c>
      <c r="I148" s="177">
        <f>IFERROR(H148/G148-1,"-")</f>
        <v>0.21645062016226801</v>
      </c>
      <c r="J148" s="177">
        <f>IFERROR(H148/C148-1,"-")</f>
        <v>0.28360558945089553</v>
      </c>
      <c r="K148" s="177">
        <f>H148/H$8</f>
        <v>4.6303593107708034E-2</v>
      </c>
      <c r="L148" s="176">
        <f t="shared" ref="L148:Q148" si="131">L149+L152</f>
        <v>71706</v>
      </c>
      <c r="M148" s="176">
        <f t="shared" si="131"/>
        <v>21795</v>
      </c>
      <c r="N148" s="176">
        <f t="shared" si="131"/>
        <v>34156</v>
      </c>
      <c r="O148" s="176">
        <f t="shared" si="131"/>
        <v>57564</v>
      </c>
      <c r="P148" s="176">
        <f t="shared" si="131"/>
        <v>61552</v>
      </c>
      <c r="Q148" s="176">
        <f t="shared" si="131"/>
        <v>60228</v>
      </c>
      <c r="R148" s="177">
        <f>IFERROR(Q148/P148-1,"-")</f>
        <v>-2.1510267741096989E-2</v>
      </c>
      <c r="S148" s="177">
        <f>IFERROR(Q148/L148-1,"-")</f>
        <v>-0.16007028700527148</v>
      </c>
      <c r="T148" s="177">
        <f>Q148/Q$8</f>
        <v>2.2860292141689175E-2</v>
      </c>
      <c r="U148" s="176">
        <f>U149+U152</f>
        <v>92030</v>
      </c>
      <c r="V148" s="176">
        <f>V149+V152</f>
        <v>42523</v>
      </c>
      <c r="W148" s="176">
        <f>W149+W152</f>
        <v>78991</v>
      </c>
      <c r="X148" s="176">
        <f>X149+X152</f>
        <v>82998</v>
      </c>
      <c r="Y148" s="176">
        <f>Y149+Y152</f>
        <v>86316</v>
      </c>
      <c r="Z148" s="177">
        <f>IFERROR(Y148/X148-1,"-")</f>
        <v>3.9976866912455611E-2</v>
      </c>
      <c r="AA148" s="177">
        <f t="shared" ref="AA148:AA160" si="132">IFERROR(Y148/U148-1,"-")</f>
        <v>-6.2088449418667868E-2</v>
      </c>
      <c r="AB148" s="177">
        <f>Y148/Y$8</f>
        <v>2.6990416582239534E-2</v>
      </c>
    </row>
    <row r="149" spans="1:28" x14ac:dyDescent="0.25">
      <c r="A149" s="56"/>
      <c r="B149" s="157" t="s">
        <v>97</v>
      </c>
      <c r="C149" s="158">
        <v>13095</v>
      </c>
      <c r="D149" s="158">
        <v>5991</v>
      </c>
      <c r="E149" s="158">
        <v>4902</v>
      </c>
      <c r="F149" s="158">
        <v>13125</v>
      </c>
      <c r="G149" s="158">
        <v>13627</v>
      </c>
      <c r="H149" s="158">
        <v>14421</v>
      </c>
      <c r="I149" s="159">
        <f>IFERROR(H149/G149-1,"-")</f>
        <v>5.8266676451163235E-2</v>
      </c>
      <c r="J149" s="160">
        <f>IFERROR(H149/C149-1,"-")</f>
        <v>0.10126002290950753</v>
      </c>
      <c r="K149" s="159">
        <f>H149/H$8</f>
        <v>2.5595833954548359E-2</v>
      </c>
      <c r="L149" s="158">
        <v>28540</v>
      </c>
      <c r="M149" s="158">
        <v>7745</v>
      </c>
      <c r="N149" s="158">
        <v>22645</v>
      </c>
      <c r="O149" s="158">
        <v>30183</v>
      </c>
      <c r="P149" s="158">
        <v>30633</v>
      </c>
      <c r="Q149" s="158">
        <v>26091</v>
      </c>
      <c r="R149" s="159">
        <f>IFERROR(Q149/P149-1,"-")</f>
        <v>-0.14827147194202328</v>
      </c>
      <c r="S149" s="160">
        <f>IFERROR(Q149/L149-1,"-")</f>
        <v>-8.5809390329362301E-2</v>
      </c>
      <c r="T149" s="159">
        <f>Q149/Q$8</f>
        <v>9.9031660069869871E-3</v>
      </c>
      <c r="U149" s="158">
        <v>41635</v>
      </c>
      <c r="V149" s="158">
        <v>27547</v>
      </c>
      <c r="W149" s="158">
        <v>43308</v>
      </c>
      <c r="X149" s="158">
        <v>44260</v>
      </c>
      <c r="Y149" s="158">
        <v>40512</v>
      </c>
      <c r="Z149" s="159">
        <f>IFERROR(Y149/X149-1,"-")</f>
        <v>-8.4681427925892505E-2</v>
      </c>
      <c r="AA149" s="160">
        <f t="shared" si="132"/>
        <v>-2.6972499099315428E-2</v>
      </c>
      <c r="AB149" s="159">
        <f>Y149/Y$8</f>
        <v>1.2667822380319847E-2</v>
      </c>
    </row>
    <row r="150" spans="1:28" x14ac:dyDescent="0.25">
      <c r="A150" s="56"/>
      <c r="B150" s="162" t="s">
        <v>103</v>
      </c>
      <c r="C150" s="163">
        <v>4440</v>
      </c>
      <c r="D150" s="163">
        <v>1740</v>
      </c>
      <c r="E150" s="163">
        <v>2133</v>
      </c>
      <c r="F150" s="163">
        <v>5098</v>
      </c>
      <c r="G150" s="163">
        <v>3977</v>
      </c>
      <c r="H150" s="163">
        <v>4233</v>
      </c>
      <c r="I150" s="164">
        <f>IFERROR(H150/G150-1,"-")</f>
        <v>6.4370128237364765E-2</v>
      </c>
      <c r="J150" s="165">
        <f>IFERROR(H150/C150-1,"-")</f>
        <v>-4.6621621621621645E-2</v>
      </c>
      <c r="K150" s="164">
        <f>H150/H$8</f>
        <v>7.5131520095418625E-3</v>
      </c>
      <c r="L150" s="163">
        <v>20777</v>
      </c>
      <c r="M150" s="163">
        <v>5766</v>
      </c>
      <c r="N150" s="163">
        <v>19879</v>
      </c>
      <c r="O150" s="163">
        <v>26530</v>
      </c>
      <c r="P150" s="163">
        <v>28721</v>
      </c>
      <c r="Q150" s="163">
        <v>23802</v>
      </c>
      <c r="R150" s="164">
        <f>IFERROR(Q150/P150-1,"-")</f>
        <v>-0.17126840987430803</v>
      </c>
      <c r="S150" s="165">
        <f>IFERROR(Q150/L150-1,"-")</f>
        <v>0.14559368532511918</v>
      </c>
      <c r="T150" s="164">
        <f>Q150/Q$8</f>
        <v>9.0343473725922451E-3</v>
      </c>
      <c r="U150" s="163">
        <v>25217</v>
      </c>
      <c r="V150" s="163">
        <v>22012</v>
      </c>
      <c r="W150" s="163">
        <v>31628</v>
      </c>
      <c r="X150" s="163">
        <v>32698</v>
      </c>
      <c r="Y150" s="163">
        <v>28035</v>
      </c>
      <c r="Z150" s="164">
        <f>IFERROR(Y150/X150-1,"-")</f>
        <v>-0.14260811058780354</v>
      </c>
      <c r="AA150" s="165">
        <f t="shared" si="132"/>
        <v>0.11175000991394701</v>
      </c>
      <c r="AB150" s="164">
        <f>Y150/Y$8</f>
        <v>8.7663507215705698E-3</v>
      </c>
    </row>
    <row r="151" spans="1:28" x14ac:dyDescent="0.25">
      <c r="A151" s="56"/>
      <c r="B151" s="162" t="s">
        <v>100</v>
      </c>
      <c r="C151" s="163">
        <v>8655</v>
      </c>
      <c r="D151" s="163">
        <v>4251</v>
      </c>
      <c r="E151" s="163">
        <v>2769</v>
      </c>
      <c r="F151" s="163">
        <v>8027</v>
      </c>
      <c r="G151" s="163">
        <v>9650</v>
      </c>
      <c r="H151" s="163">
        <v>10188</v>
      </c>
      <c r="I151" s="164">
        <f>IFERROR(H151/G151-1,"-")</f>
        <v>5.5751295336787576E-2</v>
      </c>
      <c r="J151" s="165">
        <f>IFERROR(H151/C151-1,"-")</f>
        <v>0.17712305025996544</v>
      </c>
      <c r="K151" s="164">
        <f>H151/H$8</f>
        <v>1.8082681945006496E-2</v>
      </c>
      <c r="L151" s="163">
        <v>7763</v>
      </c>
      <c r="M151" s="163">
        <v>1979</v>
      </c>
      <c r="N151" s="163">
        <v>2766</v>
      </c>
      <c r="O151" s="163">
        <v>3653</v>
      </c>
      <c r="P151" s="163">
        <v>1912</v>
      </c>
      <c r="Q151" s="163">
        <v>2289</v>
      </c>
      <c r="R151" s="164">
        <f>IFERROR(Q151/P151-1,"-")</f>
        <v>0.19717573221757312</v>
      </c>
      <c r="S151" s="165">
        <f>IFERROR(Q151/L151-1,"-")</f>
        <v>-0.70513976555455371</v>
      </c>
      <c r="T151" s="164">
        <f>Q151/Q$8</f>
        <v>8.6881863439474197E-4</v>
      </c>
      <c r="U151" s="163">
        <v>16418</v>
      </c>
      <c r="V151" s="163">
        <v>5535</v>
      </c>
      <c r="W151" s="163">
        <v>11680</v>
      </c>
      <c r="X151" s="163">
        <v>11562</v>
      </c>
      <c r="Y151" s="163">
        <v>12477</v>
      </c>
      <c r="Z151" s="164">
        <f>IFERROR(Y151/X151-1,"-")</f>
        <v>7.9138557343020333E-2</v>
      </c>
      <c r="AA151" s="165">
        <f t="shared" si="132"/>
        <v>-0.24004141795590206</v>
      </c>
      <c r="AB151" s="164">
        <f>Y151/Y$8</f>
        <v>3.9014716587492779E-3</v>
      </c>
    </row>
    <row r="152" spans="1:28" x14ac:dyDescent="0.25">
      <c r="A152" s="56"/>
      <c r="B152" s="157" t="s">
        <v>107</v>
      </c>
      <c r="C152" s="158">
        <v>7229</v>
      </c>
      <c r="D152" s="158">
        <v>2641</v>
      </c>
      <c r="E152" s="158">
        <v>3465</v>
      </c>
      <c r="F152" s="158">
        <v>8302</v>
      </c>
      <c r="G152" s="158">
        <v>7819</v>
      </c>
      <c r="H152" s="158">
        <v>11667</v>
      </c>
      <c r="I152" s="159">
        <f>IFERROR(H152/G152-1,"-")</f>
        <v>0.49213454405934254</v>
      </c>
      <c r="J152" s="160">
        <f>IFERROR(H152/C152-1,"-")</f>
        <v>0.61391617097800522</v>
      </c>
      <c r="K152" s="159">
        <f>H152/H$8</f>
        <v>2.0707759153159679E-2</v>
      </c>
      <c r="L152" s="158">
        <v>43166</v>
      </c>
      <c r="M152" s="158">
        <v>14050</v>
      </c>
      <c r="N152" s="158">
        <v>11511</v>
      </c>
      <c r="O152" s="158">
        <v>27381</v>
      </c>
      <c r="P152" s="158">
        <v>30919</v>
      </c>
      <c r="Q152" s="158">
        <v>34137</v>
      </c>
      <c r="R152" s="159">
        <f>IFERROR(Q152/P152-1,"-")</f>
        <v>0.10407839839580846</v>
      </c>
      <c r="S152" s="160">
        <f>IFERROR(Q152/L152-1,"-")</f>
        <v>-0.2091692535792059</v>
      </c>
      <c r="T152" s="159">
        <f>Q152/Q$8</f>
        <v>1.2957126134702188E-2</v>
      </c>
      <c r="U152" s="158">
        <v>50395</v>
      </c>
      <c r="V152" s="158">
        <v>14976</v>
      </c>
      <c r="W152" s="158">
        <v>35683</v>
      </c>
      <c r="X152" s="158">
        <v>38738</v>
      </c>
      <c r="Y152" s="158">
        <v>45804</v>
      </c>
      <c r="Z152" s="159">
        <f>IFERROR(Y152/X152-1,"-")</f>
        <v>0.18240487376736025</v>
      </c>
      <c r="AA152" s="160">
        <f t="shared" si="132"/>
        <v>-9.1100307570195493E-2</v>
      </c>
      <c r="AB152" s="159">
        <f>Y152/Y$8</f>
        <v>1.4322594201919685E-2</v>
      </c>
    </row>
    <row r="153" spans="1:28" s="56" customFormat="1" x14ac:dyDescent="0.25">
      <c r="B153" s="162" t="s">
        <v>110</v>
      </c>
      <c r="C153" s="163">
        <v>760</v>
      </c>
      <c r="D153" s="163">
        <v>311</v>
      </c>
      <c r="E153" s="163">
        <v>175</v>
      </c>
      <c r="F153" s="163">
        <v>698</v>
      </c>
      <c r="G153" s="163">
        <v>616</v>
      </c>
      <c r="H153" s="163">
        <v>971</v>
      </c>
      <c r="I153" s="164">
        <f t="shared" ref="I153:I160" si="133">IFERROR(H153/G153-1,"-")</f>
        <v>0.57629870129870131</v>
      </c>
      <c r="J153" s="165">
        <f t="shared" ref="J153:J160" si="134">IFERROR(H153/C153-1,"-")</f>
        <v>0.27763157894736845</v>
      </c>
      <c r="K153" s="164">
        <f t="shared" ref="K153:K160" si="135">H153/H$8</f>
        <v>1.7234279710052324E-3</v>
      </c>
      <c r="L153" s="163">
        <v>15197</v>
      </c>
      <c r="M153" s="163">
        <v>4660</v>
      </c>
      <c r="N153" s="163">
        <v>1210</v>
      </c>
      <c r="O153" s="163">
        <v>12864</v>
      </c>
      <c r="P153" s="163">
        <v>12603</v>
      </c>
      <c r="Q153" s="163">
        <v>13869</v>
      </c>
      <c r="R153" s="164">
        <f t="shared" ref="R153:R160" si="136">IFERROR(Q153/P153-1,"-")</f>
        <v>0.10045227326826955</v>
      </c>
      <c r="S153" s="165">
        <f t="shared" ref="S153:S160" si="137">IFERROR(Q153/L153-1,"-")</f>
        <v>-8.738566822399163E-2</v>
      </c>
      <c r="T153" s="164">
        <f t="shared" ref="T153:T160" si="138">Q153/Q$8</f>
        <v>5.2641527481086395E-3</v>
      </c>
      <c r="U153" s="163">
        <v>15957</v>
      </c>
      <c r="V153" s="163">
        <v>1385</v>
      </c>
      <c r="W153" s="163">
        <v>13562</v>
      </c>
      <c r="X153" s="163">
        <v>13219</v>
      </c>
      <c r="Y153" s="163">
        <v>14840</v>
      </c>
      <c r="Z153" s="164">
        <f t="shared" ref="Z153:Z160" si="139">IFERROR(Y153/X153-1,"-")</f>
        <v>0.12262652242983574</v>
      </c>
      <c r="AA153" s="165">
        <f t="shared" si="132"/>
        <v>-7.0000626684213807E-2</v>
      </c>
      <c r="AB153" s="164">
        <f t="shared" ref="AB153:AB160" si="140">Y153/Y$8</f>
        <v>4.6403654256503392E-3</v>
      </c>
    </row>
    <row r="154" spans="1:28" s="56" customFormat="1" x14ac:dyDescent="0.25">
      <c r="B154" s="162" t="s">
        <v>113</v>
      </c>
      <c r="C154" s="163">
        <v>1338</v>
      </c>
      <c r="D154" s="163">
        <v>480</v>
      </c>
      <c r="E154" s="163">
        <v>516</v>
      </c>
      <c r="F154" s="163">
        <v>1474</v>
      </c>
      <c r="G154" s="163">
        <v>1521</v>
      </c>
      <c r="H154" s="163">
        <v>1948</v>
      </c>
      <c r="I154" s="164">
        <f t="shared" si="133"/>
        <v>0.28073635765943461</v>
      </c>
      <c r="J154" s="165">
        <f t="shared" si="134"/>
        <v>0.45590433482810155</v>
      </c>
      <c r="K154" s="164">
        <f t="shared" si="135"/>
        <v>3.4575053424492201E-3</v>
      </c>
      <c r="L154" s="163">
        <v>10801</v>
      </c>
      <c r="M154" s="163">
        <v>3595</v>
      </c>
      <c r="N154" s="163">
        <v>2464</v>
      </c>
      <c r="O154" s="163">
        <v>5112</v>
      </c>
      <c r="P154" s="163">
        <v>5253</v>
      </c>
      <c r="Q154" s="163">
        <v>4711</v>
      </c>
      <c r="R154" s="164">
        <f t="shared" si="136"/>
        <v>-0.10317913573196269</v>
      </c>
      <c r="S154" s="165">
        <f t="shared" si="137"/>
        <v>-0.56383668178872326</v>
      </c>
      <c r="T154" s="164">
        <f t="shared" si="138"/>
        <v>1.7881190854668544E-3</v>
      </c>
      <c r="U154" s="163">
        <v>12139</v>
      </c>
      <c r="V154" s="163">
        <v>2980</v>
      </c>
      <c r="W154" s="163">
        <v>6586</v>
      </c>
      <c r="X154" s="163">
        <v>6774</v>
      </c>
      <c r="Y154" s="163">
        <v>6659</v>
      </c>
      <c r="Z154" s="164">
        <f t="shared" si="139"/>
        <v>-1.6976675524062568E-2</v>
      </c>
      <c r="AA154" s="165">
        <f t="shared" si="132"/>
        <v>-0.4514375154460829</v>
      </c>
      <c r="AB154" s="164">
        <f t="shared" si="140"/>
        <v>2.0822232728709977E-3</v>
      </c>
    </row>
    <row r="155" spans="1:28" x14ac:dyDescent="0.25">
      <c r="A155" s="56"/>
      <c r="B155" s="162" t="s">
        <v>116</v>
      </c>
      <c r="C155" s="163">
        <v>957</v>
      </c>
      <c r="D155" s="163">
        <v>370</v>
      </c>
      <c r="E155" s="163">
        <v>793</v>
      </c>
      <c r="F155" s="163">
        <v>1596</v>
      </c>
      <c r="G155" s="163">
        <v>1418</v>
      </c>
      <c r="H155" s="163">
        <v>2068</v>
      </c>
      <c r="I155" s="164">
        <f t="shared" si="133"/>
        <v>0.45839210155148091</v>
      </c>
      <c r="J155" s="165">
        <f t="shared" si="134"/>
        <v>1.1609195402298851</v>
      </c>
      <c r="K155" s="164">
        <f t="shared" si="135"/>
        <v>3.670493351224326E-3</v>
      </c>
      <c r="L155" s="163">
        <v>6662</v>
      </c>
      <c r="M155" s="163">
        <v>1571</v>
      </c>
      <c r="N155" s="163">
        <v>2729</v>
      </c>
      <c r="O155" s="163">
        <v>2902</v>
      </c>
      <c r="P155" s="163">
        <v>4963</v>
      </c>
      <c r="Q155" s="163">
        <v>6023</v>
      </c>
      <c r="R155" s="164">
        <f t="shared" si="136"/>
        <v>0.21358049566794279</v>
      </c>
      <c r="S155" s="165">
        <f t="shared" si="137"/>
        <v>-9.5917141999399602E-2</v>
      </c>
      <c r="T155" s="164">
        <f t="shared" si="138"/>
        <v>2.2861051266751991E-3</v>
      </c>
      <c r="U155" s="163">
        <v>7619</v>
      </c>
      <c r="V155" s="163">
        <v>3522</v>
      </c>
      <c r="W155" s="163">
        <v>4498</v>
      </c>
      <c r="X155" s="163">
        <v>6381</v>
      </c>
      <c r="Y155" s="163">
        <v>8091</v>
      </c>
      <c r="Z155" s="164">
        <f t="shared" si="139"/>
        <v>0.26798307475317351</v>
      </c>
      <c r="AA155" s="165">
        <f t="shared" si="132"/>
        <v>6.1950387189919853E-2</v>
      </c>
      <c r="AB155" s="164">
        <f t="shared" si="140"/>
        <v>2.5299997748609768E-3</v>
      </c>
    </row>
    <row r="156" spans="1:28" x14ac:dyDescent="0.25">
      <c r="A156" s="56"/>
      <c r="B156" s="162" t="s">
        <v>123</v>
      </c>
      <c r="C156" s="163">
        <v>338</v>
      </c>
      <c r="D156" s="163">
        <v>223</v>
      </c>
      <c r="E156" s="163">
        <v>142</v>
      </c>
      <c r="F156" s="163">
        <v>503</v>
      </c>
      <c r="G156" s="163">
        <v>410</v>
      </c>
      <c r="H156" s="163">
        <v>589</v>
      </c>
      <c r="I156" s="164">
        <f t="shared" si="133"/>
        <v>0.43658536585365848</v>
      </c>
      <c r="J156" s="165">
        <f t="shared" si="134"/>
        <v>0.74260355029585789</v>
      </c>
      <c r="K156" s="164">
        <f t="shared" si="135"/>
        <v>1.0454161430711452E-3</v>
      </c>
      <c r="L156" s="163">
        <v>670</v>
      </c>
      <c r="M156" s="163">
        <v>315</v>
      </c>
      <c r="N156" s="163">
        <v>319</v>
      </c>
      <c r="O156" s="163">
        <v>570</v>
      </c>
      <c r="P156" s="163">
        <v>571</v>
      </c>
      <c r="Q156" s="163">
        <v>717</v>
      </c>
      <c r="R156" s="164">
        <f t="shared" si="136"/>
        <v>0.25569176882662004</v>
      </c>
      <c r="S156" s="165">
        <f t="shared" si="137"/>
        <v>7.0149253731343286E-2</v>
      </c>
      <c r="T156" s="164">
        <f t="shared" si="138"/>
        <v>2.7214633502010922E-4</v>
      </c>
      <c r="U156" s="163">
        <v>1008</v>
      </c>
      <c r="V156" s="163">
        <v>461</v>
      </c>
      <c r="W156" s="163">
        <v>1073</v>
      </c>
      <c r="X156" s="163">
        <v>981</v>
      </c>
      <c r="Y156" s="163">
        <v>1306</v>
      </c>
      <c r="Z156" s="164">
        <f t="shared" si="139"/>
        <v>0.33129459734964328</v>
      </c>
      <c r="AA156" s="165">
        <f t="shared" si="132"/>
        <v>0.29563492063492069</v>
      </c>
      <c r="AB156" s="164">
        <f t="shared" si="140"/>
        <v>4.083771729042684E-4</v>
      </c>
    </row>
    <row r="157" spans="1:28" x14ac:dyDescent="0.25">
      <c r="A157" s="56"/>
      <c r="B157" s="162" t="s">
        <v>119</v>
      </c>
      <c r="C157" s="163">
        <v>311</v>
      </c>
      <c r="D157" s="163">
        <v>156</v>
      </c>
      <c r="E157" s="163">
        <v>172</v>
      </c>
      <c r="F157" s="163">
        <v>384</v>
      </c>
      <c r="G157" s="163">
        <v>346</v>
      </c>
      <c r="H157" s="163">
        <v>485</v>
      </c>
      <c r="I157" s="164">
        <f t="shared" si="133"/>
        <v>0.40173410404624277</v>
      </c>
      <c r="J157" s="165">
        <f t="shared" si="134"/>
        <v>0.55948553054662375</v>
      </c>
      <c r="K157" s="164">
        <f t="shared" si="135"/>
        <v>8.6082653546605331E-4</v>
      </c>
      <c r="L157" s="163">
        <v>1995</v>
      </c>
      <c r="M157" s="163">
        <v>893</v>
      </c>
      <c r="N157" s="163">
        <v>906</v>
      </c>
      <c r="O157" s="163">
        <v>1904</v>
      </c>
      <c r="P157" s="163">
        <v>1715</v>
      </c>
      <c r="Q157" s="163">
        <v>2050</v>
      </c>
      <c r="R157" s="164">
        <f t="shared" si="136"/>
        <v>0.19533527696792996</v>
      </c>
      <c r="S157" s="165">
        <f t="shared" si="137"/>
        <v>2.7568922305764465E-2</v>
      </c>
      <c r="T157" s="164">
        <f t="shared" si="138"/>
        <v>7.7810318938803893E-4</v>
      </c>
      <c r="U157" s="163">
        <v>2306</v>
      </c>
      <c r="V157" s="163">
        <v>1078</v>
      </c>
      <c r="W157" s="163">
        <v>2288</v>
      </c>
      <c r="X157" s="163">
        <v>2061</v>
      </c>
      <c r="Y157" s="163">
        <v>2535</v>
      </c>
      <c r="Z157" s="164">
        <f t="shared" si="139"/>
        <v>0.22998544395924303</v>
      </c>
      <c r="AA157" s="165">
        <f t="shared" si="132"/>
        <v>9.9306157849089249E-2</v>
      </c>
      <c r="AB157" s="164">
        <f t="shared" si="140"/>
        <v>7.9267697803393593E-4</v>
      </c>
    </row>
    <row r="158" spans="1:28" x14ac:dyDescent="0.25">
      <c r="A158" s="56"/>
      <c r="B158" s="162" t="s">
        <v>128</v>
      </c>
      <c r="C158" s="163">
        <v>125</v>
      </c>
      <c r="D158" s="163">
        <v>46</v>
      </c>
      <c r="E158" s="163">
        <v>23</v>
      </c>
      <c r="F158" s="163">
        <v>82</v>
      </c>
      <c r="G158" s="163">
        <v>78</v>
      </c>
      <c r="H158" s="163">
        <v>74</v>
      </c>
      <c r="I158" s="164">
        <f t="shared" si="133"/>
        <v>-5.1282051282051322E-2</v>
      </c>
      <c r="J158" s="165">
        <f t="shared" si="134"/>
        <v>-0.40800000000000003</v>
      </c>
      <c r="K158" s="164">
        <f t="shared" si="135"/>
        <v>1.3134260541131535E-4</v>
      </c>
      <c r="L158" s="163">
        <v>195</v>
      </c>
      <c r="M158" s="163">
        <v>171</v>
      </c>
      <c r="N158" s="163">
        <v>20</v>
      </c>
      <c r="O158" s="163">
        <v>195</v>
      </c>
      <c r="P158" s="163">
        <v>189</v>
      </c>
      <c r="Q158" s="163">
        <v>211</v>
      </c>
      <c r="R158" s="164">
        <f t="shared" si="136"/>
        <v>0.11640211640211651</v>
      </c>
      <c r="S158" s="165">
        <f t="shared" si="137"/>
        <v>8.2051282051281982E-2</v>
      </c>
      <c r="T158" s="164">
        <f t="shared" si="138"/>
        <v>8.0087694127256684E-5</v>
      </c>
      <c r="U158" s="163">
        <v>320</v>
      </c>
      <c r="V158" s="163">
        <v>43</v>
      </c>
      <c r="W158" s="163">
        <v>277</v>
      </c>
      <c r="X158" s="163">
        <v>267</v>
      </c>
      <c r="Y158" s="163">
        <v>285</v>
      </c>
      <c r="Z158" s="164">
        <f t="shared" si="139"/>
        <v>6.7415730337078594E-2</v>
      </c>
      <c r="AA158" s="165">
        <f t="shared" si="132"/>
        <v>-0.109375</v>
      </c>
      <c r="AB158" s="164">
        <f t="shared" si="140"/>
        <v>8.9117530074821202E-5</v>
      </c>
    </row>
    <row r="159" spans="1:28" x14ac:dyDescent="0.25">
      <c r="A159" s="56"/>
      <c r="B159" s="162" t="s">
        <v>131</v>
      </c>
      <c r="C159" s="163">
        <v>119</v>
      </c>
      <c r="D159" s="163">
        <v>56</v>
      </c>
      <c r="E159" s="163">
        <v>34</v>
      </c>
      <c r="F159" s="163">
        <v>65</v>
      </c>
      <c r="G159" s="163">
        <v>54</v>
      </c>
      <c r="H159" s="163">
        <v>51</v>
      </c>
      <c r="I159" s="164">
        <f t="shared" si="133"/>
        <v>-5.555555555555558E-2</v>
      </c>
      <c r="J159" s="165">
        <f t="shared" si="134"/>
        <v>-0.5714285714285714</v>
      </c>
      <c r="K159" s="164">
        <f t="shared" si="135"/>
        <v>9.0519903729420039E-5</v>
      </c>
      <c r="L159" s="163">
        <v>457</v>
      </c>
      <c r="M159" s="163">
        <v>221</v>
      </c>
      <c r="N159" s="163">
        <v>45</v>
      </c>
      <c r="O159" s="163">
        <v>338</v>
      </c>
      <c r="P159" s="163">
        <v>486</v>
      </c>
      <c r="Q159" s="163">
        <v>345</v>
      </c>
      <c r="R159" s="164">
        <f t="shared" si="136"/>
        <v>-0.29012345679012341</v>
      </c>
      <c r="S159" s="165">
        <f t="shared" si="137"/>
        <v>-0.24507658643326036</v>
      </c>
      <c r="T159" s="164">
        <f t="shared" si="138"/>
        <v>1.3094907333603581E-4</v>
      </c>
      <c r="U159" s="163">
        <v>576</v>
      </c>
      <c r="V159" s="163">
        <v>79</v>
      </c>
      <c r="W159" s="163">
        <v>403</v>
      </c>
      <c r="X159" s="163">
        <v>540</v>
      </c>
      <c r="Y159" s="163">
        <v>396</v>
      </c>
      <c r="Z159" s="164">
        <f t="shared" si="139"/>
        <v>-0.26666666666666672</v>
      </c>
      <c r="AA159" s="165">
        <f t="shared" si="132"/>
        <v>-0.3125</v>
      </c>
      <c r="AB159" s="164">
        <f t="shared" si="140"/>
        <v>1.2382646284080421E-4</v>
      </c>
    </row>
    <row r="160" spans="1:28" x14ac:dyDescent="0.25">
      <c r="A160" s="56"/>
      <c r="B160" s="168" t="s">
        <v>145</v>
      </c>
      <c r="C160" s="169">
        <f t="shared" ref="C160:H160" si="141">C152-SUM(C153:C159)</f>
        <v>3281</v>
      </c>
      <c r="D160" s="169">
        <f t="shared" si="141"/>
        <v>999</v>
      </c>
      <c r="E160" s="169">
        <f t="shared" si="141"/>
        <v>1610</v>
      </c>
      <c r="F160" s="169">
        <f t="shared" si="141"/>
        <v>3500</v>
      </c>
      <c r="G160" s="169">
        <f t="shared" si="141"/>
        <v>3376</v>
      </c>
      <c r="H160" s="169">
        <f t="shared" si="141"/>
        <v>5481</v>
      </c>
      <c r="I160" s="170">
        <f t="shared" si="133"/>
        <v>0.62351895734597163</v>
      </c>
      <c r="J160" s="171">
        <f t="shared" si="134"/>
        <v>0.67052727826882053</v>
      </c>
      <c r="K160" s="170">
        <f t="shared" si="135"/>
        <v>9.7282273008029649E-3</v>
      </c>
      <c r="L160" s="169">
        <f t="shared" ref="L160:Q160" si="142">L152-SUM(L153:L159)</f>
        <v>7189</v>
      </c>
      <c r="M160" s="169">
        <f t="shared" si="142"/>
        <v>2624</v>
      </c>
      <c r="N160" s="169">
        <f t="shared" si="142"/>
        <v>3818</v>
      </c>
      <c r="O160" s="169">
        <f t="shared" si="142"/>
        <v>3496</v>
      </c>
      <c r="P160" s="169">
        <f t="shared" si="142"/>
        <v>5139</v>
      </c>
      <c r="Q160" s="169">
        <f t="shared" si="142"/>
        <v>6211</v>
      </c>
      <c r="R160" s="170">
        <f t="shared" si="136"/>
        <v>0.20860089511578117</v>
      </c>
      <c r="S160" s="171">
        <f t="shared" si="137"/>
        <v>-0.13604117401585758</v>
      </c>
      <c r="T160" s="170">
        <f t="shared" si="138"/>
        <v>2.3574628825800536E-3</v>
      </c>
      <c r="U160" s="169">
        <f>U152-SUM(U153:U159)</f>
        <v>10470</v>
      </c>
      <c r="V160" s="169">
        <f>V152-SUM(V153:V159)</f>
        <v>5428</v>
      </c>
      <c r="W160" s="169">
        <f>W152-SUM(W153:W159)</f>
        <v>6996</v>
      </c>
      <c r="X160" s="169">
        <f>X152-SUM(X153:X159)</f>
        <v>8515</v>
      </c>
      <c r="Y160" s="169">
        <f>Y152-SUM(Y153:Y159)</f>
        <v>11692</v>
      </c>
      <c r="Z160" s="170">
        <f t="shared" si="139"/>
        <v>0.37310628302994719</v>
      </c>
      <c r="AA160" s="171">
        <f t="shared" si="132"/>
        <v>0.11671442215854833</v>
      </c>
      <c r="AB160" s="170">
        <f t="shared" si="140"/>
        <v>3.6560075846835422E-3</v>
      </c>
    </row>
    <row r="161" spans="1:28" ht="6" customHeight="1" x14ac:dyDescent="0.25">
      <c r="A161" s="56"/>
      <c r="C161" s="79"/>
      <c r="D161" s="79"/>
      <c r="E161" s="79"/>
      <c r="F161" s="79"/>
      <c r="G161" s="79"/>
      <c r="H161" s="79"/>
      <c r="I161" s="79"/>
      <c r="L161" s="79"/>
      <c r="M161" s="79"/>
      <c r="N161" s="79"/>
      <c r="O161" s="79"/>
      <c r="P161" s="79"/>
      <c r="Q161" s="79"/>
      <c r="R161" s="79"/>
      <c r="U161" s="79"/>
      <c r="V161" s="79"/>
      <c r="W161" s="79"/>
      <c r="X161" s="79"/>
      <c r="Y161" s="79"/>
      <c r="Z161" s="79"/>
    </row>
    <row r="162" spans="1:28" ht="6" customHeight="1" x14ac:dyDescent="0.25">
      <c r="A162" s="56"/>
      <c r="B162" s="125"/>
      <c r="C162" s="125"/>
      <c r="D162" s="125"/>
      <c r="E162" s="125"/>
      <c r="F162" s="125"/>
      <c r="G162" s="125"/>
      <c r="H162" s="125"/>
      <c r="I162" s="125"/>
      <c r="J162" s="125"/>
      <c r="K162" s="125"/>
      <c r="L162" s="125"/>
      <c r="M162" s="125"/>
      <c r="N162" s="125"/>
      <c r="O162" s="125"/>
      <c r="P162" s="125"/>
      <c r="Q162" s="125"/>
      <c r="R162" s="125"/>
      <c r="S162" s="125"/>
      <c r="T162" s="125"/>
      <c r="U162" s="125"/>
      <c r="V162" s="125"/>
      <c r="W162" s="125"/>
      <c r="X162" s="125"/>
      <c r="Y162" s="125"/>
      <c r="Z162" s="125"/>
      <c r="AA162" s="125"/>
      <c r="AB162" s="125"/>
    </row>
    <row r="163" spans="1:28" x14ac:dyDescent="0.25">
      <c r="B163" s="105" t="s">
        <v>55</v>
      </c>
      <c r="C163" s="105"/>
      <c r="D163" s="105"/>
      <c r="E163" s="105"/>
      <c r="F163" s="105"/>
      <c r="G163" s="105"/>
      <c r="H163" s="105"/>
      <c r="I163" s="105"/>
      <c r="J163" s="105"/>
      <c r="K163" s="105"/>
      <c r="L163" s="105"/>
      <c r="M163" s="105"/>
      <c r="N163" s="105"/>
      <c r="O163" s="105"/>
      <c r="P163" s="105"/>
      <c r="Q163" s="105"/>
      <c r="R163" s="105"/>
      <c r="S163" s="105"/>
      <c r="T163" s="105"/>
      <c r="U163" s="105"/>
      <c r="V163" s="105"/>
      <c r="W163" s="105"/>
      <c r="X163" s="105"/>
      <c r="Y163" s="105"/>
      <c r="Z163" s="105"/>
      <c r="AA163" s="105"/>
      <c r="AB163" s="105"/>
    </row>
  </sheetData>
  <mergeCells count="3">
    <mergeCell ref="C5:K5"/>
    <mergeCell ref="L5:T5"/>
    <mergeCell ref="U5:AB5"/>
  </mergeCells>
  <pageMargins left="0.25" right="0.25" top="0.75" bottom="0.75" header="0.3" footer="0.3"/>
  <pageSetup paperSize="9" scale="20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7AAF9D-2A8A-438B-B4E8-EC36741EE6A4}">
  <sheetPr>
    <tabColor theme="7" tint="0.79998168889431442"/>
    <pageSetUpPr fitToPage="1"/>
  </sheetPr>
  <dimension ref="A1:Z164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26" width="10.5703125" customWidth="1"/>
  </cols>
  <sheetData>
    <row r="1" spans="1:26" ht="42.75" customHeight="1" x14ac:dyDescent="0.25"/>
    <row r="4" spans="1:26" ht="42" customHeight="1" thickBot="1" x14ac:dyDescent="0.3">
      <c r="B4" s="62" t="str">
        <f>CONCATENATE("Viajeros entrados en los establecimientos hoteleros de Tenerife según lugar de residencia, categoría y municipio del alojamiento")</f>
        <v>Viajeros entrados en los establecimientos hoteleros de Tenerife según lugar de residencia, categoría y municipio del alojamiento</v>
      </c>
      <c r="C4" s="142"/>
      <c r="D4" s="142"/>
      <c r="E4" s="142"/>
      <c r="F4" s="142"/>
      <c r="G4" s="142"/>
      <c r="H4" s="142"/>
      <c r="I4" s="142"/>
      <c r="J4" s="142"/>
      <c r="K4" s="142"/>
      <c r="L4" s="142"/>
      <c r="M4" s="142"/>
      <c r="N4" s="142"/>
      <c r="O4" s="142"/>
      <c r="P4" s="142"/>
      <c r="Q4" s="142"/>
      <c r="R4" s="142"/>
      <c r="S4" s="142"/>
      <c r="T4" s="142"/>
      <c r="U4" s="142"/>
      <c r="V4" s="142"/>
      <c r="W4" s="142"/>
      <c r="X4" s="142"/>
      <c r="Y4" s="142"/>
      <c r="Z4" s="142"/>
    </row>
    <row r="5" spans="1:26" ht="6" customHeight="1" x14ac:dyDescent="0.25"/>
    <row r="6" spans="1:26" ht="15.75" x14ac:dyDescent="0.25">
      <c r="B6" s="181"/>
      <c r="C6" s="302" t="s">
        <v>62</v>
      </c>
      <c r="D6" s="303"/>
      <c r="E6" s="303"/>
      <c r="F6" s="303"/>
      <c r="G6" s="303"/>
      <c r="H6" s="303"/>
      <c r="I6" s="303"/>
      <c r="J6" s="303"/>
      <c r="K6" s="302" t="s">
        <v>61</v>
      </c>
      <c r="L6" s="303"/>
      <c r="M6" s="303"/>
      <c r="N6" s="303"/>
      <c r="O6" s="303"/>
      <c r="P6" s="303"/>
      <c r="Q6" s="303"/>
      <c r="R6" s="303"/>
      <c r="S6" s="302" t="s">
        <v>137</v>
      </c>
      <c r="T6" s="303"/>
      <c r="U6" s="303"/>
      <c r="V6" s="303"/>
      <c r="W6" s="303"/>
      <c r="X6" s="303"/>
      <c r="Y6" s="303"/>
      <c r="Z6" s="303"/>
    </row>
    <row r="7" spans="1:26" s="144" customFormat="1" ht="72" customHeight="1" x14ac:dyDescent="0.25">
      <c r="B7" s="145"/>
      <c r="C7" s="182">
        <f>D7-1</f>
        <v>2019</v>
      </c>
      <c r="D7" s="182">
        <f>E7-1</f>
        <v>2020</v>
      </c>
      <c r="E7" s="182">
        <f>F7-1</f>
        <v>2021</v>
      </c>
      <c r="F7" s="182">
        <f>G7-1</f>
        <v>2022</v>
      </c>
      <c r="G7" s="182">
        <v>2023</v>
      </c>
      <c r="H7" s="173" t="str">
        <f>CONCATENATE("var. ",RIGHT(G7,2),"/",RIGHT(F7,2))</f>
        <v>var. 23/22</v>
      </c>
      <c r="I7" s="173" t="str">
        <f>CONCATENATE("var. ",RIGHT(G7,2),"/",RIGHT(C7,2))</f>
        <v>var. 23/19</v>
      </c>
      <c r="J7" s="173" t="str">
        <f>CONCATENATE("Cuota s/ total lugares de residencia ",RIGHT(G7,4))</f>
        <v>Cuota s/ total lugares de residencia 2023</v>
      </c>
      <c r="K7" s="182">
        <f>L7-1</f>
        <v>2019</v>
      </c>
      <c r="L7" s="182">
        <f>M7-1</f>
        <v>2020</v>
      </c>
      <c r="M7" s="182">
        <f>N7-1</f>
        <v>2021</v>
      </c>
      <c r="N7" s="182">
        <f>O7-1</f>
        <v>2022</v>
      </c>
      <c r="O7" s="182">
        <v>2023</v>
      </c>
      <c r="P7" s="173" t="str">
        <f>CONCATENATE("var. ",RIGHT(O7,2),"/",RIGHT(N7,2))</f>
        <v>var. 23/22</v>
      </c>
      <c r="Q7" s="173" t="str">
        <f>CONCATENATE("var. ",RIGHT(O7,2),"/",RIGHT(K7,2))</f>
        <v>var. 23/19</v>
      </c>
      <c r="R7" s="173" t="str">
        <f>CONCATENATE("Cuota s/ total lugares de residencia ",RIGHT(O7,4))</f>
        <v>Cuota s/ total lugares de residencia 2023</v>
      </c>
      <c r="S7" s="182">
        <f>T7-1</f>
        <v>2019</v>
      </c>
      <c r="T7" s="182">
        <f>U7-1</f>
        <v>2020</v>
      </c>
      <c r="U7" s="182">
        <f>V7-1</f>
        <v>2021</v>
      </c>
      <c r="V7" s="182">
        <f>W7-1</f>
        <v>2022</v>
      </c>
      <c r="W7" s="182">
        <v>2023</v>
      </c>
      <c r="X7" s="173" t="str">
        <f>CONCATENATE("var. ",RIGHT(W7,2),"/",RIGHT(V7,2))</f>
        <v>var. 23/22</v>
      </c>
      <c r="Y7" s="173" t="str">
        <f>CONCATENATE("var. ",RIGHT(W7,2),"/",RIGHT(S7,2))</f>
        <v>var. 23/19</v>
      </c>
      <c r="Z7" s="173" t="str">
        <f>CONCATENATE("Cuota s/ total lugares de residencia ",RIGHT(U7,4))</f>
        <v>Cuota s/ total lugares de residencia 2021</v>
      </c>
    </row>
    <row r="8" spans="1:26" x14ac:dyDescent="0.25">
      <c r="A8" s="1"/>
      <c r="B8" s="150" t="s">
        <v>43</v>
      </c>
      <c r="C8" s="151"/>
      <c r="D8" s="151"/>
      <c r="E8" s="151"/>
      <c r="F8" s="151"/>
      <c r="G8" s="151"/>
      <c r="H8" s="151"/>
      <c r="I8" s="151"/>
      <c r="J8" s="151"/>
      <c r="K8" s="151"/>
      <c r="L8" s="151"/>
      <c r="M8" s="151"/>
      <c r="N8" s="151"/>
      <c r="O8" s="151"/>
      <c r="P8" s="151"/>
      <c r="Q8" s="151"/>
      <c r="R8" s="151"/>
      <c r="S8" s="151"/>
      <c r="T8" s="151"/>
      <c r="U8" s="151"/>
      <c r="V8" s="151"/>
      <c r="W8" s="151"/>
      <c r="X8" s="151"/>
      <c r="Y8" s="151"/>
      <c r="Z8" s="151"/>
    </row>
    <row r="9" spans="1:26" x14ac:dyDescent="0.25">
      <c r="A9" s="1" t="s">
        <v>0</v>
      </c>
      <c r="B9" s="154" t="s">
        <v>68</v>
      </c>
      <c r="C9" s="176">
        <f>C10+C13</f>
        <v>742048</v>
      </c>
      <c r="D9" s="176">
        <f>D10+D13</f>
        <v>244233</v>
      </c>
      <c r="E9" s="176">
        <f>E10+E13</f>
        <v>332855</v>
      </c>
      <c r="F9" s="176">
        <f>F10+F13</f>
        <v>672483</v>
      </c>
      <c r="G9" s="176">
        <f>G10+G13</f>
        <v>738404</v>
      </c>
      <c r="H9" s="177">
        <f>IFERROR(G9/F9-1,"-")</f>
        <v>9.8026269809050826E-2</v>
      </c>
      <c r="I9" s="177">
        <f>IFERROR(G9/C9-1,"-")</f>
        <v>-4.9107335374530825E-3</v>
      </c>
      <c r="J9" s="177">
        <f>G9/G$9</f>
        <v>1</v>
      </c>
      <c r="K9" s="176">
        <f>K10+K13</f>
        <v>2826140</v>
      </c>
      <c r="L9" s="176">
        <f>L10+L13</f>
        <v>956053</v>
      </c>
      <c r="M9" s="176">
        <f>M10+M13</f>
        <v>1525176</v>
      </c>
      <c r="N9" s="176">
        <f>N10+N13</f>
        <v>3104390</v>
      </c>
      <c r="O9" s="176">
        <f>O10+O13</f>
        <v>3350154</v>
      </c>
      <c r="P9" s="177">
        <f>IFERROR(O9/N9-1,"-")</f>
        <v>7.9166599557400907E-2</v>
      </c>
      <c r="Q9" s="177">
        <f>IFERROR(O9/K9-1,"-")</f>
        <v>0.18541685832973598</v>
      </c>
      <c r="R9" s="177">
        <f>O9/O$9</f>
        <v>1</v>
      </c>
      <c r="S9" s="176">
        <f>S10+S13</f>
        <v>3568188</v>
      </c>
      <c r="T9" s="176">
        <f>T10+T13</f>
        <v>1200286</v>
      </c>
      <c r="U9" s="176">
        <f>U10+U13</f>
        <v>1858031</v>
      </c>
      <c r="V9" s="176">
        <f>V10+V13</f>
        <v>3776873</v>
      </c>
      <c r="W9" s="176">
        <f>W10+W13</f>
        <v>4088558</v>
      </c>
      <c r="X9" s="177">
        <f>IFERROR(W9/V9-1,"-")</f>
        <v>8.2524617587088622E-2</v>
      </c>
      <c r="Y9" s="177">
        <f>IFERROR(W9/S9-1,"-")</f>
        <v>0.14583592568552994</v>
      </c>
      <c r="Z9" s="177">
        <f t="shared" ref="Z9:Z21" si="0">U9/U$9</f>
        <v>1</v>
      </c>
    </row>
    <row r="10" spans="1:26" x14ac:dyDescent="0.25">
      <c r="A10" s="1" t="s">
        <v>96</v>
      </c>
      <c r="B10" s="157" t="s">
        <v>97</v>
      </c>
      <c r="C10" s="158">
        <v>188231</v>
      </c>
      <c r="D10" s="158">
        <v>79595</v>
      </c>
      <c r="E10" s="158">
        <v>119848</v>
      </c>
      <c r="F10" s="158">
        <v>173672</v>
      </c>
      <c r="G10" s="158">
        <v>206738</v>
      </c>
      <c r="H10" s="159">
        <f>IFERROR(G10/F10-1,"-")</f>
        <v>0.1903933852319315</v>
      </c>
      <c r="I10" s="160">
        <f t="shared" ref="I10:I73" si="1">IFERROR(G10/C10-1,"-")</f>
        <v>9.8320680440522557E-2</v>
      </c>
      <c r="J10" s="159">
        <f>G10/G$9</f>
        <v>0.27997952340453192</v>
      </c>
      <c r="K10" s="158">
        <v>674588</v>
      </c>
      <c r="L10" s="158">
        <v>297299</v>
      </c>
      <c r="M10" s="158">
        <v>549418</v>
      </c>
      <c r="N10" s="158">
        <v>688398</v>
      </c>
      <c r="O10" s="158">
        <v>674557</v>
      </c>
      <c r="P10" s="159">
        <f>IFERROR(O10/N10-1,"-")</f>
        <v>-2.0106101412264432E-2</v>
      </c>
      <c r="Q10" s="160">
        <f t="shared" ref="Q10:Q21" si="2">IFERROR(O10/K10-1,"-")</f>
        <v>-4.5953974870616143E-5</v>
      </c>
      <c r="R10" s="159">
        <f>O10/O$9</f>
        <v>0.20135104236999254</v>
      </c>
      <c r="S10" s="158">
        <v>862819</v>
      </c>
      <c r="T10" s="158">
        <v>376894</v>
      </c>
      <c r="U10" s="158">
        <v>669266</v>
      </c>
      <c r="V10" s="158">
        <v>862070</v>
      </c>
      <c r="W10" s="158">
        <v>881295</v>
      </c>
      <c r="X10" s="159">
        <f>IFERROR(W10/V10-1,"-")</f>
        <v>2.2300973238832178E-2</v>
      </c>
      <c r="Y10" s="160">
        <f t="shared" ref="Y10:Y21" si="3">IFERROR(W10/S10-1,"-")</f>
        <v>2.1413529372904305E-2</v>
      </c>
      <c r="Z10" s="159">
        <f t="shared" si="0"/>
        <v>0.36020174044458891</v>
      </c>
    </row>
    <row r="11" spans="1:26" x14ac:dyDescent="0.25">
      <c r="A11" s="161" t="s">
        <v>103</v>
      </c>
      <c r="B11" s="162" t="s">
        <v>103</v>
      </c>
      <c r="C11" s="163">
        <v>91591</v>
      </c>
      <c r="D11" s="163">
        <v>38726</v>
      </c>
      <c r="E11" s="163">
        <v>76913</v>
      </c>
      <c r="F11" s="163">
        <v>97401</v>
      </c>
      <c r="G11" s="163">
        <v>116854</v>
      </c>
      <c r="H11" s="164">
        <f>IFERROR(G11/F11-1,"-")</f>
        <v>0.19972074208683699</v>
      </c>
      <c r="I11" s="165">
        <f t="shared" si="1"/>
        <v>0.27582404384710291</v>
      </c>
      <c r="J11" s="164">
        <f>G11/G$9</f>
        <v>0.15825212214451709</v>
      </c>
      <c r="K11" s="163">
        <v>220823</v>
      </c>
      <c r="L11" s="163">
        <v>112436</v>
      </c>
      <c r="M11" s="163">
        <v>248239</v>
      </c>
      <c r="N11" s="163">
        <v>235468</v>
      </c>
      <c r="O11" s="163">
        <v>223216</v>
      </c>
      <c r="P11" s="164">
        <f>IFERROR(O11/N11-1,"-")</f>
        <v>-5.2032547947067131E-2</v>
      </c>
      <c r="Q11" s="165">
        <f t="shared" si="2"/>
        <v>1.083673349243508E-2</v>
      </c>
      <c r="R11" s="164">
        <f>O11/O$9</f>
        <v>6.6628578865329774E-2</v>
      </c>
      <c r="S11" s="163">
        <v>312414</v>
      </c>
      <c r="T11" s="163">
        <v>151162</v>
      </c>
      <c r="U11" s="163">
        <v>325152</v>
      </c>
      <c r="V11" s="163">
        <v>332869</v>
      </c>
      <c r="W11" s="163">
        <v>340070</v>
      </c>
      <c r="X11" s="164">
        <f>IFERROR(W11/V11-1,"-")</f>
        <v>2.1633134956995148E-2</v>
      </c>
      <c r="Y11" s="165">
        <f t="shared" si="3"/>
        <v>8.8523561684175522E-2</v>
      </c>
      <c r="Z11" s="164">
        <f t="shared" si="0"/>
        <v>0.17499815665077709</v>
      </c>
    </row>
    <row r="12" spans="1:26" x14ac:dyDescent="0.25">
      <c r="A12" s="161" t="s">
        <v>100</v>
      </c>
      <c r="B12" s="162" t="s">
        <v>100</v>
      </c>
      <c r="C12" s="163">
        <v>96640</v>
      </c>
      <c r="D12" s="163">
        <v>40869</v>
      </c>
      <c r="E12" s="163">
        <v>42935</v>
      </c>
      <c r="F12" s="163">
        <v>76271</v>
      </c>
      <c r="G12" s="163">
        <v>89884</v>
      </c>
      <c r="H12" s="164">
        <f>IFERROR(G12/F12-1,"-")</f>
        <v>0.17848199184486901</v>
      </c>
      <c r="I12" s="165">
        <f t="shared" si="1"/>
        <v>-6.990894039735096E-2</v>
      </c>
      <c r="J12" s="164">
        <f>G12/G$9</f>
        <v>0.12172740126001484</v>
      </c>
      <c r="K12" s="163">
        <v>453765</v>
      </c>
      <c r="L12" s="163">
        <v>184863</v>
      </c>
      <c r="M12" s="163">
        <v>301179</v>
      </c>
      <c r="N12" s="163">
        <v>452930</v>
      </c>
      <c r="O12" s="163">
        <v>451341</v>
      </c>
      <c r="P12" s="164">
        <f>IFERROR(O12/N12-1,"-")</f>
        <v>-3.5082683858432828E-3</v>
      </c>
      <c r="Q12" s="165">
        <f t="shared" si="2"/>
        <v>-5.3419721662093522E-3</v>
      </c>
      <c r="R12" s="164">
        <f>O12/O$9</f>
        <v>0.13472246350466277</v>
      </c>
      <c r="S12" s="163">
        <v>550405</v>
      </c>
      <c r="T12" s="163">
        <v>225732</v>
      </c>
      <c r="U12" s="163">
        <v>344114</v>
      </c>
      <c r="V12" s="163">
        <v>529201</v>
      </c>
      <c r="W12" s="163">
        <v>541225</v>
      </c>
      <c r="X12" s="164">
        <f>IFERROR(W12/V12-1,"-")</f>
        <v>2.272104550066989E-2</v>
      </c>
      <c r="Y12" s="165">
        <f t="shared" si="3"/>
        <v>-1.6678627556072301E-2</v>
      </c>
      <c r="Z12" s="164">
        <f t="shared" si="0"/>
        <v>0.18520358379381183</v>
      </c>
    </row>
    <row r="13" spans="1:26" x14ac:dyDescent="0.25">
      <c r="A13" s="1" t="s">
        <v>146</v>
      </c>
      <c r="B13" s="157" t="s">
        <v>107</v>
      </c>
      <c r="C13" s="158">
        <v>553817</v>
      </c>
      <c r="D13" s="158">
        <v>164638</v>
      </c>
      <c r="E13" s="158">
        <v>213007</v>
      </c>
      <c r="F13" s="158">
        <v>498811</v>
      </c>
      <c r="G13" s="158">
        <v>531666</v>
      </c>
      <c r="H13" s="159">
        <f>IFERROR(G13/F13-1,"-")</f>
        <v>6.5866630848157026E-2</v>
      </c>
      <c r="I13" s="160">
        <f t="shared" si="1"/>
        <v>-3.999696650698692E-2</v>
      </c>
      <c r="J13" s="159">
        <f>G13/G$9</f>
        <v>0.72002047659546808</v>
      </c>
      <c r="K13" s="158">
        <v>2151552</v>
      </c>
      <c r="L13" s="158">
        <v>658754</v>
      </c>
      <c r="M13" s="158">
        <v>975758</v>
      </c>
      <c r="N13" s="158">
        <v>2415992</v>
      </c>
      <c r="O13" s="158">
        <v>2675597</v>
      </c>
      <c r="P13" s="159">
        <f>IFERROR(O13/N13-1,"-")</f>
        <v>0.10745275646608099</v>
      </c>
      <c r="Q13" s="160">
        <f t="shared" si="2"/>
        <v>0.24356603977036118</v>
      </c>
      <c r="R13" s="159">
        <f>O13/O$9</f>
        <v>0.79864895763000743</v>
      </c>
      <c r="S13" s="158">
        <v>2705369</v>
      </c>
      <c r="T13" s="158">
        <v>823392</v>
      </c>
      <c r="U13" s="158">
        <v>1188765</v>
      </c>
      <c r="V13" s="158">
        <v>2914803</v>
      </c>
      <c r="W13" s="158">
        <v>3207263</v>
      </c>
      <c r="X13" s="159">
        <f>IFERROR(W13/V13-1,"-")</f>
        <v>0.10033611190876357</v>
      </c>
      <c r="Y13" s="160">
        <f t="shared" si="3"/>
        <v>0.18551776116307983</v>
      </c>
      <c r="Z13" s="159">
        <f t="shared" si="0"/>
        <v>0.63979825955541103</v>
      </c>
    </row>
    <row r="14" spans="1:26" x14ac:dyDescent="0.25">
      <c r="A14" s="161" t="s">
        <v>110</v>
      </c>
      <c r="B14" s="162" t="s">
        <v>110</v>
      </c>
      <c r="C14" s="163">
        <v>196809</v>
      </c>
      <c r="D14" s="163">
        <v>55984</v>
      </c>
      <c r="E14" s="163">
        <v>51463</v>
      </c>
      <c r="F14" s="163">
        <v>185404</v>
      </c>
      <c r="G14" s="163">
        <v>205688</v>
      </c>
      <c r="H14" s="164">
        <f t="shared" ref="H14:H21" si="4">IFERROR(G14/F14-1,"-")</f>
        <v>0.1094043278462169</v>
      </c>
      <c r="I14" s="165">
        <f t="shared" si="1"/>
        <v>4.5114806741561653E-2</v>
      </c>
      <c r="J14" s="164">
        <f t="shared" ref="J14:J21" si="5">G14/G$9</f>
        <v>0.27855753760813862</v>
      </c>
      <c r="K14" s="163">
        <v>957287</v>
      </c>
      <c r="L14" s="163">
        <v>260474</v>
      </c>
      <c r="M14" s="163">
        <v>284717</v>
      </c>
      <c r="N14" s="163">
        <v>1132692</v>
      </c>
      <c r="O14" s="163">
        <v>1254072</v>
      </c>
      <c r="P14" s="164">
        <f t="shared" ref="P14:P21" si="6">IFERROR(O14/N14-1,"-")</f>
        <v>0.10716064031528427</v>
      </c>
      <c r="Q14" s="165">
        <f t="shared" si="2"/>
        <v>0.31002719142744017</v>
      </c>
      <c r="R14" s="164">
        <f t="shared" ref="R14:R21" si="7">O14/O$9</f>
        <v>0.37433264261881694</v>
      </c>
      <c r="S14" s="163">
        <v>1154096</v>
      </c>
      <c r="T14" s="163">
        <v>316458</v>
      </c>
      <c r="U14" s="163">
        <v>336180</v>
      </c>
      <c r="V14" s="163">
        <v>1318096</v>
      </c>
      <c r="W14" s="163">
        <v>1459760</v>
      </c>
      <c r="X14" s="164">
        <f t="shared" ref="X14:X21" si="8">IFERROR(W14/V14-1,"-")</f>
        <v>0.10747623845304144</v>
      </c>
      <c r="Y14" s="165">
        <f t="shared" si="3"/>
        <v>0.26485145083251305</v>
      </c>
      <c r="Z14" s="164">
        <f t="shared" si="0"/>
        <v>0.18093347204648361</v>
      </c>
    </row>
    <row r="15" spans="1:26" x14ac:dyDescent="0.25">
      <c r="A15" s="161" t="s">
        <v>113</v>
      </c>
      <c r="B15" s="162" t="s">
        <v>113</v>
      </c>
      <c r="C15" s="163">
        <v>82343</v>
      </c>
      <c r="D15" s="163">
        <v>24167</v>
      </c>
      <c r="E15" s="163">
        <v>38221</v>
      </c>
      <c r="F15" s="163">
        <v>64721</v>
      </c>
      <c r="G15" s="163">
        <v>72627</v>
      </c>
      <c r="H15" s="164">
        <f t="shared" si="4"/>
        <v>0.12215509649109246</v>
      </c>
      <c r="I15" s="165">
        <f t="shared" si="1"/>
        <v>-0.11799424359083344</v>
      </c>
      <c r="J15" s="164">
        <f t="shared" si="5"/>
        <v>9.8356726128244157E-2</v>
      </c>
      <c r="K15" s="163">
        <v>333618</v>
      </c>
      <c r="L15" s="163">
        <v>92917</v>
      </c>
      <c r="M15" s="163">
        <v>156330</v>
      </c>
      <c r="N15" s="163">
        <v>274306</v>
      </c>
      <c r="O15" s="163">
        <v>309168</v>
      </c>
      <c r="P15" s="164">
        <f t="shared" si="6"/>
        <v>0.12709164218063029</v>
      </c>
      <c r="Q15" s="165">
        <f t="shared" si="2"/>
        <v>-7.3287412549682518E-2</v>
      </c>
      <c r="R15" s="164">
        <f t="shared" si="7"/>
        <v>9.228471288185558E-2</v>
      </c>
      <c r="S15" s="163">
        <v>415961</v>
      </c>
      <c r="T15" s="163">
        <v>117084</v>
      </c>
      <c r="U15" s="163">
        <v>194551</v>
      </c>
      <c r="V15" s="163">
        <v>339027</v>
      </c>
      <c r="W15" s="163">
        <v>381795</v>
      </c>
      <c r="X15" s="164">
        <f t="shared" si="8"/>
        <v>0.126149244750418</v>
      </c>
      <c r="Y15" s="165">
        <f t="shared" si="3"/>
        <v>-8.213750808369058E-2</v>
      </c>
      <c r="Z15" s="164">
        <f t="shared" si="0"/>
        <v>0.10470815610719089</v>
      </c>
    </row>
    <row r="16" spans="1:26" x14ac:dyDescent="0.25">
      <c r="A16" s="161" t="s">
        <v>116</v>
      </c>
      <c r="B16" s="162" t="s">
        <v>116</v>
      </c>
      <c r="C16" s="163">
        <v>31220</v>
      </c>
      <c r="D16" s="163">
        <v>11046</v>
      </c>
      <c r="E16" s="163">
        <v>21498</v>
      </c>
      <c r="F16" s="163">
        <v>31998</v>
      </c>
      <c r="G16" s="163">
        <v>34482</v>
      </c>
      <c r="H16" s="164">
        <f t="shared" si="4"/>
        <v>7.7629851865741673E-2</v>
      </c>
      <c r="I16" s="165">
        <f t="shared" si="1"/>
        <v>0.10448430493273553</v>
      </c>
      <c r="J16" s="164">
        <f t="shared" si="5"/>
        <v>4.6698013553556045E-2</v>
      </c>
      <c r="K16" s="163">
        <v>107850</v>
      </c>
      <c r="L16" s="163">
        <v>37740</v>
      </c>
      <c r="M16" s="163">
        <v>83736</v>
      </c>
      <c r="N16" s="163">
        <v>134432</v>
      </c>
      <c r="O16" s="163">
        <v>142823</v>
      </c>
      <c r="P16" s="164">
        <f t="shared" si="6"/>
        <v>6.2418174244227576E-2</v>
      </c>
      <c r="Q16" s="165">
        <f t="shared" si="2"/>
        <v>0.32427445526193788</v>
      </c>
      <c r="R16" s="164">
        <f t="shared" si="7"/>
        <v>4.2631771554382275E-2</v>
      </c>
      <c r="S16" s="163">
        <v>139070</v>
      </c>
      <c r="T16" s="163">
        <v>48786</v>
      </c>
      <c r="U16" s="163">
        <v>105234</v>
      </c>
      <c r="V16" s="163">
        <v>166430</v>
      </c>
      <c r="W16" s="163">
        <v>177305</v>
      </c>
      <c r="X16" s="164">
        <f t="shared" si="8"/>
        <v>6.5342786757195181E-2</v>
      </c>
      <c r="Y16" s="165">
        <f t="shared" si="3"/>
        <v>0.27493348673329976</v>
      </c>
      <c r="Z16" s="164">
        <f t="shared" si="0"/>
        <v>5.6637375802664217E-2</v>
      </c>
    </row>
    <row r="17" spans="1:26" x14ac:dyDescent="0.25">
      <c r="A17" s="161" t="s">
        <v>123</v>
      </c>
      <c r="B17" s="162" t="s">
        <v>123</v>
      </c>
      <c r="C17" s="163">
        <v>15420</v>
      </c>
      <c r="D17" s="163">
        <v>4317</v>
      </c>
      <c r="E17" s="163">
        <v>10076</v>
      </c>
      <c r="F17" s="163">
        <v>19335</v>
      </c>
      <c r="G17" s="163">
        <v>14809</v>
      </c>
      <c r="H17" s="164">
        <f t="shared" si="4"/>
        <v>-0.23408326868373419</v>
      </c>
      <c r="I17" s="165">
        <f t="shared" si="1"/>
        <v>-3.9623865110246403E-2</v>
      </c>
      <c r="J17" s="164">
        <f t="shared" si="5"/>
        <v>2.0055416817893728E-2</v>
      </c>
      <c r="K17" s="163">
        <v>76338</v>
      </c>
      <c r="L17" s="163">
        <v>23237</v>
      </c>
      <c r="M17" s="163">
        <v>56946</v>
      </c>
      <c r="N17" s="163">
        <v>104116</v>
      </c>
      <c r="O17" s="163">
        <v>102844</v>
      </c>
      <c r="P17" s="164">
        <f t="shared" si="6"/>
        <v>-1.2217142418072147E-2</v>
      </c>
      <c r="Q17" s="165">
        <f t="shared" si="2"/>
        <v>0.34721894731326475</v>
      </c>
      <c r="R17" s="164">
        <f t="shared" si="7"/>
        <v>3.0698290287550962E-2</v>
      </c>
      <c r="S17" s="163">
        <v>91758</v>
      </c>
      <c r="T17" s="163">
        <v>27554</v>
      </c>
      <c r="U17" s="163">
        <v>67022</v>
      </c>
      <c r="V17" s="163">
        <v>123451</v>
      </c>
      <c r="W17" s="163">
        <v>117653</v>
      </c>
      <c r="X17" s="164">
        <f t="shared" si="8"/>
        <v>-4.6966002705526866E-2</v>
      </c>
      <c r="Y17" s="165">
        <f t="shared" si="3"/>
        <v>0.28220972558251045</v>
      </c>
      <c r="Z17" s="164">
        <f t="shared" si="0"/>
        <v>3.6071518720624147E-2</v>
      </c>
    </row>
    <row r="18" spans="1:26" x14ac:dyDescent="0.25">
      <c r="A18" s="161" t="s">
        <v>119</v>
      </c>
      <c r="B18" s="162" t="s">
        <v>119</v>
      </c>
      <c r="C18" s="163">
        <v>12290</v>
      </c>
      <c r="D18" s="163">
        <v>5016</v>
      </c>
      <c r="E18" s="163">
        <v>6294</v>
      </c>
      <c r="F18" s="163">
        <v>10411</v>
      </c>
      <c r="G18" s="163">
        <v>10569</v>
      </c>
      <c r="H18" s="164">
        <f t="shared" si="4"/>
        <v>1.5176255883200485E-2</v>
      </c>
      <c r="I18" s="165">
        <f t="shared" si="1"/>
        <v>-0.14003254678600485</v>
      </c>
      <c r="J18" s="164">
        <f t="shared" si="5"/>
        <v>1.4313302744838869E-2</v>
      </c>
      <c r="K18" s="163">
        <v>106564</v>
      </c>
      <c r="L18" s="163">
        <v>43640</v>
      </c>
      <c r="M18" s="163">
        <v>77431</v>
      </c>
      <c r="N18" s="163">
        <v>120097</v>
      </c>
      <c r="O18" s="163">
        <v>123841</v>
      </c>
      <c r="P18" s="164">
        <f t="shared" si="6"/>
        <v>3.1174800369701217E-2</v>
      </c>
      <c r="Q18" s="165">
        <f t="shared" si="2"/>
        <v>0.16212792312600888</v>
      </c>
      <c r="R18" s="164">
        <f t="shared" si="7"/>
        <v>3.6965763364907998E-2</v>
      </c>
      <c r="S18" s="163">
        <v>118854</v>
      </c>
      <c r="T18" s="163">
        <v>48656</v>
      </c>
      <c r="U18" s="163">
        <v>83725</v>
      </c>
      <c r="V18" s="163">
        <v>130508</v>
      </c>
      <c r="W18" s="163">
        <v>134410</v>
      </c>
      <c r="X18" s="164">
        <f t="shared" si="8"/>
        <v>2.9898550280442526E-2</v>
      </c>
      <c r="Y18" s="165">
        <f t="shared" si="3"/>
        <v>0.13088326854796639</v>
      </c>
      <c r="Z18" s="164">
        <f t="shared" si="0"/>
        <v>4.5061142682764711E-2</v>
      </c>
    </row>
    <row r="19" spans="1:26" x14ac:dyDescent="0.25">
      <c r="A19" s="161" t="s">
        <v>128</v>
      </c>
      <c r="B19" s="162" t="s">
        <v>128</v>
      </c>
      <c r="C19" s="163">
        <v>12396</v>
      </c>
      <c r="D19" s="163">
        <v>3325</v>
      </c>
      <c r="E19" s="163">
        <v>2149</v>
      </c>
      <c r="F19" s="163">
        <v>5595</v>
      </c>
      <c r="G19" s="163">
        <v>6021</v>
      </c>
      <c r="H19" s="164">
        <f t="shared" si="4"/>
        <v>7.6139410187667567E-2</v>
      </c>
      <c r="I19" s="165">
        <f t="shared" si="1"/>
        <v>-0.51427879961277834</v>
      </c>
      <c r="J19" s="164">
        <f t="shared" si="5"/>
        <v>8.154072838175307E-3</v>
      </c>
      <c r="K19" s="163">
        <v>32067</v>
      </c>
      <c r="L19" s="163">
        <v>14961</v>
      </c>
      <c r="M19" s="163">
        <v>12822</v>
      </c>
      <c r="N19" s="163">
        <v>35340</v>
      </c>
      <c r="O19" s="163">
        <v>38436</v>
      </c>
      <c r="P19" s="164">
        <f t="shared" si="6"/>
        <v>8.7606112054329444E-2</v>
      </c>
      <c r="Q19" s="165">
        <f t="shared" si="2"/>
        <v>0.19861539900832637</v>
      </c>
      <c r="R19" s="164">
        <f t="shared" si="7"/>
        <v>1.147290542464615E-2</v>
      </c>
      <c r="S19" s="163">
        <v>44463</v>
      </c>
      <c r="T19" s="163">
        <v>18286</v>
      </c>
      <c r="U19" s="163">
        <v>14971</v>
      </c>
      <c r="V19" s="163">
        <v>40935</v>
      </c>
      <c r="W19" s="163">
        <v>44457</v>
      </c>
      <c r="X19" s="164">
        <f t="shared" si="8"/>
        <v>8.6038842066691101E-2</v>
      </c>
      <c r="Y19" s="165">
        <f t="shared" si="3"/>
        <v>-1.3494366102151378E-4</v>
      </c>
      <c r="Z19" s="164">
        <f t="shared" si="0"/>
        <v>8.0574543697064255E-3</v>
      </c>
    </row>
    <row r="20" spans="1:26" x14ac:dyDescent="0.25">
      <c r="A20" s="161" t="s">
        <v>131</v>
      </c>
      <c r="B20" s="162" t="s">
        <v>131</v>
      </c>
      <c r="C20" s="163">
        <v>10950</v>
      </c>
      <c r="D20" s="163">
        <v>3428</v>
      </c>
      <c r="E20" s="163">
        <v>1763</v>
      </c>
      <c r="F20" s="163">
        <v>3453</v>
      </c>
      <c r="G20" s="163">
        <v>4406</v>
      </c>
      <c r="H20" s="164">
        <f t="shared" si="4"/>
        <v>0.27599189110918032</v>
      </c>
      <c r="I20" s="165">
        <f t="shared" si="1"/>
        <v>-0.59762557077625567</v>
      </c>
      <c r="J20" s="164">
        <f t="shared" si="5"/>
        <v>5.9669232561037049E-3</v>
      </c>
      <c r="K20" s="163">
        <v>49151</v>
      </c>
      <c r="L20" s="163">
        <v>22112</v>
      </c>
      <c r="M20" s="163">
        <v>10721</v>
      </c>
      <c r="N20" s="163">
        <v>31821</v>
      </c>
      <c r="O20" s="163">
        <v>40312</v>
      </c>
      <c r="P20" s="164">
        <f t="shared" si="6"/>
        <v>0.26683636592187554</v>
      </c>
      <c r="Q20" s="165">
        <f t="shared" si="2"/>
        <v>-0.17983357408801448</v>
      </c>
      <c r="R20" s="164">
        <f t="shared" si="7"/>
        <v>1.2032879682545936E-2</v>
      </c>
      <c r="S20" s="163">
        <v>60101</v>
      </c>
      <c r="T20" s="163">
        <v>25540</v>
      </c>
      <c r="U20" s="163">
        <v>12484</v>
      </c>
      <c r="V20" s="163">
        <v>35274</v>
      </c>
      <c r="W20" s="163">
        <v>44718</v>
      </c>
      <c r="X20" s="164">
        <f t="shared" si="8"/>
        <v>0.26773260758632422</v>
      </c>
      <c r="Y20" s="165">
        <f t="shared" si="3"/>
        <v>-0.25595247999201343</v>
      </c>
      <c r="Z20" s="164">
        <f t="shared" si="0"/>
        <v>6.7189406420022054E-3</v>
      </c>
    </row>
    <row r="21" spans="1:26" x14ac:dyDescent="0.25">
      <c r="A21" s="167" t="s">
        <v>145</v>
      </c>
      <c r="B21" s="168" t="s">
        <v>145</v>
      </c>
      <c r="C21" s="169">
        <f>C13-SUM(C14:C20)</f>
        <v>192389</v>
      </c>
      <c r="D21" s="169">
        <f>D13-SUM(D14:D20)</f>
        <v>57355</v>
      </c>
      <c r="E21" s="169">
        <f>E13-SUM(E14:E20)</f>
        <v>81543</v>
      </c>
      <c r="F21" s="169">
        <f>F13-SUM(F14:F20)</f>
        <v>177894</v>
      </c>
      <c r="G21" s="169">
        <f>G13-SUM(G14:G20)</f>
        <v>183064</v>
      </c>
      <c r="H21" s="170">
        <f t="shared" si="4"/>
        <v>2.9062250553700597E-2</v>
      </c>
      <c r="I21" s="171">
        <f t="shared" si="1"/>
        <v>-4.8469507092401387E-2</v>
      </c>
      <c r="J21" s="170">
        <f t="shared" si="5"/>
        <v>0.24791848364851762</v>
      </c>
      <c r="K21" s="169">
        <f>K13-SUM(K14:K20)</f>
        <v>488677</v>
      </c>
      <c r="L21" s="169">
        <f>L13-SUM(L14:L20)</f>
        <v>163673</v>
      </c>
      <c r="M21" s="169">
        <f>M13-SUM(M14:M20)</f>
        <v>293055</v>
      </c>
      <c r="N21" s="169">
        <f>N13-SUM(N14:N20)</f>
        <v>583188</v>
      </c>
      <c r="O21" s="169">
        <f>O13-SUM(O14:O20)</f>
        <v>664101</v>
      </c>
      <c r="P21" s="170">
        <f t="shared" si="6"/>
        <v>0.13874256671947993</v>
      </c>
      <c r="Q21" s="171">
        <f t="shared" si="2"/>
        <v>0.35897740225138497</v>
      </c>
      <c r="R21" s="170">
        <f t="shared" si="7"/>
        <v>0.19822999181530163</v>
      </c>
      <c r="S21" s="169">
        <f>S13-SUM(S14:S20)</f>
        <v>681066</v>
      </c>
      <c r="T21" s="169">
        <f>T13-SUM(T14:T20)</f>
        <v>221028</v>
      </c>
      <c r="U21" s="169">
        <f>U13-SUM(U14:U20)</f>
        <v>374598</v>
      </c>
      <c r="V21" s="169">
        <f>V13-SUM(V14:V20)</f>
        <v>761082</v>
      </c>
      <c r="W21" s="169">
        <f>W13-SUM(W14:W20)</f>
        <v>847165</v>
      </c>
      <c r="X21" s="170">
        <f t="shared" si="8"/>
        <v>0.11310607792590033</v>
      </c>
      <c r="Y21" s="171">
        <f t="shared" si="3"/>
        <v>0.24388091609330087</v>
      </c>
      <c r="Z21" s="170">
        <f t="shared" si="0"/>
        <v>0.20161019918397485</v>
      </c>
    </row>
    <row r="22" spans="1:26" x14ac:dyDescent="0.25">
      <c r="A22" s="1"/>
      <c r="B22" s="153" t="s">
        <v>44</v>
      </c>
      <c r="C22" s="151"/>
      <c r="D22" s="151"/>
      <c r="E22" s="151"/>
      <c r="F22" s="151"/>
      <c r="G22" s="151"/>
      <c r="H22" s="151"/>
      <c r="I22" s="151"/>
      <c r="J22" s="151"/>
      <c r="K22" s="151"/>
      <c r="L22" s="151"/>
      <c r="M22" s="151"/>
      <c r="N22" s="151"/>
      <c r="O22" s="151"/>
      <c r="P22" s="151"/>
      <c r="Q22" s="151"/>
      <c r="R22" s="151"/>
      <c r="S22" s="151"/>
      <c r="T22" s="151"/>
      <c r="U22" s="151"/>
      <c r="V22" s="151"/>
      <c r="W22" s="151"/>
      <c r="X22" s="151"/>
      <c r="Y22" s="151"/>
      <c r="Z22" s="151"/>
    </row>
    <row r="23" spans="1:26" x14ac:dyDescent="0.25">
      <c r="A23" s="1" t="s">
        <v>0</v>
      </c>
      <c r="B23" s="154" t="s">
        <v>68</v>
      </c>
      <c r="C23" s="176">
        <f>C24+C27</f>
        <v>214232</v>
      </c>
      <c r="D23" s="176">
        <f>D24+D27</f>
        <v>42852</v>
      </c>
      <c r="E23" s="176">
        <f>E24+E27</f>
        <v>64946</v>
      </c>
      <c r="F23" s="176">
        <f>F24+F27</f>
        <v>165265</v>
      </c>
      <c r="G23" s="176">
        <f>G24+G27</f>
        <v>165616</v>
      </c>
      <c r="H23" s="177">
        <f>IFERROR(G23/F23-1,"-")</f>
        <v>2.1238616767009777E-3</v>
      </c>
      <c r="I23" s="177">
        <f t="shared" si="1"/>
        <v>-0.22693155084207772</v>
      </c>
      <c r="J23" s="177">
        <f>G23/G$9</f>
        <v>0.22428914252902205</v>
      </c>
      <c r="K23" s="176">
        <f>K24+K27</f>
        <v>1157120</v>
      </c>
      <c r="L23" s="176">
        <f>L24+L27</f>
        <v>398770</v>
      </c>
      <c r="M23" s="176">
        <f>M24+M27</f>
        <v>687822</v>
      </c>
      <c r="N23" s="176">
        <f>N24+N27</f>
        <v>1325364</v>
      </c>
      <c r="O23" s="176">
        <f>O24+O27</f>
        <v>1377487</v>
      </c>
      <c r="P23" s="177">
        <f>IFERROR(O23/N23-1,"-")</f>
        <v>3.9327309327852555E-2</v>
      </c>
      <c r="Q23" s="177">
        <f t="shared" ref="Q23:Q86" si="9">IFERROR(O23/K23-1,"-")</f>
        <v>0.19044437914822998</v>
      </c>
      <c r="R23" s="177">
        <f>O23/O$9</f>
        <v>0.41117124765010804</v>
      </c>
      <c r="S23" s="176">
        <f>S24+S27</f>
        <v>1371352</v>
      </c>
      <c r="T23" s="176">
        <f>T24+T27</f>
        <v>441622</v>
      </c>
      <c r="U23" s="176">
        <f>U24+U27</f>
        <v>752768</v>
      </c>
      <c r="V23" s="176">
        <f>V24+V27</f>
        <v>1490629</v>
      </c>
      <c r="W23" s="176">
        <f>W24+W27</f>
        <v>1543103</v>
      </c>
      <c r="X23" s="177">
        <f>IFERROR(W23/V23-1,"-")</f>
        <v>3.5202588974184712E-2</v>
      </c>
      <c r="Y23" s="177">
        <f t="shared" ref="Y23:Y86" si="10">IFERROR(W23/S23-1,"-")</f>
        <v>0.12524209685040755</v>
      </c>
      <c r="Z23" s="177">
        <f t="shared" ref="Z23:Z35" si="11">U23/U$9</f>
        <v>0.40514286360130697</v>
      </c>
    </row>
    <row r="24" spans="1:26" x14ac:dyDescent="0.25">
      <c r="A24" s="1" t="s">
        <v>96</v>
      </c>
      <c r="B24" s="157" t="s">
        <v>97</v>
      </c>
      <c r="C24" s="158">
        <v>19551</v>
      </c>
      <c r="D24" s="158">
        <v>2953</v>
      </c>
      <c r="E24" s="158">
        <v>8952</v>
      </c>
      <c r="F24" s="158">
        <v>12689</v>
      </c>
      <c r="G24" s="158">
        <v>11581</v>
      </c>
      <c r="H24" s="159">
        <f>IFERROR(G24/F24-1,"-")</f>
        <v>-8.7319725746709764E-2</v>
      </c>
      <c r="I24" s="160">
        <f t="shared" si="1"/>
        <v>-0.40765178251751832</v>
      </c>
      <c r="J24" s="159">
        <f>G24/G$9</f>
        <v>1.5683826198124605E-2</v>
      </c>
      <c r="K24" s="158">
        <v>163364</v>
      </c>
      <c r="L24" s="158">
        <v>90143</v>
      </c>
      <c r="M24" s="158">
        <v>198275</v>
      </c>
      <c r="N24" s="158">
        <v>161372</v>
      </c>
      <c r="O24" s="158">
        <v>131261</v>
      </c>
      <c r="P24" s="159">
        <f>IFERROR(O24/N24-1,"-")</f>
        <v>-0.18659370894578986</v>
      </c>
      <c r="Q24" s="160">
        <f t="shared" si="9"/>
        <v>-0.19651208344555715</v>
      </c>
      <c r="R24" s="159">
        <f>O24/O$9</f>
        <v>3.9180586922272824E-2</v>
      </c>
      <c r="S24" s="158">
        <v>182915</v>
      </c>
      <c r="T24" s="158">
        <v>93096</v>
      </c>
      <c r="U24" s="158">
        <v>207227</v>
      </c>
      <c r="V24" s="158">
        <v>174061</v>
      </c>
      <c r="W24" s="158">
        <v>142842</v>
      </c>
      <c r="X24" s="159">
        <f>IFERROR(W24/V24-1,"-")</f>
        <v>-0.17935666231953162</v>
      </c>
      <c r="Y24" s="160">
        <f t="shared" si="10"/>
        <v>-0.21907990050023229</v>
      </c>
      <c r="Z24" s="159">
        <f t="shared" si="11"/>
        <v>0.11153043194650682</v>
      </c>
    </row>
    <row r="25" spans="1:26" x14ac:dyDescent="0.25">
      <c r="A25" s="161" t="s">
        <v>103</v>
      </c>
      <c r="B25" s="162" t="s">
        <v>103</v>
      </c>
      <c r="C25" s="163">
        <v>9760</v>
      </c>
      <c r="D25" s="163">
        <v>1786</v>
      </c>
      <c r="E25" s="163">
        <v>4418</v>
      </c>
      <c r="F25" s="163">
        <v>6088</v>
      </c>
      <c r="G25" s="163">
        <v>5359</v>
      </c>
      <c r="H25" s="164">
        <f>IFERROR(G25/F25-1,"-")</f>
        <v>-0.11974375821287775</v>
      </c>
      <c r="I25" s="165">
        <f t="shared" si="1"/>
        <v>-0.45092213114754098</v>
      </c>
      <c r="J25" s="164">
        <f>G25/G$9</f>
        <v>7.2575446503540071E-3</v>
      </c>
      <c r="K25" s="163">
        <v>74469</v>
      </c>
      <c r="L25" s="163">
        <v>45044</v>
      </c>
      <c r="M25" s="163">
        <v>92809</v>
      </c>
      <c r="N25" s="163">
        <v>62381</v>
      </c>
      <c r="O25" s="163">
        <v>49573</v>
      </c>
      <c r="P25" s="164">
        <f>IFERROR(O25/N25-1,"-")</f>
        <v>-0.20531892723746015</v>
      </c>
      <c r="Q25" s="165">
        <f t="shared" si="9"/>
        <v>-0.33431360700425683</v>
      </c>
      <c r="R25" s="164">
        <f>O25/O$9</f>
        <v>1.4797230216879582E-2</v>
      </c>
      <c r="S25" s="163">
        <v>84229</v>
      </c>
      <c r="T25" s="163">
        <v>46830</v>
      </c>
      <c r="U25" s="163">
        <v>97227</v>
      </c>
      <c r="V25" s="163">
        <v>68469</v>
      </c>
      <c r="W25" s="163">
        <v>54932</v>
      </c>
      <c r="X25" s="164">
        <f>IFERROR(W25/V25-1,"-")</f>
        <v>-0.1977099125151528</v>
      </c>
      <c r="Y25" s="165">
        <f t="shared" si="10"/>
        <v>-0.34782557076541332</v>
      </c>
      <c r="Z25" s="164">
        <f t="shared" si="11"/>
        <v>5.2327975152190682E-2</v>
      </c>
    </row>
    <row r="26" spans="1:26" x14ac:dyDescent="0.25">
      <c r="A26" s="161" t="s">
        <v>100</v>
      </c>
      <c r="B26" s="162" t="s">
        <v>100</v>
      </c>
      <c r="C26" s="163">
        <v>9791</v>
      </c>
      <c r="D26" s="163">
        <v>1167</v>
      </c>
      <c r="E26" s="163">
        <v>4534</v>
      </c>
      <c r="F26" s="163">
        <v>6601</v>
      </c>
      <c r="G26" s="163">
        <v>6222</v>
      </c>
      <c r="H26" s="164">
        <f>IFERROR(G26/F26-1,"-")</f>
        <v>-5.7415543099530342E-2</v>
      </c>
      <c r="I26" s="165">
        <f t="shared" si="1"/>
        <v>-0.36451843529772243</v>
      </c>
      <c r="J26" s="164">
        <f>G26/G$9</f>
        <v>8.426281547770597E-3</v>
      </c>
      <c r="K26" s="163">
        <v>88895</v>
      </c>
      <c r="L26" s="163">
        <v>45099</v>
      </c>
      <c r="M26" s="163">
        <v>105466</v>
      </c>
      <c r="N26" s="163">
        <v>98991</v>
      </c>
      <c r="O26" s="163">
        <v>81688</v>
      </c>
      <c r="P26" s="164">
        <f>IFERROR(O26/N26-1,"-")</f>
        <v>-0.17479366811124242</v>
      </c>
      <c r="Q26" s="165">
        <f t="shared" si="9"/>
        <v>-8.1073176219134901E-2</v>
      </c>
      <c r="R26" s="164">
        <f>O26/O$9</f>
        <v>2.4383356705393246E-2</v>
      </c>
      <c r="S26" s="163">
        <v>98686</v>
      </c>
      <c r="T26" s="163">
        <v>46266</v>
      </c>
      <c r="U26" s="163">
        <v>110000</v>
      </c>
      <c r="V26" s="163">
        <v>105592</v>
      </c>
      <c r="W26" s="163">
        <v>87910</v>
      </c>
      <c r="X26" s="164">
        <f>IFERROR(W26/V26-1,"-")</f>
        <v>-0.16745586786877797</v>
      </c>
      <c r="Y26" s="165">
        <f t="shared" si="10"/>
        <v>-0.10919481993393187</v>
      </c>
      <c r="Z26" s="164">
        <f t="shared" si="11"/>
        <v>5.9202456794316134E-2</v>
      </c>
    </row>
    <row r="27" spans="1:26" x14ac:dyDescent="0.25">
      <c r="A27" s="1" t="s">
        <v>146</v>
      </c>
      <c r="B27" s="157" t="s">
        <v>107</v>
      </c>
      <c r="C27" s="158">
        <v>194681</v>
      </c>
      <c r="D27" s="158">
        <v>39899</v>
      </c>
      <c r="E27" s="158">
        <v>55994</v>
      </c>
      <c r="F27" s="158">
        <v>152576</v>
      </c>
      <c r="G27" s="158">
        <v>154035</v>
      </c>
      <c r="H27" s="159">
        <f>IFERROR(G27/F27-1,"-")</f>
        <v>9.5624475671141074E-3</v>
      </c>
      <c r="I27" s="160">
        <f t="shared" si="1"/>
        <v>-0.20878257251606469</v>
      </c>
      <c r="J27" s="159">
        <f>G27/G$9</f>
        <v>0.20860531633089746</v>
      </c>
      <c r="K27" s="158">
        <v>993756</v>
      </c>
      <c r="L27" s="158">
        <v>308627</v>
      </c>
      <c r="M27" s="158">
        <v>489547</v>
      </c>
      <c r="N27" s="158">
        <v>1163992</v>
      </c>
      <c r="O27" s="158">
        <v>1246226</v>
      </c>
      <c r="P27" s="159">
        <f>IFERROR(O27/N27-1,"-")</f>
        <v>7.0648251878019819E-2</v>
      </c>
      <c r="Q27" s="160">
        <f t="shared" si="9"/>
        <v>0.25405632771022257</v>
      </c>
      <c r="R27" s="159">
        <f>O27/O$9</f>
        <v>0.37199066072783521</v>
      </c>
      <c r="S27" s="158">
        <v>1188437</v>
      </c>
      <c r="T27" s="158">
        <v>348526</v>
      </c>
      <c r="U27" s="158">
        <v>545541</v>
      </c>
      <c r="V27" s="158">
        <v>1316568</v>
      </c>
      <c r="W27" s="158">
        <v>1400261</v>
      </c>
      <c r="X27" s="159">
        <f>IFERROR(W27/V27-1,"-")</f>
        <v>6.3569067454168682E-2</v>
      </c>
      <c r="Y27" s="160">
        <f t="shared" si="10"/>
        <v>0.17823746652115346</v>
      </c>
      <c r="Z27" s="159">
        <f t="shared" si="11"/>
        <v>0.29361243165480017</v>
      </c>
    </row>
    <row r="28" spans="1:26" x14ac:dyDescent="0.25">
      <c r="A28" s="161" t="s">
        <v>110</v>
      </c>
      <c r="B28" s="162" t="s">
        <v>110</v>
      </c>
      <c r="C28" s="163">
        <v>79694</v>
      </c>
      <c r="D28" s="163">
        <v>14793</v>
      </c>
      <c r="E28" s="163">
        <v>16270</v>
      </c>
      <c r="F28" s="163">
        <v>66823</v>
      </c>
      <c r="G28" s="163">
        <v>69319</v>
      </c>
      <c r="H28" s="164">
        <f t="shared" ref="H28:H35" si="12">IFERROR(G28/F28-1,"-")</f>
        <v>3.7352408601828646E-2</v>
      </c>
      <c r="I28" s="165">
        <f t="shared" si="1"/>
        <v>-0.13018545938213666</v>
      </c>
      <c r="J28" s="164">
        <f t="shared" ref="J28:J35" si="13">G28/G$9</f>
        <v>9.3876793733511738E-2</v>
      </c>
      <c r="K28" s="163">
        <v>470087</v>
      </c>
      <c r="L28" s="163">
        <v>128801</v>
      </c>
      <c r="M28" s="163">
        <v>159037</v>
      </c>
      <c r="N28" s="163">
        <v>590382</v>
      </c>
      <c r="O28" s="163">
        <v>640574</v>
      </c>
      <c r="P28" s="164">
        <f t="shared" ref="P28:P35" si="14">IFERROR(O28/N28-1,"-")</f>
        <v>8.5016142091052904E-2</v>
      </c>
      <c r="Q28" s="165">
        <f t="shared" si="9"/>
        <v>0.36267116512475361</v>
      </c>
      <c r="R28" s="164">
        <f t="shared" ref="R28:R35" si="15">O28/O$9</f>
        <v>0.19120732957350617</v>
      </c>
      <c r="S28" s="163">
        <v>549781</v>
      </c>
      <c r="T28" s="163">
        <v>143594</v>
      </c>
      <c r="U28" s="163">
        <v>175307</v>
      </c>
      <c r="V28" s="163">
        <v>657205</v>
      </c>
      <c r="W28" s="163">
        <v>709893</v>
      </c>
      <c r="X28" s="164">
        <f t="shared" ref="X28:X35" si="16">IFERROR(W28/V28-1,"-")</f>
        <v>8.0169810028834165E-2</v>
      </c>
      <c r="Y28" s="165">
        <f t="shared" si="10"/>
        <v>0.29122868924171619</v>
      </c>
      <c r="Z28" s="164">
        <f t="shared" si="11"/>
        <v>9.4350955393101621E-2</v>
      </c>
    </row>
    <row r="29" spans="1:26" x14ac:dyDescent="0.25">
      <c r="A29" s="161" t="s">
        <v>113</v>
      </c>
      <c r="B29" s="162" t="s">
        <v>113</v>
      </c>
      <c r="C29" s="163">
        <v>32075</v>
      </c>
      <c r="D29" s="163">
        <v>7836</v>
      </c>
      <c r="E29" s="163">
        <v>14336</v>
      </c>
      <c r="F29" s="163">
        <v>27397</v>
      </c>
      <c r="G29" s="163">
        <v>30224</v>
      </c>
      <c r="H29" s="164">
        <f t="shared" si="12"/>
        <v>0.10318648027156252</v>
      </c>
      <c r="I29" s="165">
        <f t="shared" si="1"/>
        <v>-5.770849571317227E-2</v>
      </c>
      <c r="J29" s="164">
        <f t="shared" si="13"/>
        <v>4.0931522581134444E-2</v>
      </c>
      <c r="K29" s="163">
        <v>140260</v>
      </c>
      <c r="L29" s="163">
        <v>41673</v>
      </c>
      <c r="M29" s="163">
        <v>81095</v>
      </c>
      <c r="N29" s="163">
        <v>128496</v>
      </c>
      <c r="O29" s="163">
        <v>137331</v>
      </c>
      <c r="P29" s="164">
        <f t="shared" si="14"/>
        <v>6.8757004109077258E-2</v>
      </c>
      <c r="Q29" s="165">
        <f t="shared" si="9"/>
        <v>-2.0882646513617598E-2</v>
      </c>
      <c r="R29" s="164">
        <f t="shared" si="15"/>
        <v>4.0992443929443241E-2</v>
      </c>
      <c r="S29" s="163">
        <v>172335</v>
      </c>
      <c r="T29" s="163">
        <v>49509</v>
      </c>
      <c r="U29" s="163">
        <v>95431</v>
      </c>
      <c r="V29" s="163">
        <v>155893</v>
      </c>
      <c r="W29" s="163">
        <v>167555</v>
      </c>
      <c r="X29" s="164">
        <f t="shared" si="16"/>
        <v>7.4807720680210243E-2</v>
      </c>
      <c r="Y29" s="165">
        <f t="shared" si="10"/>
        <v>-2.7736675660776977E-2</v>
      </c>
      <c r="Z29" s="164">
        <f t="shared" si="11"/>
        <v>5.1361360493985299E-2</v>
      </c>
    </row>
    <row r="30" spans="1:26" x14ac:dyDescent="0.25">
      <c r="A30" s="161" t="s">
        <v>116</v>
      </c>
      <c r="B30" s="162" t="s">
        <v>116</v>
      </c>
      <c r="C30" s="163">
        <v>8825</v>
      </c>
      <c r="D30" s="163">
        <v>3230</v>
      </c>
      <c r="E30" s="163">
        <v>4987</v>
      </c>
      <c r="F30" s="163">
        <v>4132</v>
      </c>
      <c r="G30" s="163">
        <v>2982</v>
      </c>
      <c r="H30" s="164">
        <f t="shared" si="12"/>
        <v>-0.27831558567279768</v>
      </c>
      <c r="I30" s="165">
        <f t="shared" si="1"/>
        <v>-0.66209631728045326</v>
      </c>
      <c r="J30" s="164">
        <f t="shared" si="13"/>
        <v>4.0384396617569786E-3</v>
      </c>
      <c r="K30" s="163">
        <v>34464</v>
      </c>
      <c r="L30" s="163">
        <v>13936</v>
      </c>
      <c r="M30" s="163">
        <v>30800</v>
      </c>
      <c r="N30" s="163">
        <v>48228</v>
      </c>
      <c r="O30" s="163">
        <v>43489</v>
      </c>
      <c r="P30" s="164">
        <f t="shared" si="14"/>
        <v>-9.8262420170855069E-2</v>
      </c>
      <c r="Q30" s="165">
        <f t="shared" si="9"/>
        <v>0.26186745589600746</v>
      </c>
      <c r="R30" s="164">
        <f t="shared" si="15"/>
        <v>1.298119429733678E-2</v>
      </c>
      <c r="S30" s="163">
        <v>43289</v>
      </c>
      <c r="T30" s="163">
        <v>17166</v>
      </c>
      <c r="U30" s="163">
        <v>35787</v>
      </c>
      <c r="V30" s="163">
        <v>52360</v>
      </c>
      <c r="W30" s="163">
        <v>46471</v>
      </c>
      <c r="X30" s="164">
        <f t="shared" si="16"/>
        <v>-0.11247135217723458</v>
      </c>
      <c r="Y30" s="165">
        <f t="shared" si="10"/>
        <v>7.3505971493913025E-2</v>
      </c>
      <c r="Z30" s="164">
        <f t="shared" si="11"/>
        <v>1.9260712011801739E-2</v>
      </c>
    </row>
    <row r="31" spans="1:26" x14ac:dyDescent="0.25">
      <c r="A31" s="161" t="s">
        <v>123</v>
      </c>
      <c r="B31" s="162" t="s">
        <v>123</v>
      </c>
      <c r="C31" s="163">
        <v>8147</v>
      </c>
      <c r="D31" s="163">
        <v>1736</v>
      </c>
      <c r="E31" s="163">
        <v>3938</v>
      </c>
      <c r="F31" s="163">
        <v>7950</v>
      </c>
      <c r="G31" s="163">
        <v>4040</v>
      </c>
      <c r="H31" s="164">
        <f t="shared" si="12"/>
        <v>-0.49182389937106918</v>
      </c>
      <c r="I31" s="165">
        <f t="shared" si="1"/>
        <v>-0.50411194304652018</v>
      </c>
      <c r="J31" s="164">
        <f t="shared" si="13"/>
        <v>5.4712596356466109E-3</v>
      </c>
      <c r="K31" s="163">
        <v>39988</v>
      </c>
      <c r="L31" s="163">
        <v>12314</v>
      </c>
      <c r="M31" s="163">
        <v>32115</v>
      </c>
      <c r="N31" s="163">
        <v>56445</v>
      </c>
      <c r="O31" s="163">
        <v>53434</v>
      </c>
      <c r="P31" s="164">
        <f t="shared" si="14"/>
        <v>-5.3343963149969031E-2</v>
      </c>
      <c r="Q31" s="165">
        <f t="shared" si="9"/>
        <v>0.3362508752625788</v>
      </c>
      <c r="R31" s="164">
        <f t="shared" si="15"/>
        <v>1.5949714550435593E-2</v>
      </c>
      <c r="S31" s="163">
        <v>48135</v>
      </c>
      <c r="T31" s="163">
        <v>14050</v>
      </c>
      <c r="U31" s="163">
        <v>36053</v>
      </c>
      <c r="V31" s="163">
        <v>64395</v>
      </c>
      <c r="W31" s="163">
        <v>57474</v>
      </c>
      <c r="X31" s="164">
        <f t="shared" si="16"/>
        <v>-0.10747728860936412</v>
      </c>
      <c r="Y31" s="165">
        <f t="shared" si="10"/>
        <v>0.1940168276721721</v>
      </c>
      <c r="Z31" s="164">
        <f t="shared" si="11"/>
        <v>1.9403874316413449E-2</v>
      </c>
    </row>
    <row r="32" spans="1:26" x14ac:dyDescent="0.25">
      <c r="A32" s="161" t="s">
        <v>119</v>
      </c>
      <c r="B32" s="162" t="s">
        <v>119</v>
      </c>
      <c r="C32" s="163">
        <v>6953</v>
      </c>
      <c r="D32" s="163">
        <v>1403</v>
      </c>
      <c r="E32" s="163">
        <v>2232</v>
      </c>
      <c r="F32" s="163">
        <v>4497</v>
      </c>
      <c r="G32" s="163">
        <v>3231</v>
      </c>
      <c r="H32" s="164">
        <f t="shared" si="12"/>
        <v>-0.2815210140093396</v>
      </c>
      <c r="I32" s="165">
        <f t="shared" si="1"/>
        <v>-0.5353084999280886</v>
      </c>
      <c r="J32" s="164">
        <f t="shared" si="13"/>
        <v>4.3756534363302473E-3</v>
      </c>
      <c r="K32" s="163">
        <v>58115</v>
      </c>
      <c r="L32" s="163">
        <v>25064</v>
      </c>
      <c r="M32" s="163">
        <v>46414</v>
      </c>
      <c r="N32" s="163">
        <v>73182</v>
      </c>
      <c r="O32" s="163">
        <v>71382</v>
      </c>
      <c r="P32" s="164">
        <f t="shared" si="14"/>
        <v>-2.4596212183323751E-2</v>
      </c>
      <c r="Q32" s="165">
        <f t="shared" si="9"/>
        <v>0.22828873784737169</v>
      </c>
      <c r="R32" s="164">
        <f t="shared" si="15"/>
        <v>2.1307080211835038E-2</v>
      </c>
      <c r="S32" s="163">
        <v>65068</v>
      </c>
      <c r="T32" s="163">
        <v>26467</v>
      </c>
      <c r="U32" s="163">
        <v>48646</v>
      </c>
      <c r="V32" s="163">
        <v>77679</v>
      </c>
      <c r="W32" s="163">
        <v>74613</v>
      </c>
      <c r="X32" s="164">
        <f t="shared" si="16"/>
        <v>-3.9470127061367988E-2</v>
      </c>
      <c r="Y32" s="165">
        <f t="shared" si="10"/>
        <v>0.14669269072355084</v>
      </c>
      <c r="Z32" s="164">
        <f t="shared" si="11"/>
        <v>2.6181479211057297E-2</v>
      </c>
    </row>
    <row r="33" spans="1:26" x14ac:dyDescent="0.25">
      <c r="A33" s="161" t="s">
        <v>128</v>
      </c>
      <c r="B33" s="162" t="s">
        <v>128</v>
      </c>
      <c r="C33" s="163">
        <v>6670</v>
      </c>
      <c r="D33" s="163">
        <v>1376</v>
      </c>
      <c r="E33" s="163">
        <v>590</v>
      </c>
      <c r="F33" s="163">
        <v>1708</v>
      </c>
      <c r="G33" s="163">
        <v>2116</v>
      </c>
      <c r="H33" s="164">
        <f t="shared" si="12"/>
        <v>0.23887587822014056</v>
      </c>
      <c r="I33" s="165">
        <f t="shared" si="1"/>
        <v>-0.6827586206896552</v>
      </c>
      <c r="J33" s="164">
        <f t="shared" si="13"/>
        <v>2.8656399477792645E-3</v>
      </c>
      <c r="K33" s="163">
        <v>19478</v>
      </c>
      <c r="L33" s="163">
        <v>8223</v>
      </c>
      <c r="M33" s="163">
        <v>5697</v>
      </c>
      <c r="N33" s="163">
        <v>18357</v>
      </c>
      <c r="O33" s="163">
        <v>18861</v>
      </c>
      <c r="P33" s="164">
        <f t="shared" si="14"/>
        <v>2.7455466579506371E-2</v>
      </c>
      <c r="Q33" s="165">
        <f t="shared" si="9"/>
        <v>-3.1676763528083018E-2</v>
      </c>
      <c r="R33" s="164">
        <f t="shared" si="15"/>
        <v>5.6298904468272204E-3</v>
      </c>
      <c r="S33" s="163">
        <v>26148</v>
      </c>
      <c r="T33" s="163">
        <v>9599</v>
      </c>
      <c r="U33" s="163">
        <v>6287</v>
      </c>
      <c r="V33" s="163">
        <v>20065</v>
      </c>
      <c r="W33" s="163">
        <v>20977</v>
      </c>
      <c r="X33" s="164">
        <f t="shared" si="16"/>
        <v>4.5452280089708363E-2</v>
      </c>
      <c r="Y33" s="165">
        <f t="shared" si="10"/>
        <v>-0.19775891081535868</v>
      </c>
      <c r="Z33" s="164">
        <f t="shared" si="11"/>
        <v>3.3836895078715049E-3</v>
      </c>
    </row>
    <row r="34" spans="1:26" x14ac:dyDescent="0.25">
      <c r="A34" s="161" t="s">
        <v>131</v>
      </c>
      <c r="B34" s="162" t="s">
        <v>131</v>
      </c>
      <c r="C34" s="163">
        <v>3066</v>
      </c>
      <c r="D34" s="163">
        <v>669</v>
      </c>
      <c r="E34" s="163">
        <v>195</v>
      </c>
      <c r="F34" s="163">
        <v>794</v>
      </c>
      <c r="G34" s="163">
        <v>833</v>
      </c>
      <c r="H34" s="164">
        <f t="shared" si="12"/>
        <v>4.9118387909319994E-2</v>
      </c>
      <c r="I34" s="165">
        <f t="shared" si="1"/>
        <v>-0.72831050228310501</v>
      </c>
      <c r="J34" s="164">
        <f t="shared" si="13"/>
        <v>1.1281087318053531E-3</v>
      </c>
      <c r="K34" s="163">
        <v>26209</v>
      </c>
      <c r="L34" s="163">
        <v>10880</v>
      </c>
      <c r="M34" s="163">
        <v>4211</v>
      </c>
      <c r="N34" s="163">
        <v>16482</v>
      </c>
      <c r="O34" s="163">
        <v>21199</v>
      </c>
      <c r="P34" s="164">
        <f t="shared" si="14"/>
        <v>0.28619099623832067</v>
      </c>
      <c r="Q34" s="165">
        <f t="shared" si="9"/>
        <v>-0.19115570987065511</v>
      </c>
      <c r="R34" s="164">
        <f t="shared" si="15"/>
        <v>6.3277688130157599E-3</v>
      </c>
      <c r="S34" s="163">
        <v>29275</v>
      </c>
      <c r="T34" s="163">
        <v>11549</v>
      </c>
      <c r="U34" s="163">
        <v>4406</v>
      </c>
      <c r="V34" s="163">
        <v>17276</v>
      </c>
      <c r="W34" s="163">
        <v>22032</v>
      </c>
      <c r="X34" s="164">
        <f t="shared" si="16"/>
        <v>0.27529520722389433</v>
      </c>
      <c r="Y34" s="165">
        <f t="shared" si="10"/>
        <v>-0.24741246797608885</v>
      </c>
      <c r="Z34" s="164">
        <f t="shared" si="11"/>
        <v>2.3713274966886987E-3</v>
      </c>
    </row>
    <row r="35" spans="1:26" x14ac:dyDescent="0.25">
      <c r="A35" s="167" t="s">
        <v>145</v>
      </c>
      <c r="B35" s="168" t="s">
        <v>145</v>
      </c>
      <c r="C35" s="169">
        <f>C27-SUM(C28:C34)</f>
        <v>49251</v>
      </c>
      <c r="D35" s="169">
        <f>D27-SUM(D28:D34)</f>
        <v>8856</v>
      </c>
      <c r="E35" s="169">
        <f>E27-SUM(E28:E34)</f>
        <v>13446</v>
      </c>
      <c r="F35" s="169">
        <f>F27-SUM(F28:F34)</f>
        <v>39275</v>
      </c>
      <c r="G35" s="169">
        <f>G27-SUM(G28:G34)</f>
        <v>41290</v>
      </c>
      <c r="H35" s="170">
        <f t="shared" si="12"/>
        <v>5.1304901336728159E-2</v>
      </c>
      <c r="I35" s="171">
        <f t="shared" si="1"/>
        <v>-0.16164138799212202</v>
      </c>
      <c r="J35" s="170">
        <f t="shared" si="13"/>
        <v>5.5917898602932808E-2</v>
      </c>
      <c r="K35" s="169">
        <f>K27-SUM(K28:K34)</f>
        <v>205155</v>
      </c>
      <c r="L35" s="169">
        <f>L27-SUM(L28:L34)</f>
        <v>67736</v>
      </c>
      <c r="M35" s="169">
        <f>M27-SUM(M28:M34)</f>
        <v>130178</v>
      </c>
      <c r="N35" s="169">
        <f>N27-SUM(N28:N34)</f>
        <v>232420</v>
      </c>
      <c r="O35" s="169">
        <f>O27-SUM(O28:O34)</f>
        <v>259956</v>
      </c>
      <c r="P35" s="170">
        <f t="shared" si="14"/>
        <v>0.11847517425350662</v>
      </c>
      <c r="Q35" s="171">
        <f t="shared" si="9"/>
        <v>0.26711998245229207</v>
      </c>
      <c r="R35" s="170">
        <f t="shared" si="15"/>
        <v>7.759523890543539E-2</v>
      </c>
      <c r="S35" s="169">
        <f>S27-SUM(S28:S34)</f>
        <v>254406</v>
      </c>
      <c r="T35" s="169">
        <f>T27-SUM(T28:T34)</f>
        <v>76592</v>
      </c>
      <c r="U35" s="169">
        <f>U27-SUM(U28:U34)</f>
        <v>143624</v>
      </c>
      <c r="V35" s="169">
        <f>V27-SUM(V28:V34)</f>
        <v>271695</v>
      </c>
      <c r="W35" s="169">
        <f>W27-SUM(W28:W34)</f>
        <v>301246</v>
      </c>
      <c r="X35" s="170">
        <f t="shared" si="16"/>
        <v>0.10876534349178302</v>
      </c>
      <c r="Y35" s="171">
        <f t="shared" si="10"/>
        <v>0.18411515451679605</v>
      </c>
      <c r="Z35" s="170">
        <f t="shared" si="11"/>
        <v>7.7299033223880542E-2</v>
      </c>
    </row>
    <row r="36" spans="1:26" x14ac:dyDescent="0.25">
      <c r="A36" s="1"/>
      <c r="B36" s="153" t="s">
        <v>45</v>
      </c>
      <c r="C36" s="151"/>
      <c r="D36" s="151"/>
      <c r="E36" s="151"/>
      <c r="F36" s="151"/>
      <c r="G36" s="151"/>
      <c r="H36" s="151"/>
      <c r="I36" s="151"/>
      <c r="J36" s="151"/>
      <c r="K36" s="151"/>
      <c r="L36" s="151"/>
      <c r="M36" s="151"/>
      <c r="N36" s="151"/>
      <c r="O36" s="151"/>
      <c r="P36" s="151"/>
      <c r="Q36" s="151"/>
      <c r="R36" s="151"/>
      <c r="S36" s="151"/>
      <c r="T36" s="151"/>
      <c r="U36" s="151"/>
      <c r="V36" s="151"/>
      <c r="W36" s="151"/>
      <c r="X36" s="151"/>
      <c r="Y36" s="151"/>
      <c r="Z36" s="151"/>
    </row>
    <row r="37" spans="1:26" x14ac:dyDescent="0.25">
      <c r="A37" s="1" t="s">
        <v>0</v>
      </c>
      <c r="B37" s="154" t="s">
        <v>68</v>
      </c>
      <c r="C37" s="176">
        <f>C38+C41</f>
        <v>177700</v>
      </c>
      <c r="D37" s="176">
        <f>D38+D41</f>
        <v>54285</v>
      </c>
      <c r="E37" s="176">
        <f>E38+E41</f>
        <v>50672</v>
      </c>
      <c r="F37" s="176">
        <f>F38+F41</f>
        <v>179190</v>
      </c>
      <c r="G37" s="176">
        <f>G38+G41</f>
        <v>201287</v>
      </c>
      <c r="H37" s="177">
        <f>IFERROR(G37/F37-1,"-")</f>
        <v>0.12331603326078455</v>
      </c>
      <c r="I37" s="177">
        <f t="shared" si="1"/>
        <v>0.13273494653911078</v>
      </c>
      <c r="J37" s="177">
        <f>G37/G$9</f>
        <v>0.27259738571297015</v>
      </c>
      <c r="K37" s="176">
        <f>K38+K41</f>
        <v>552295</v>
      </c>
      <c r="L37" s="176">
        <f>L38+L41</f>
        <v>151994</v>
      </c>
      <c r="M37" s="176">
        <f>M38+M41</f>
        <v>206077</v>
      </c>
      <c r="N37" s="176">
        <f>N38+N41</f>
        <v>573367</v>
      </c>
      <c r="O37" s="176">
        <f>O38+O41</f>
        <v>609226</v>
      </c>
      <c r="P37" s="177">
        <f>IFERROR(O37/N37-1,"-")</f>
        <v>6.254109497058602E-2</v>
      </c>
      <c r="Q37" s="177">
        <f t="shared" si="9"/>
        <v>0.10308078110430108</v>
      </c>
      <c r="R37" s="177">
        <f>O37/O$9</f>
        <v>0.1818501477842511</v>
      </c>
      <c r="S37" s="176">
        <f>S38+S41</f>
        <v>729995</v>
      </c>
      <c r="T37" s="176">
        <f>T38+T41</f>
        <v>206279</v>
      </c>
      <c r="U37" s="176">
        <f>U38+U41</f>
        <v>256749</v>
      </c>
      <c r="V37" s="176">
        <f>V38+V41</f>
        <v>752557</v>
      </c>
      <c r="W37" s="176">
        <f>W38+W41</f>
        <v>810513</v>
      </c>
      <c r="X37" s="177">
        <f>IFERROR(W37/V37-1,"-")</f>
        <v>7.7012106724141827E-2</v>
      </c>
      <c r="Y37" s="177">
        <f t="shared" si="10"/>
        <v>0.11029938561223029</v>
      </c>
      <c r="Z37" s="177">
        <f t="shared" ref="Z37:Z49" si="17">U37/U$9</f>
        <v>0.13818337799530794</v>
      </c>
    </row>
    <row r="38" spans="1:26" x14ac:dyDescent="0.25">
      <c r="A38" s="1" t="s">
        <v>96</v>
      </c>
      <c r="B38" s="157" t="s">
        <v>97</v>
      </c>
      <c r="C38" s="158">
        <v>16606</v>
      </c>
      <c r="D38" s="158">
        <v>5529</v>
      </c>
      <c r="E38" s="158">
        <v>6062</v>
      </c>
      <c r="F38" s="158">
        <v>22234</v>
      </c>
      <c r="G38" s="158">
        <v>28331</v>
      </c>
      <c r="H38" s="159">
        <f>IFERROR(G38/F38-1,"-")</f>
        <v>0.27421966357830341</v>
      </c>
      <c r="I38" s="160">
        <f t="shared" si="1"/>
        <v>0.70607009514633257</v>
      </c>
      <c r="J38" s="159">
        <f>G38/G$9</f>
        <v>3.8367885331065381E-2</v>
      </c>
      <c r="K38" s="158">
        <v>64346</v>
      </c>
      <c r="L38" s="158">
        <v>19247</v>
      </c>
      <c r="M38" s="158">
        <v>33772</v>
      </c>
      <c r="N38" s="158">
        <v>60854</v>
      </c>
      <c r="O38" s="158">
        <v>52810</v>
      </c>
      <c r="P38" s="159">
        <f>IFERROR(O38/N38-1,"-")</f>
        <v>-0.13218523022315709</v>
      </c>
      <c r="Q38" s="160">
        <f t="shared" si="9"/>
        <v>-0.17928076337301468</v>
      </c>
      <c r="R38" s="159">
        <f>O38/O$9</f>
        <v>1.576345445612351E-2</v>
      </c>
      <c r="S38" s="158">
        <v>80952</v>
      </c>
      <c r="T38" s="158">
        <v>24776</v>
      </c>
      <c r="U38" s="158">
        <v>39834</v>
      </c>
      <c r="V38" s="158">
        <v>83088</v>
      </c>
      <c r="W38" s="158">
        <v>81141</v>
      </c>
      <c r="X38" s="159">
        <f>IFERROR(W38/V38-1,"-")</f>
        <v>-2.3432986712882742E-2</v>
      </c>
      <c r="Y38" s="160">
        <f t="shared" si="10"/>
        <v>2.3347168692557929E-3</v>
      </c>
      <c r="Z38" s="159">
        <f t="shared" si="17"/>
        <v>2.1438824217679897E-2</v>
      </c>
    </row>
    <row r="39" spans="1:26" x14ac:dyDescent="0.25">
      <c r="A39" s="161" t="s">
        <v>103</v>
      </c>
      <c r="B39" s="162" t="s">
        <v>103</v>
      </c>
      <c r="C39" s="163">
        <v>9694</v>
      </c>
      <c r="D39" s="163">
        <v>2180</v>
      </c>
      <c r="E39" s="163">
        <v>4351</v>
      </c>
      <c r="F39" s="163">
        <v>9363</v>
      </c>
      <c r="G39" s="163">
        <v>15562</v>
      </c>
      <c r="H39" s="164">
        <f>IFERROR(G39/F39-1,"-")</f>
        <v>0.66207412154224077</v>
      </c>
      <c r="I39" s="165">
        <f t="shared" si="1"/>
        <v>0.6053228801320405</v>
      </c>
      <c r="J39" s="164">
        <f>G39/G$9</f>
        <v>2.107518377473578E-2</v>
      </c>
      <c r="K39" s="163">
        <v>8485</v>
      </c>
      <c r="L39" s="163">
        <v>1767</v>
      </c>
      <c r="M39" s="163">
        <v>4726</v>
      </c>
      <c r="N39" s="163">
        <v>9315</v>
      </c>
      <c r="O39" s="163">
        <v>13363</v>
      </c>
      <c r="P39" s="164">
        <f>IFERROR(O39/N39-1,"-")</f>
        <v>0.43456790123456801</v>
      </c>
      <c r="Q39" s="165">
        <f t="shared" si="9"/>
        <v>0.57489687684148505</v>
      </c>
      <c r="R39" s="164">
        <f>O39/O$9</f>
        <v>3.9887718594428792E-3</v>
      </c>
      <c r="S39" s="163">
        <v>18179</v>
      </c>
      <c r="T39" s="163">
        <v>3947</v>
      </c>
      <c r="U39" s="163">
        <v>9077</v>
      </c>
      <c r="V39" s="163">
        <v>18678</v>
      </c>
      <c r="W39" s="163">
        <v>28925</v>
      </c>
      <c r="X39" s="164">
        <f>IFERROR(W39/V39-1,"-")</f>
        <v>0.5486133418995609</v>
      </c>
      <c r="Y39" s="165">
        <f t="shared" si="10"/>
        <v>0.59112162385169698</v>
      </c>
      <c r="Z39" s="164">
        <f t="shared" si="17"/>
        <v>4.8852790938364319E-3</v>
      </c>
    </row>
    <row r="40" spans="1:26" x14ac:dyDescent="0.25">
      <c r="A40" s="161" t="s">
        <v>100</v>
      </c>
      <c r="B40" s="162" t="s">
        <v>100</v>
      </c>
      <c r="C40" s="163">
        <v>6912</v>
      </c>
      <c r="D40" s="163">
        <v>3349</v>
      </c>
      <c r="E40" s="163">
        <v>1711</v>
      </c>
      <c r="F40" s="163">
        <v>12871</v>
      </c>
      <c r="G40" s="163">
        <v>12769</v>
      </c>
      <c r="H40" s="164">
        <f>IFERROR(G40/F40-1,"-")</f>
        <v>-7.9247921684406641E-3</v>
      </c>
      <c r="I40" s="165">
        <f t="shared" si="1"/>
        <v>0.84736689814814814</v>
      </c>
      <c r="J40" s="164">
        <f>G40/G$9</f>
        <v>1.7292701556329598E-2</v>
      </c>
      <c r="K40" s="163">
        <v>55861</v>
      </c>
      <c r="L40" s="163">
        <v>17480</v>
      </c>
      <c r="M40" s="163">
        <v>29046</v>
      </c>
      <c r="N40" s="163">
        <v>51539</v>
      </c>
      <c r="O40" s="163">
        <v>39447</v>
      </c>
      <c r="P40" s="164">
        <f>IFERROR(O40/N40-1,"-")</f>
        <v>-0.23461844428491041</v>
      </c>
      <c r="Q40" s="165">
        <f t="shared" si="9"/>
        <v>-0.29383648699450426</v>
      </c>
      <c r="R40" s="164">
        <f>O40/O$9</f>
        <v>1.177468259668063E-2</v>
      </c>
      <c r="S40" s="163">
        <v>62773</v>
      </c>
      <c r="T40" s="163">
        <v>20829</v>
      </c>
      <c r="U40" s="163">
        <v>30757</v>
      </c>
      <c r="V40" s="163">
        <v>64410</v>
      </c>
      <c r="W40" s="163">
        <v>52216</v>
      </c>
      <c r="X40" s="164">
        <f>IFERROR(W40/V40-1,"-")</f>
        <v>-0.18931842881540129</v>
      </c>
      <c r="Y40" s="165">
        <f t="shared" si="10"/>
        <v>-0.16817740111194301</v>
      </c>
      <c r="Z40" s="164">
        <f t="shared" si="17"/>
        <v>1.6553545123843466E-2</v>
      </c>
    </row>
    <row r="41" spans="1:26" x14ac:dyDescent="0.25">
      <c r="A41" s="1" t="s">
        <v>146</v>
      </c>
      <c r="B41" s="157" t="s">
        <v>107</v>
      </c>
      <c r="C41" s="158">
        <v>161094</v>
      </c>
      <c r="D41" s="158">
        <v>48756</v>
      </c>
      <c r="E41" s="158">
        <v>44610</v>
      </c>
      <c r="F41" s="158">
        <v>156956</v>
      </c>
      <c r="G41" s="158">
        <v>172956</v>
      </c>
      <c r="H41" s="159">
        <f>IFERROR(G41/F41-1,"-")</f>
        <v>0.10193939702846655</v>
      </c>
      <c r="I41" s="160">
        <f t="shared" si="1"/>
        <v>7.3634027338076002E-2</v>
      </c>
      <c r="J41" s="159">
        <f>G41/G$9</f>
        <v>0.23422950038190476</v>
      </c>
      <c r="K41" s="158">
        <v>487949</v>
      </c>
      <c r="L41" s="158">
        <v>132747</v>
      </c>
      <c r="M41" s="158">
        <v>172305</v>
      </c>
      <c r="N41" s="158">
        <v>512513</v>
      </c>
      <c r="O41" s="158">
        <v>556416</v>
      </c>
      <c r="P41" s="159">
        <f>IFERROR(O41/N41-1,"-")</f>
        <v>8.5662217348633218E-2</v>
      </c>
      <c r="Q41" s="160">
        <f t="shared" si="9"/>
        <v>0.14031589366921549</v>
      </c>
      <c r="R41" s="159">
        <f>O41/O$9</f>
        <v>0.16608669332812762</v>
      </c>
      <c r="S41" s="158">
        <v>649043</v>
      </c>
      <c r="T41" s="158">
        <v>181503</v>
      </c>
      <c r="U41" s="158">
        <v>216915</v>
      </c>
      <c r="V41" s="158">
        <v>669469</v>
      </c>
      <c r="W41" s="158">
        <v>729372</v>
      </c>
      <c r="X41" s="159">
        <f>IFERROR(W41/V41-1,"-")</f>
        <v>8.9478377639591988E-2</v>
      </c>
      <c r="Y41" s="160">
        <f t="shared" si="10"/>
        <v>0.12376529752266019</v>
      </c>
      <c r="Z41" s="159">
        <f t="shared" si="17"/>
        <v>0.11674455377762803</v>
      </c>
    </row>
    <row r="42" spans="1:26" x14ac:dyDescent="0.25">
      <c r="A42" s="161" t="s">
        <v>110</v>
      </c>
      <c r="B42" s="162" t="s">
        <v>110</v>
      </c>
      <c r="C42" s="163">
        <v>87652</v>
      </c>
      <c r="D42" s="163">
        <v>24960</v>
      </c>
      <c r="E42" s="163">
        <v>17021</v>
      </c>
      <c r="F42" s="163">
        <v>75160</v>
      </c>
      <c r="G42" s="163">
        <v>74709</v>
      </c>
      <c r="H42" s="164">
        <f t="shared" ref="H42:H49" si="18">IFERROR(G42/F42-1,"-")</f>
        <v>-6.0005321979776927E-3</v>
      </c>
      <c r="I42" s="165">
        <f t="shared" si="1"/>
        <v>-0.14766348742755442</v>
      </c>
      <c r="J42" s="164">
        <f t="shared" ref="J42:J49" si="19">G42/G$9</f>
        <v>0.10117632082166401</v>
      </c>
      <c r="K42" s="163">
        <v>262145</v>
      </c>
      <c r="L42" s="163">
        <v>63301</v>
      </c>
      <c r="M42" s="163">
        <v>63769</v>
      </c>
      <c r="N42" s="163">
        <v>269103</v>
      </c>
      <c r="O42" s="163">
        <v>299592</v>
      </c>
      <c r="P42" s="164">
        <f t="shared" ref="P42:P49" si="20">IFERROR(O42/N42-1,"-")</f>
        <v>0.11329862543338431</v>
      </c>
      <c r="Q42" s="165">
        <f t="shared" si="9"/>
        <v>0.1428484235823686</v>
      </c>
      <c r="R42" s="164">
        <f t="shared" ref="R42:R49" si="21">O42/O$9</f>
        <v>8.9426336819143235E-2</v>
      </c>
      <c r="S42" s="163">
        <v>349797</v>
      </c>
      <c r="T42" s="163">
        <v>88261</v>
      </c>
      <c r="U42" s="163">
        <v>80790</v>
      </c>
      <c r="V42" s="163">
        <v>344263</v>
      </c>
      <c r="W42" s="163">
        <v>374301</v>
      </c>
      <c r="X42" s="164">
        <f t="shared" ref="X42:X49" si="22">IFERROR(W42/V42-1,"-")</f>
        <v>8.7253059434211577E-2</v>
      </c>
      <c r="Y42" s="165">
        <f t="shared" si="10"/>
        <v>7.0052058765512459E-2</v>
      </c>
      <c r="Z42" s="164">
        <f t="shared" si="17"/>
        <v>4.3481513494661825E-2</v>
      </c>
    </row>
    <row r="43" spans="1:26" x14ac:dyDescent="0.25">
      <c r="A43" s="161" t="s">
        <v>113</v>
      </c>
      <c r="B43" s="162" t="s">
        <v>113</v>
      </c>
      <c r="C43" s="163">
        <v>11396</v>
      </c>
      <c r="D43" s="163">
        <v>3221</v>
      </c>
      <c r="E43" s="163">
        <v>2578</v>
      </c>
      <c r="F43" s="163">
        <v>7845</v>
      </c>
      <c r="G43" s="163">
        <v>10865</v>
      </c>
      <c r="H43" s="164">
        <f t="shared" si="18"/>
        <v>0.38495857233906938</v>
      </c>
      <c r="I43" s="165">
        <f t="shared" si="1"/>
        <v>-4.6595296595296598E-2</v>
      </c>
      <c r="J43" s="164">
        <f t="shared" si="19"/>
        <v>1.4714167312203076E-2</v>
      </c>
      <c r="K43" s="163">
        <v>26865</v>
      </c>
      <c r="L43" s="163">
        <v>7570</v>
      </c>
      <c r="M43" s="163">
        <v>10918</v>
      </c>
      <c r="N43" s="163">
        <v>19949</v>
      </c>
      <c r="O43" s="163">
        <v>22563</v>
      </c>
      <c r="P43" s="164">
        <f t="shared" si="20"/>
        <v>0.13103413704947608</v>
      </c>
      <c r="Q43" s="165">
        <f t="shared" si="9"/>
        <v>-0.16013400335008376</v>
      </c>
      <c r="R43" s="164">
        <f t="shared" si="21"/>
        <v>6.7349142755825557E-3</v>
      </c>
      <c r="S43" s="163">
        <v>38261</v>
      </c>
      <c r="T43" s="163">
        <v>10791</v>
      </c>
      <c r="U43" s="163">
        <v>13496</v>
      </c>
      <c r="V43" s="163">
        <v>27794</v>
      </c>
      <c r="W43" s="163">
        <v>33428</v>
      </c>
      <c r="X43" s="164">
        <f t="shared" si="22"/>
        <v>0.20270561991796798</v>
      </c>
      <c r="Y43" s="165">
        <f t="shared" si="10"/>
        <v>-0.12631661482972212</v>
      </c>
      <c r="Z43" s="164">
        <f t="shared" si="17"/>
        <v>7.2636032445099136E-3</v>
      </c>
    </row>
    <row r="44" spans="1:26" x14ac:dyDescent="0.25">
      <c r="A44" s="161" t="s">
        <v>116</v>
      </c>
      <c r="B44" s="162" t="s">
        <v>116</v>
      </c>
      <c r="C44" s="163">
        <v>6703</v>
      </c>
      <c r="D44" s="163">
        <v>1995</v>
      </c>
      <c r="E44" s="163">
        <v>1781</v>
      </c>
      <c r="F44" s="163">
        <v>5675</v>
      </c>
      <c r="G44" s="163">
        <v>7865</v>
      </c>
      <c r="H44" s="164">
        <f t="shared" si="18"/>
        <v>0.38590308370044046</v>
      </c>
      <c r="I44" s="165">
        <f t="shared" si="1"/>
        <v>0.17335521408324639</v>
      </c>
      <c r="J44" s="164">
        <f t="shared" si="19"/>
        <v>1.0651350751079355E-2</v>
      </c>
      <c r="K44" s="163">
        <v>9914</v>
      </c>
      <c r="L44" s="163">
        <v>3970</v>
      </c>
      <c r="M44" s="163">
        <v>8252</v>
      </c>
      <c r="N44" s="163">
        <v>12032</v>
      </c>
      <c r="O44" s="163">
        <v>11886</v>
      </c>
      <c r="P44" s="164">
        <f t="shared" si="20"/>
        <v>-1.2134308510638347E-2</v>
      </c>
      <c r="Q44" s="165">
        <f t="shared" si="9"/>
        <v>0.19891063143030063</v>
      </c>
      <c r="R44" s="164">
        <f t="shared" si="21"/>
        <v>3.5478966041561076E-3</v>
      </c>
      <c r="S44" s="163">
        <v>16617</v>
      </c>
      <c r="T44" s="163">
        <v>5965</v>
      </c>
      <c r="U44" s="163">
        <v>10033</v>
      </c>
      <c r="V44" s="163">
        <v>17707</v>
      </c>
      <c r="W44" s="163">
        <v>19751</v>
      </c>
      <c r="X44" s="164">
        <f t="shared" si="22"/>
        <v>0.11543457389732881</v>
      </c>
      <c r="Y44" s="165">
        <f t="shared" si="10"/>
        <v>0.18860203406150333</v>
      </c>
      <c r="Z44" s="164">
        <f t="shared" si="17"/>
        <v>5.3998022637943071E-3</v>
      </c>
    </row>
    <row r="45" spans="1:26" x14ac:dyDescent="0.25">
      <c r="A45" s="161" t="s">
        <v>123</v>
      </c>
      <c r="B45" s="162" t="s">
        <v>123</v>
      </c>
      <c r="C45" s="163">
        <v>2994</v>
      </c>
      <c r="D45" s="163">
        <v>885</v>
      </c>
      <c r="E45" s="163">
        <v>1430</v>
      </c>
      <c r="F45" s="163">
        <v>3236</v>
      </c>
      <c r="G45" s="163">
        <v>3482</v>
      </c>
      <c r="H45" s="164">
        <f t="shared" si="18"/>
        <v>7.6019777503090191E-2</v>
      </c>
      <c r="I45" s="165">
        <f t="shared" si="1"/>
        <v>0.16299265197060797</v>
      </c>
      <c r="J45" s="164">
        <f t="shared" si="19"/>
        <v>4.7155757552775988E-3</v>
      </c>
      <c r="K45" s="163">
        <v>24453</v>
      </c>
      <c r="L45" s="163">
        <v>6712</v>
      </c>
      <c r="M45" s="163">
        <v>13570</v>
      </c>
      <c r="N45" s="163">
        <v>27358</v>
      </c>
      <c r="O45" s="163">
        <v>26160</v>
      </c>
      <c r="P45" s="164">
        <f t="shared" si="20"/>
        <v>-4.3789750712771358E-2</v>
      </c>
      <c r="Q45" s="165">
        <f t="shared" si="9"/>
        <v>6.9807385596859284E-2</v>
      </c>
      <c r="R45" s="164">
        <f t="shared" si="21"/>
        <v>7.8085962615449915E-3</v>
      </c>
      <c r="S45" s="163">
        <v>27447</v>
      </c>
      <c r="T45" s="163">
        <v>7597</v>
      </c>
      <c r="U45" s="163">
        <v>15000</v>
      </c>
      <c r="V45" s="163">
        <v>30594</v>
      </c>
      <c r="W45" s="163">
        <v>29642</v>
      </c>
      <c r="X45" s="164">
        <f t="shared" si="22"/>
        <v>-3.1117212525331728E-2</v>
      </c>
      <c r="Y45" s="165">
        <f t="shared" si="10"/>
        <v>7.9972310270703506E-2</v>
      </c>
      <c r="Z45" s="164">
        <f t="shared" si="17"/>
        <v>8.0730622901340181E-3</v>
      </c>
    </row>
    <row r="46" spans="1:26" x14ac:dyDescent="0.25">
      <c r="A46" s="161" t="s">
        <v>119</v>
      </c>
      <c r="B46" s="162" t="s">
        <v>119</v>
      </c>
      <c r="C46" s="163">
        <v>2495</v>
      </c>
      <c r="D46" s="163">
        <v>1080</v>
      </c>
      <c r="E46" s="163">
        <v>722</v>
      </c>
      <c r="F46" s="163">
        <v>1778</v>
      </c>
      <c r="G46" s="163">
        <v>2269</v>
      </c>
      <c r="H46" s="164">
        <f t="shared" si="18"/>
        <v>0.27615298087739037</v>
      </c>
      <c r="I46" s="165">
        <f t="shared" si="1"/>
        <v>-9.05811623246493E-2</v>
      </c>
      <c r="J46" s="164">
        <f t="shared" si="19"/>
        <v>3.0728435923965741E-3</v>
      </c>
      <c r="K46" s="163">
        <v>31182</v>
      </c>
      <c r="L46" s="163">
        <v>11022</v>
      </c>
      <c r="M46" s="163">
        <v>16968</v>
      </c>
      <c r="N46" s="163">
        <v>29000</v>
      </c>
      <c r="O46" s="163">
        <v>33231</v>
      </c>
      <c r="P46" s="164">
        <f t="shared" si="20"/>
        <v>0.14589655172413796</v>
      </c>
      <c r="Q46" s="165">
        <f t="shared" si="9"/>
        <v>6.5710987107946872E-2</v>
      </c>
      <c r="R46" s="164">
        <f t="shared" si="21"/>
        <v>9.9192455033410409E-3</v>
      </c>
      <c r="S46" s="163">
        <v>33677</v>
      </c>
      <c r="T46" s="163">
        <v>12102</v>
      </c>
      <c r="U46" s="163">
        <v>17690</v>
      </c>
      <c r="V46" s="163">
        <v>30778</v>
      </c>
      <c r="W46" s="163">
        <v>35500</v>
      </c>
      <c r="X46" s="164">
        <f t="shared" si="22"/>
        <v>0.15342127493664304</v>
      </c>
      <c r="Y46" s="165">
        <f t="shared" si="10"/>
        <v>5.4131900109867237E-2</v>
      </c>
      <c r="Z46" s="164">
        <f t="shared" si="17"/>
        <v>9.5208314608313856E-3</v>
      </c>
    </row>
    <row r="47" spans="1:26" x14ac:dyDescent="0.25">
      <c r="A47" s="161" t="s">
        <v>128</v>
      </c>
      <c r="B47" s="162" t="s">
        <v>128</v>
      </c>
      <c r="C47" s="163">
        <v>3512</v>
      </c>
      <c r="D47" s="163">
        <v>1099</v>
      </c>
      <c r="E47" s="163">
        <v>749</v>
      </c>
      <c r="F47" s="163">
        <v>2218</v>
      </c>
      <c r="G47" s="163">
        <v>2218</v>
      </c>
      <c r="H47" s="164">
        <f t="shared" si="18"/>
        <v>0</v>
      </c>
      <c r="I47" s="165">
        <f t="shared" si="1"/>
        <v>-0.3684510250569476</v>
      </c>
      <c r="J47" s="164">
        <f t="shared" si="19"/>
        <v>3.0037757108574712E-3</v>
      </c>
      <c r="K47" s="163">
        <v>4530</v>
      </c>
      <c r="L47" s="163">
        <v>2296</v>
      </c>
      <c r="M47" s="163">
        <v>2639</v>
      </c>
      <c r="N47" s="163">
        <v>6605</v>
      </c>
      <c r="O47" s="163">
        <v>7002</v>
      </c>
      <c r="P47" s="164">
        <f t="shared" si="20"/>
        <v>6.0105980317940899E-2</v>
      </c>
      <c r="Q47" s="165">
        <f t="shared" si="9"/>
        <v>0.54569536423841059</v>
      </c>
      <c r="R47" s="164">
        <f t="shared" si="21"/>
        <v>2.0900531736750012E-3</v>
      </c>
      <c r="S47" s="163">
        <v>8042</v>
      </c>
      <c r="T47" s="163">
        <v>3395</v>
      </c>
      <c r="U47" s="163">
        <v>3388</v>
      </c>
      <c r="V47" s="163">
        <v>8823</v>
      </c>
      <c r="W47" s="163">
        <v>9220</v>
      </c>
      <c r="X47" s="164">
        <f t="shared" si="22"/>
        <v>4.4996033095318966E-2</v>
      </c>
      <c r="Y47" s="165">
        <f t="shared" si="10"/>
        <v>0.14648097488187029</v>
      </c>
      <c r="Z47" s="164">
        <f t="shared" si="17"/>
        <v>1.8234356692649369E-3</v>
      </c>
    </row>
    <row r="48" spans="1:26" x14ac:dyDescent="0.25">
      <c r="A48" s="161" t="s">
        <v>131</v>
      </c>
      <c r="B48" s="162" t="s">
        <v>131</v>
      </c>
      <c r="C48" s="163">
        <v>4005</v>
      </c>
      <c r="D48" s="163">
        <v>1080</v>
      </c>
      <c r="E48" s="163">
        <v>761</v>
      </c>
      <c r="F48" s="163">
        <v>1311</v>
      </c>
      <c r="G48" s="163">
        <v>1982</v>
      </c>
      <c r="H48" s="164">
        <f t="shared" si="18"/>
        <v>0.51182303585049582</v>
      </c>
      <c r="I48" s="165">
        <f t="shared" si="1"/>
        <v>-0.50511860174781531</v>
      </c>
      <c r="J48" s="164">
        <f t="shared" si="19"/>
        <v>2.6841674747157384E-3</v>
      </c>
      <c r="K48" s="163">
        <v>7898</v>
      </c>
      <c r="L48" s="163">
        <v>4136</v>
      </c>
      <c r="M48" s="163">
        <v>3019</v>
      </c>
      <c r="N48" s="163">
        <v>6804</v>
      </c>
      <c r="O48" s="163">
        <v>8431</v>
      </c>
      <c r="P48" s="164">
        <f t="shared" si="20"/>
        <v>0.23912404467960013</v>
      </c>
      <c r="Q48" s="165">
        <f t="shared" si="9"/>
        <v>6.7485439351734566E-2</v>
      </c>
      <c r="R48" s="164">
        <f t="shared" si="21"/>
        <v>2.5166007293993052E-3</v>
      </c>
      <c r="S48" s="163">
        <v>11903</v>
      </c>
      <c r="T48" s="163">
        <v>5216</v>
      </c>
      <c r="U48" s="163">
        <v>3780</v>
      </c>
      <c r="V48" s="163">
        <v>8115</v>
      </c>
      <c r="W48" s="163">
        <v>10413</v>
      </c>
      <c r="X48" s="164">
        <f t="shared" si="22"/>
        <v>0.28317929759704241</v>
      </c>
      <c r="Y48" s="165">
        <f t="shared" si="10"/>
        <v>-0.12517852642191041</v>
      </c>
      <c r="Z48" s="164">
        <f t="shared" si="17"/>
        <v>2.0344116971137724E-3</v>
      </c>
    </row>
    <row r="49" spans="1:26" x14ac:dyDescent="0.25">
      <c r="A49" s="167" t="s">
        <v>145</v>
      </c>
      <c r="B49" s="168" t="s">
        <v>145</v>
      </c>
      <c r="C49" s="169">
        <f>C41-SUM(C42:C48)</f>
        <v>42337</v>
      </c>
      <c r="D49" s="169">
        <f>D41-SUM(D42:D48)</f>
        <v>14436</v>
      </c>
      <c r="E49" s="169">
        <f>E41-SUM(E42:E48)</f>
        <v>19568</v>
      </c>
      <c r="F49" s="169">
        <f>F41-SUM(F42:F48)</f>
        <v>59733</v>
      </c>
      <c r="G49" s="169">
        <f>G41-SUM(G42:G48)</f>
        <v>69566</v>
      </c>
      <c r="H49" s="170">
        <f t="shared" si="18"/>
        <v>0.16461587397251098</v>
      </c>
      <c r="I49" s="171">
        <f t="shared" si="1"/>
        <v>0.64314901858894102</v>
      </c>
      <c r="J49" s="170">
        <f t="shared" si="19"/>
        <v>9.4211298963710929E-2</v>
      </c>
      <c r="K49" s="169">
        <f>K41-SUM(K42:K48)</f>
        <v>120962</v>
      </c>
      <c r="L49" s="169">
        <f>L41-SUM(L42:L48)</f>
        <v>33740</v>
      </c>
      <c r="M49" s="169">
        <f>M41-SUM(M42:M48)</f>
        <v>53170</v>
      </c>
      <c r="N49" s="169">
        <f>N41-SUM(N42:N48)</f>
        <v>141662</v>
      </c>
      <c r="O49" s="169">
        <f>O41-SUM(O42:O48)</f>
        <v>147551</v>
      </c>
      <c r="P49" s="170">
        <f t="shared" si="20"/>
        <v>4.157078115514401E-2</v>
      </c>
      <c r="Q49" s="171">
        <f t="shared" si="9"/>
        <v>0.21981283378251026</v>
      </c>
      <c r="R49" s="170">
        <f t="shared" si="21"/>
        <v>4.4043049961285365E-2</v>
      </c>
      <c r="S49" s="169">
        <f>S41-SUM(S42:S48)</f>
        <v>163299</v>
      </c>
      <c r="T49" s="169">
        <f>T41-SUM(T42:T48)</f>
        <v>48176</v>
      </c>
      <c r="U49" s="169">
        <f>U41-SUM(U42:U48)</f>
        <v>72738</v>
      </c>
      <c r="V49" s="169">
        <f>V41-SUM(V42:V48)</f>
        <v>201395</v>
      </c>
      <c r="W49" s="169">
        <f>W41-SUM(W42:W48)</f>
        <v>217117</v>
      </c>
      <c r="X49" s="170">
        <f t="shared" si="22"/>
        <v>7.8065493185034418E-2</v>
      </c>
      <c r="Y49" s="171">
        <f t="shared" si="10"/>
        <v>0.32956723556176093</v>
      </c>
      <c r="Z49" s="170">
        <f t="shared" si="17"/>
        <v>3.9147893657317884E-2</v>
      </c>
    </row>
    <row r="50" spans="1:26" x14ac:dyDescent="0.25">
      <c r="A50" s="1"/>
      <c r="B50" s="153" t="s">
        <v>46</v>
      </c>
      <c r="C50" s="151"/>
      <c r="D50" s="151"/>
      <c r="E50" s="151"/>
      <c r="F50" s="151"/>
      <c r="G50" s="151"/>
      <c r="H50" s="151"/>
      <c r="I50" s="151"/>
      <c r="J50" s="151"/>
      <c r="K50" s="151"/>
      <c r="L50" s="151"/>
      <c r="M50" s="151"/>
      <c r="N50" s="151"/>
      <c r="O50" s="151"/>
      <c r="P50" s="151"/>
      <c r="Q50" s="151"/>
      <c r="R50" s="151"/>
      <c r="S50" s="151"/>
      <c r="T50" s="151"/>
      <c r="U50" s="151"/>
      <c r="V50" s="151"/>
      <c r="W50" s="151"/>
      <c r="X50" s="151"/>
      <c r="Y50" s="151"/>
      <c r="Z50" s="151"/>
    </row>
    <row r="51" spans="1:26" x14ac:dyDescent="0.25">
      <c r="A51" s="1" t="s">
        <v>0</v>
      </c>
      <c r="B51" s="154" t="s">
        <v>68</v>
      </c>
      <c r="C51" s="176">
        <f>C52+C55</f>
        <v>0</v>
      </c>
      <c r="D51" s="176">
        <f>D52+D55</f>
        <v>0</v>
      </c>
      <c r="E51" s="176">
        <f>E52+E55</f>
        <v>0</v>
      </c>
      <c r="F51" s="176">
        <f>F52+F55</f>
        <v>0</v>
      </c>
      <c r="G51" s="176">
        <f>G52+G55</f>
        <v>0</v>
      </c>
      <c r="H51" s="177" t="str">
        <f>IFERROR(G51/F51-1,"-")</f>
        <v>-</v>
      </c>
      <c r="I51" s="177" t="str">
        <f t="shared" si="1"/>
        <v>-</v>
      </c>
      <c r="J51" s="177">
        <f>G51/G$9</f>
        <v>0</v>
      </c>
      <c r="K51" s="176">
        <f>K52+K55</f>
        <v>0</v>
      </c>
      <c r="L51" s="176">
        <f>L52+L55</f>
        <v>0</v>
      </c>
      <c r="M51" s="176">
        <f>M52+M55</f>
        <v>0</v>
      </c>
      <c r="N51" s="176">
        <f>N52+N55</f>
        <v>0</v>
      </c>
      <c r="O51" s="176">
        <f>O52+O55</f>
        <v>0</v>
      </c>
      <c r="P51" s="177" t="str">
        <f>IFERROR(O51/N51-1,"-")</f>
        <v>-</v>
      </c>
      <c r="Q51" s="177" t="str">
        <f t="shared" si="9"/>
        <v>-</v>
      </c>
      <c r="R51" s="177">
        <f>O51/O$9</f>
        <v>0</v>
      </c>
      <c r="S51" s="176">
        <f>S52+S55</f>
        <v>38821</v>
      </c>
      <c r="T51" s="176">
        <f>T52+T55</f>
        <v>10755</v>
      </c>
      <c r="U51" s="176">
        <f>U52+U55</f>
        <v>20161</v>
      </c>
      <c r="V51" s="176">
        <f>V52+V55</f>
        <v>37638</v>
      </c>
      <c r="W51" s="176">
        <f>W52+W55</f>
        <v>50521</v>
      </c>
      <c r="X51" s="177">
        <f>IFERROR(W51/V51-1,"-")</f>
        <v>0.34228705032148365</v>
      </c>
      <c r="Y51" s="177">
        <f t="shared" si="10"/>
        <v>0.30138327194044456</v>
      </c>
      <c r="Z51" s="177">
        <f t="shared" ref="Z51:Z63" si="23">U51/U$9</f>
        <v>1.0850733922092796E-2</v>
      </c>
    </row>
    <row r="52" spans="1:26" x14ac:dyDescent="0.25">
      <c r="A52" s="1" t="s">
        <v>96</v>
      </c>
      <c r="B52" s="157" t="s">
        <v>97</v>
      </c>
      <c r="C52" s="158">
        <v>0</v>
      </c>
      <c r="D52" s="158">
        <v>0</v>
      </c>
      <c r="E52" s="158">
        <v>0</v>
      </c>
      <c r="F52" s="158">
        <v>0</v>
      </c>
      <c r="G52" s="158">
        <v>0</v>
      </c>
      <c r="H52" s="159" t="str">
        <f>IFERROR(G52/F52-1,"-")</f>
        <v>-</v>
      </c>
      <c r="I52" s="160" t="str">
        <f t="shared" si="1"/>
        <v>-</v>
      </c>
      <c r="J52" s="159">
        <f>G52/G$9</f>
        <v>0</v>
      </c>
      <c r="K52" s="158">
        <v>0</v>
      </c>
      <c r="L52" s="158">
        <v>0</v>
      </c>
      <c r="M52" s="158">
        <v>0</v>
      </c>
      <c r="N52" s="158">
        <v>0</v>
      </c>
      <c r="O52" s="158">
        <v>0</v>
      </c>
      <c r="P52" s="159" t="str">
        <f>IFERROR(O52/N52-1,"-")</f>
        <v>-</v>
      </c>
      <c r="Q52" s="160" t="str">
        <f t="shared" si="9"/>
        <v>-</v>
      </c>
      <c r="R52" s="159">
        <f>O52/O$9</f>
        <v>0</v>
      </c>
      <c r="S52" s="158">
        <v>8657</v>
      </c>
      <c r="T52" s="158">
        <v>1989</v>
      </c>
      <c r="U52" s="158">
        <v>4950</v>
      </c>
      <c r="V52" s="158">
        <v>6738</v>
      </c>
      <c r="W52" s="158">
        <v>20078</v>
      </c>
      <c r="X52" s="159">
        <f>IFERROR(W52/V52-1,"-")</f>
        <v>1.9798159691303057</v>
      </c>
      <c r="Y52" s="160">
        <f t="shared" si="10"/>
        <v>1.3192791960263373</v>
      </c>
      <c r="Z52" s="159">
        <f t="shared" si="23"/>
        <v>2.6641105557442262E-3</v>
      </c>
    </row>
    <row r="53" spans="1:26" x14ac:dyDescent="0.25">
      <c r="A53" s="161" t="s">
        <v>103</v>
      </c>
      <c r="B53" s="162" t="s">
        <v>103</v>
      </c>
      <c r="C53" s="163">
        <v>0</v>
      </c>
      <c r="D53" s="163">
        <v>0</v>
      </c>
      <c r="E53" s="163">
        <v>0</v>
      </c>
      <c r="F53" s="163">
        <v>0</v>
      </c>
      <c r="G53" s="163">
        <v>0</v>
      </c>
      <c r="H53" s="164" t="str">
        <f>IFERROR(G53/F53-1,"-")</f>
        <v>-</v>
      </c>
      <c r="I53" s="165" t="str">
        <f t="shared" si="1"/>
        <v>-</v>
      </c>
      <c r="J53" s="164">
        <f>G53/G$9</f>
        <v>0</v>
      </c>
      <c r="K53" s="163">
        <v>0</v>
      </c>
      <c r="L53" s="163">
        <v>0</v>
      </c>
      <c r="M53" s="163">
        <v>0</v>
      </c>
      <c r="N53" s="163">
        <v>0</v>
      </c>
      <c r="O53" s="163">
        <v>0</v>
      </c>
      <c r="P53" s="164" t="str">
        <f>IFERROR(O53/N53-1,"-")</f>
        <v>-</v>
      </c>
      <c r="Q53" s="165" t="str">
        <f t="shared" si="9"/>
        <v>-</v>
      </c>
      <c r="R53" s="164">
        <f>O53/O$9</f>
        <v>0</v>
      </c>
      <c r="S53" s="163">
        <v>4791</v>
      </c>
      <c r="T53" s="163">
        <v>1487</v>
      </c>
      <c r="U53" s="163">
        <v>2415</v>
      </c>
      <c r="V53" s="163">
        <v>3508</v>
      </c>
      <c r="W53" s="163">
        <v>14700</v>
      </c>
      <c r="X53" s="164">
        <f>IFERROR(W53/V53-1,"-")</f>
        <v>3.1904218928164196</v>
      </c>
      <c r="Y53" s="165">
        <f t="shared" si="10"/>
        <v>2.0682529743268629</v>
      </c>
      <c r="Z53" s="164">
        <f t="shared" si="23"/>
        <v>1.299763028711577E-3</v>
      </c>
    </row>
    <row r="54" spans="1:26" x14ac:dyDescent="0.25">
      <c r="A54" s="161" t="s">
        <v>100</v>
      </c>
      <c r="B54" s="162" t="s">
        <v>100</v>
      </c>
      <c r="C54" s="163">
        <v>0</v>
      </c>
      <c r="D54" s="163">
        <v>0</v>
      </c>
      <c r="E54" s="163">
        <v>0</v>
      </c>
      <c r="F54" s="163">
        <v>0</v>
      </c>
      <c r="G54" s="163">
        <v>0</v>
      </c>
      <c r="H54" s="164" t="str">
        <f>IFERROR(G54/F54-1,"-")</f>
        <v>-</v>
      </c>
      <c r="I54" s="165" t="str">
        <f t="shared" si="1"/>
        <v>-</v>
      </c>
      <c r="J54" s="164">
        <f>G54/G$9</f>
        <v>0</v>
      </c>
      <c r="K54" s="163">
        <v>0</v>
      </c>
      <c r="L54" s="163">
        <v>0</v>
      </c>
      <c r="M54" s="163">
        <v>0</v>
      </c>
      <c r="N54" s="163">
        <v>0</v>
      </c>
      <c r="O54" s="163">
        <v>0</v>
      </c>
      <c r="P54" s="164" t="str">
        <f>IFERROR(O54/N54-1,"-")</f>
        <v>-</v>
      </c>
      <c r="Q54" s="165" t="str">
        <f t="shared" si="9"/>
        <v>-</v>
      </c>
      <c r="R54" s="164">
        <f>O54/O$9</f>
        <v>0</v>
      </c>
      <c r="S54" s="163">
        <v>3866</v>
      </c>
      <c r="T54" s="163">
        <v>502</v>
      </c>
      <c r="U54" s="163">
        <v>2535</v>
      </c>
      <c r="V54" s="163">
        <v>3230</v>
      </c>
      <c r="W54" s="163">
        <v>5378</v>
      </c>
      <c r="X54" s="164">
        <f>IFERROR(W54/V54-1,"-")</f>
        <v>0.66501547987616094</v>
      </c>
      <c r="Y54" s="165">
        <f t="shared" si="10"/>
        <v>0.39110191412312467</v>
      </c>
      <c r="Z54" s="164">
        <f t="shared" si="23"/>
        <v>1.364347527032649E-3</v>
      </c>
    </row>
    <row r="55" spans="1:26" x14ac:dyDescent="0.25">
      <c r="A55" s="1" t="s">
        <v>146</v>
      </c>
      <c r="B55" s="157" t="s">
        <v>107</v>
      </c>
      <c r="C55" s="158">
        <v>0</v>
      </c>
      <c r="D55" s="158">
        <v>0</v>
      </c>
      <c r="E55" s="158">
        <v>0</v>
      </c>
      <c r="F55" s="158">
        <v>0</v>
      </c>
      <c r="G55" s="158">
        <v>0</v>
      </c>
      <c r="H55" s="159" t="str">
        <f>IFERROR(G55/F55-1,"-")</f>
        <v>-</v>
      </c>
      <c r="I55" s="160" t="str">
        <f t="shared" si="1"/>
        <v>-</v>
      </c>
      <c r="J55" s="159">
        <f>G55/G$9</f>
        <v>0</v>
      </c>
      <c r="K55" s="158">
        <v>0</v>
      </c>
      <c r="L55" s="158">
        <v>0</v>
      </c>
      <c r="M55" s="158">
        <v>0</v>
      </c>
      <c r="N55" s="158">
        <v>0</v>
      </c>
      <c r="O55" s="158">
        <v>0</v>
      </c>
      <c r="P55" s="159" t="str">
        <f>IFERROR(O55/N55-1,"-")</f>
        <v>-</v>
      </c>
      <c r="Q55" s="160" t="str">
        <f t="shared" si="9"/>
        <v>-</v>
      </c>
      <c r="R55" s="159">
        <f>O55/O$9</f>
        <v>0</v>
      </c>
      <c r="S55" s="158">
        <v>30164</v>
      </c>
      <c r="T55" s="158">
        <v>8766</v>
      </c>
      <c r="U55" s="158">
        <v>15211</v>
      </c>
      <c r="V55" s="158">
        <v>30900</v>
      </c>
      <c r="W55" s="158">
        <v>30443</v>
      </c>
      <c r="X55" s="159">
        <f>IFERROR(W55/V55-1,"-")</f>
        <v>-1.4789644012945025E-2</v>
      </c>
      <c r="Y55" s="160">
        <f t="shared" si="10"/>
        <v>9.2494364142685637E-3</v>
      </c>
      <c r="Z55" s="159">
        <f t="shared" si="23"/>
        <v>8.18662336634857E-3</v>
      </c>
    </row>
    <row r="56" spans="1:26" x14ac:dyDescent="0.25">
      <c r="A56" s="161" t="s">
        <v>110</v>
      </c>
      <c r="B56" s="162" t="s">
        <v>110</v>
      </c>
      <c r="C56" s="163">
        <v>0</v>
      </c>
      <c r="D56" s="163">
        <v>0</v>
      </c>
      <c r="E56" s="163">
        <v>0</v>
      </c>
      <c r="F56" s="163">
        <v>0</v>
      </c>
      <c r="G56" s="163">
        <v>0</v>
      </c>
      <c r="H56" s="164" t="str">
        <f t="shared" ref="H56:H63" si="24">IFERROR(G56/F56-1,"-")</f>
        <v>-</v>
      </c>
      <c r="I56" s="165" t="str">
        <f t="shared" si="1"/>
        <v>-</v>
      </c>
      <c r="J56" s="164">
        <f t="shared" ref="J56:J63" si="25">G56/G$9</f>
        <v>0</v>
      </c>
      <c r="K56" s="163">
        <v>0</v>
      </c>
      <c r="L56" s="163">
        <v>0</v>
      </c>
      <c r="M56" s="163">
        <v>0</v>
      </c>
      <c r="N56" s="163">
        <v>0</v>
      </c>
      <c r="O56" s="163">
        <v>0</v>
      </c>
      <c r="P56" s="164" t="str">
        <f t="shared" ref="P56:P63" si="26">IFERROR(O56/N56-1,"-")</f>
        <v>-</v>
      </c>
      <c r="Q56" s="165" t="str">
        <f t="shared" si="9"/>
        <v>-</v>
      </c>
      <c r="R56" s="164">
        <f t="shared" ref="R56:R63" si="27">O56/O$9</f>
        <v>0</v>
      </c>
      <c r="S56" s="163">
        <v>8594</v>
      </c>
      <c r="T56" s="163">
        <v>2464</v>
      </c>
      <c r="U56" s="163">
        <v>3030</v>
      </c>
      <c r="V56" s="163">
        <v>10329</v>
      </c>
      <c r="W56" s="163">
        <v>9247</v>
      </c>
      <c r="X56" s="164">
        <f t="shared" ref="X56:X63" si="28">IFERROR(W56/V56-1,"-")</f>
        <v>-0.10475360635105047</v>
      </c>
      <c r="Y56" s="165">
        <f t="shared" si="10"/>
        <v>7.5983244123807303E-2</v>
      </c>
      <c r="Z56" s="164">
        <f t="shared" si="23"/>
        <v>1.6307585826070717E-3</v>
      </c>
    </row>
    <row r="57" spans="1:26" x14ac:dyDescent="0.25">
      <c r="A57" s="161" t="s">
        <v>113</v>
      </c>
      <c r="B57" s="162" t="s">
        <v>113</v>
      </c>
      <c r="C57" s="163">
        <v>0</v>
      </c>
      <c r="D57" s="163">
        <v>0</v>
      </c>
      <c r="E57" s="163">
        <v>0</v>
      </c>
      <c r="F57" s="163">
        <v>0</v>
      </c>
      <c r="G57" s="163">
        <v>0</v>
      </c>
      <c r="H57" s="164" t="str">
        <f t="shared" si="24"/>
        <v>-</v>
      </c>
      <c r="I57" s="165" t="str">
        <f t="shared" si="1"/>
        <v>-</v>
      </c>
      <c r="J57" s="164">
        <f t="shared" si="25"/>
        <v>0</v>
      </c>
      <c r="K57" s="163">
        <v>0</v>
      </c>
      <c r="L57" s="163">
        <v>0</v>
      </c>
      <c r="M57" s="163">
        <v>0</v>
      </c>
      <c r="N57" s="163">
        <v>0</v>
      </c>
      <c r="O57" s="163">
        <v>0</v>
      </c>
      <c r="P57" s="164" t="str">
        <f t="shared" si="26"/>
        <v>-</v>
      </c>
      <c r="Q57" s="165" t="str">
        <f t="shared" si="9"/>
        <v>-</v>
      </c>
      <c r="R57" s="164">
        <f t="shared" si="27"/>
        <v>0</v>
      </c>
      <c r="S57" s="163">
        <v>9255</v>
      </c>
      <c r="T57" s="163">
        <v>2785</v>
      </c>
      <c r="U57" s="163">
        <v>5150</v>
      </c>
      <c r="V57" s="163">
        <v>6783</v>
      </c>
      <c r="W57" s="163">
        <v>6068</v>
      </c>
      <c r="X57" s="164">
        <f t="shared" si="28"/>
        <v>-0.10541058528674629</v>
      </c>
      <c r="Y57" s="165">
        <f t="shared" si="10"/>
        <v>-0.34435440302539166</v>
      </c>
      <c r="Z57" s="164">
        <f t="shared" si="23"/>
        <v>2.7717513862793464E-3</v>
      </c>
    </row>
    <row r="58" spans="1:26" x14ac:dyDescent="0.25">
      <c r="A58" s="161" t="s">
        <v>116</v>
      </c>
      <c r="B58" s="162" t="s">
        <v>116</v>
      </c>
      <c r="C58" s="163">
        <v>0</v>
      </c>
      <c r="D58" s="163">
        <v>0</v>
      </c>
      <c r="E58" s="163">
        <v>0</v>
      </c>
      <c r="F58" s="163">
        <v>0</v>
      </c>
      <c r="G58" s="163">
        <v>0</v>
      </c>
      <c r="H58" s="164" t="str">
        <f t="shared" si="24"/>
        <v>-</v>
      </c>
      <c r="I58" s="165" t="str">
        <f t="shared" si="1"/>
        <v>-</v>
      </c>
      <c r="J58" s="164">
        <f t="shared" si="25"/>
        <v>0</v>
      </c>
      <c r="K58" s="163">
        <v>0</v>
      </c>
      <c r="L58" s="163">
        <v>0</v>
      </c>
      <c r="M58" s="163">
        <v>0</v>
      </c>
      <c r="N58" s="163">
        <v>0</v>
      </c>
      <c r="O58" s="163">
        <v>0</v>
      </c>
      <c r="P58" s="164" t="str">
        <f t="shared" si="26"/>
        <v>-</v>
      </c>
      <c r="Q58" s="165" t="str">
        <f t="shared" si="9"/>
        <v>-</v>
      </c>
      <c r="R58" s="164">
        <f t="shared" si="27"/>
        <v>0</v>
      </c>
      <c r="S58" s="163">
        <v>1959</v>
      </c>
      <c r="T58" s="163">
        <v>488</v>
      </c>
      <c r="U58" s="163">
        <v>1642</v>
      </c>
      <c r="V58" s="163">
        <v>2739</v>
      </c>
      <c r="W58" s="163">
        <v>2907</v>
      </c>
      <c r="X58" s="164">
        <f t="shared" si="28"/>
        <v>6.1336254107338339E-2</v>
      </c>
      <c r="Y58" s="165">
        <f t="shared" si="10"/>
        <v>0.48392036753445633</v>
      </c>
      <c r="Z58" s="164">
        <f t="shared" si="23"/>
        <v>8.8373121869333722E-4</v>
      </c>
    </row>
    <row r="59" spans="1:26" x14ac:dyDescent="0.25">
      <c r="A59" s="161" t="s">
        <v>123</v>
      </c>
      <c r="B59" s="162" t="s">
        <v>123</v>
      </c>
      <c r="C59" s="163">
        <v>0</v>
      </c>
      <c r="D59" s="163">
        <v>0</v>
      </c>
      <c r="E59" s="163">
        <v>0</v>
      </c>
      <c r="F59" s="163">
        <v>0</v>
      </c>
      <c r="G59" s="163">
        <v>0</v>
      </c>
      <c r="H59" s="164" t="str">
        <f t="shared" si="24"/>
        <v>-</v>
      </c>
      <c r="I59" s="165" t="str">
        <f t="shared" si="1"/>
        <v>-</v>
      </c>
      <c r="J59" s="164">
        <f t="shared" si="25"/>
        <v>0</v>
      </c>
      <c r="K59" s="163">
        <v>0</v>
      </c>
      <c r="L59" s="163">
        <v>0</v>
      </c>
      <c r="M59" s="163">
        <v>0</v>
      </c>
      <c r="N59" s="163">
        <v>0</v>
      </c>
      <c r="O59" s="163">
        <v>0</v>
      </c>
      <c r="P59" s="164" t="str">
        <f t="shared" si="26"/>
        <v>-</v>
      </c>
      <c r="Q59" s="165" t="str">
        <f t="shared" si="9"/>
        <v>-</v>
      </c>
      <c r="R59" s="164">
        <f t="shared" si="27"/>
        <v>0</v>
      </c>
      <c r="S59" s="163">
        <v>546</v>
      </c>
      <c r="T59" s="163">
        <v>271</v>
      </c>
      <c r="U59" s="163">
        <v>377</v>
      </c>
      <c r="V59" s="163">
        <v>866</v>
      </c>
      <c r="W59" s="163">
        <v>806</v>
      </c>
      <c r="X59" s="164">
        <f t="shared" si="28"/>
        <v>-6.9284064665127043E-2</v>
      </c>
      <c r="Y59" s="165">
        <f t="shared" si="10"/>
        <v>0.47619047619047628</v>
      </c>
      <c r="Z59" s="164">
        <f t="shared" si="23"/>
        <v>2.0290296555870165E-4</v>
      </c>
    </row>
    <row r="60" spans="1:26" x14ac:dyDescent="0.25">
      <c r="A60" s="161" t="s">
        <v>119</v>
      </c>
      <c r="B60" s="162" t="s">
        <v>119</v>
      </c>
      <c r="C60" s="163">
        <v>0</v>
      </c>
      <c r="D60" s="163">
        <v>0</v>
      </c>
      <c r="E60" s="163">
        <v>0</v>
      </c>
      <c r="F60" s="163">
        <v>0</v>
      </c>
      <c r="G60" s="163">
        <v>0</v>
      </c>
      <c r="H60" s="164" t="str">
        <f t="shared" si="24"/>
        <v>-</v>
      </c>
      <c r="I60" s="165" t="str">
        <f t="shared" si="1"/>
        <v>-</v>
      </c>
      <c r="J60" s="164">
        <f t="shared" si="25"/>
        <v>0</v>
      </c>
      <c r="K60" s="163">
        <v>0</v>
      </c>
      <c r="L60" s="163">
        <v>0</v>
      </c>
      <c r="M60" s="163">
        <v>0</v>
      </c>
      <c r="N60" s="163">
        <v>0</v>
      </c>
      <c r="O60" s="163">
        <v>0</v>
      </c>
      <c r="P60" s="164" t="str">
        <f t="shared" si="26"/>
        <v>-</v>
      </c>
      <c r="Q60" s="165" t="str">
        <f t="shared" si="9"/>
        <v>-</v>
      </c>
      <c r="R60" s="164">
        <f t="shared" si="27"/>
        <v>0</v>
      </c>
      <c r="S60" s="163">
        <v>636</v>
      </c>
      <c r="T60" s="163">
        <v>177</v>
      </c>
      <c r="U60" s="163">
        <v>476</v>
      </c>
      <c r="V60" s="163">
        <v>649</v>
      </c>
      <c r="W60" s="163">
        <v>683</v>
      </c>
      <c r="X60" s="164">
        <f t="shared" si="28"/>
        <v>5.238828967642517E-2</v>
      </c>
      <c r="Y60" s="165">
        <f t="shared" si="10"/>
        <v>7.3899371069182429E-2</v>
      </c>
      <c r="Z60" s="164">
        <f t="shared" si="23"/>
        <v>2.5618517667358616E-4</v>
      </c>
    </row>
    <row r="61" spans="1:26" x14ac:dyDescent="0.25">
      <c r="A61" s="161" t="s">
        <v>128</v>
      </c>
      <c r="B61" s="162" t="s">
        <v>128</v>
      </c>
      <c r="C61" s="163">
        <v>0</v>
      </c>
      <c r="D61" s="163">
        <v>0</v>
      </c>
      <c r="E61" s="163">
        <v>0</v>
      </c>
      <c r="F61" s="163">
        <v>0</v>
      </c>
      <c r="G61" s="163">
        <v>0</v>
      </c>
      <c r="H61" s="164" t="str">
        <f t="shared" si="24"/>
        <v>-</v>
      </c>
      <c r="I61" s="165" t="str">
        <f t="shared" si="1"/>
        <v>-</v>
      </c>
      <c r="J61" s="164">
        <f t="shared" si="25"/>
        <v>0</v>
      </c>
      <c r="K61" s="163">
        <v>0</v>
      </c>
      <c r="L61" s="163">
        <v>0</v>
      </c>
      <c r="M61" s="163">
        <v>0</v>
      </c>
      <c r="N61" s="163">
        <v>0</v>
      </c>
      <c r="O61" s="163">
        <v>0</v>
      </c>
      <c r="P61" s="164" t="str">
        <f t="shared" si="26"/>
        <v>-</v>
      </c>
      <c r="Q61" s="165" t="str">
        <f t="shared" si="9"/>
        <v>-</v>
      </c>
      <c r="R61" s="164">
        <f t="shared" si="27"/>
        <v>0</v>
      </c>
      <c r="S61" s="163">
        <v>160</v>
      </c>
      <c r="T61" s="163">
        <v>76</v>
      </c>
      <c r="U61" s="163">
        <v>98</v>
      </c>
      <c r="V61" s="163">
        <v>132</v>
      </c>
      <c r="W61" s="163">
        <v>239</v>
      </c>
      <c r="X61" s="164">
        <f t="shared" si="28"/>
        <v>0.81060606060606055</v>
      </c>
      <c r="Y61" s="165">
        <f t="shared" si="10"/>
        <v>0.49374999999999991</v>
      </c>
      <c r="Z61" s="164">
        <f t="shared" si="23"/>
        <v>5.2744006962208921E-5</v>
      </c>
    </row>
    <row r="62" spans="1:26" x14ac:dyDescent="0.25">
      <c r="A62" s="161" t="s">
        <v>131</v>
      </c>
      <c r="B62" s="162" t="s">
        <v>131</v>
      </c>
      <c r="C62" s="163">
        <v>0</v>
      </c>
      <c r="D62" s="163">
        <v>0</v>
      </c>
      <c r="E62" s="163">
        <v>0</v>
      </c>
      <c r="F62" s="163">
        <v>0</v>
      </c>
      <c r="G62" s="163">
        <v>0</v>
      </c>
      <c r="H62" s="164" t="str">
        <f t="shared" si="24"/>
        <v>-</v>
      </c>
      <c r="I62" s="165" t="str">
        <f t="shared" si="1"/>
        <v>-</v>
      </c>
      <c r="J62" s="164">
        <f t="shared" si="25"/>
        <v>0</v>
      </c>
      <c r="K62" s="163">
        <v>0</v>
      </c>
      <c r="L62" s="163">
        <v>0</v>
      </c>
      <c r="M62" s="163">
        <v>0</v>
      </c>
      <c r="N62" s="163">
        <v>0</v>
      </c>
      <c r="O62" s="163">
        <v>0</v>
      </c>
      <c r="P62" s="164" t="str">
        <f t="shared" si="26"/>
        <v>-</v>
      </c>
      <c r="Q62" s="165" t="str">
        <f t="shared" si="9"/>
        <v>-</v>
      </c>
      <c r="R62" s="164">
        <f t="shared" si="27"/>
        <v>0</v>
      </c>
      <c r="S62" s="163">
        <v>340</v>
      </c>
      <c r="T62" s="163">
        <v>121</v>
      </c>
      <c r="U62" s="163">
        <v>91</v>
      </c>
      <c r="V62" s="163">
        <v>153</v>
      </c>
      <c r="W62" s="163">
        <v>195</v>
      </c>
      <c r="X62" s="164">
        <f t="shared" si="28"/>
        <v>0.27450980392156854</v>
      </c>
      <c r="Y62" s="165">
        <f t="shared" si="10"/>
        <v>-0.42647058823529416</v>
      </c>
      <c r="Z62" s="164">
        <f t="shared" si="23"/>
        <v>4.8976577893479713E-5</v>
      </c>
    </row>
    <row r="63" spans="1:26" x14ac:dyDescent="0.25">
      <c r="A63" s="167" t="s">
        <v>145</v>
      </c>
      <c r="B63" s="168" t="s">
        <v>145</v>
      </c>
      <c r="C63" s="169">
        <f>C55-SUM(C56:C62)</f>
        <v>0</v>
      </c>
      <c r="D63" s="169">
        <f>D55-SUM(D56:D62)</f>
        <v>0</v>
      </c>
      <c r="E63" s="169">
        <f>E55-SUM(E56:E62)</f>
        <v>0</v>
      </c>
      <c r="F63" s="169">
        <f>F55-SUM(F56:F62)</f>
        <v>0</v>
      </c>
      <c r="G63" s="169">
        <f>G55-SUM(G56:G62)</f>
        <v>0</v>
      </c>
      <c r="H63" s="170" t="str">
        <f t="shared" si="24"/>
        <v>-</v>
      </c>
      <c r="I63" s="171" t="str">
        <f t="shared" si="1"/>
        <v>-</v>
      </c>
      <c r="J63" s="170">
        <f t="shared" si="25"/>
        <v>0</v>
      </c>
      <c r="K63" s="169">
        <f>K55-SUM(K56:K62)</f>
        <v>0</v>
      </c>
      <c r="L63" s="169">
        <f>L55-SUM(L56:L62)</f>
        <v>0</v>
      </c>
      <c r="M63" s="169">
        <f>M55-SUM(M56:M62)</f>
        <v>0</v>
      </c>
      <c r="N63" s="169">
        <f>N55-SUM(N56:N62)</f>
        <v>0</v>
      </c>
      <c r="O63" s="169">
        <f>O55-SUM(O56:O62)</f>
        <v>0</v>
      </c>
      <c r="P63" s="170" t="str">
        <f t="shared" si="26"/>
        <v>-</v>
      </c>
      <c r="Q63" s="171" t="str">
        <f t="shared" si="9"/>
        <v>-</v>
      </c>
      <c r="R63" s="170">
        <f t="shared" si="27"/>
        <v>0</v>
      </c>
      <c r="S63" s="169">
        <f>S55-SUM(S56:S62)</f>
        <v>8674</v>
      </c>
      <c r="T63" s="169">
        <f>T55-SUM(T56:T62)</f>
        <v>2384</v>
      </c>
      <c r="U63" s="169">
        <f>U55-SUM(U56:U62)</f>
        <v>4347</v>
      </c>
      <c r="V63" s="169">
        <f>V55-SUM(V56:V62)</f>
        <v>9249</v>
      </c>
      <c r="W63" s="169">
        <f>W55-SUM(W56:W62)</f>
        <v>10298</v>
      </c>
      <c r="X63" s="170">
        <f t="shared" si="28"/>
        <v>0.11341766677478637</v>
      </c>
      <c r="Y63" s="171">
        <f t="shared" si="10"/>
        <v>0.18722619322112055</v>
      </c>
      <c r="Z63" s="170">
        <f t="shared" si="23"/>
        <v>2.3395734516808383E-3</v>
      </c>
    </row>
    <row r="64" spans="1:26" x14ac:dyDescent="0.25">
      <c r="A64" s="1"/>
      <c r="B64" s="153" t="s">
        <v>47</v>
      </c>
      <c r="C64" s="151"/>
      <c r="D64" s="151"/>
      <c r="E64" s="151"/>
      <c r="F64" s="151"/>
      <c r="G64" s="151"/>
      <c r="H64" s="151"/>
      <c r="I64" s="151"/>
      <c r="J64" s="151"/>
      <c r="K64" s="151"/>
      <c r="L64" s="151"/>
      <c r="M64" s="151"/>
      <c r="N64" s="151"/>
      <c r="O64" s="151"/>
      <c r="P64" s="151"/>
      <c r="Q64" s="151"/>
      <c r="R64" s="151"/>
      <c r="S64" s="151"/>
      <c r="T64" s="151"/>
      <c r="U64" s="151"/>
      <c r="V64" s="151"/>
      <c r="W64" s="151"/>
      <c r="X64" s="151"/>
      <c r="Y64" s="151"/>
      <c r="Z64" s="151"/>
    </row>
    <row r="65" spans="1:26" x14ac:dyDescent="0.25">
      <c r="A65" s="1" t="s">
        <v>0</v>
      </c>
      <c r="B65" s="154" t="s">
        <v>68</v>
      </c>
      <c r="C65" s="176">
        <f>C66+C69</f>
        <v>12795</v>
      </c>
      <c r="D65" s="176">
        <f>D66+D69</f>
        <v>0</v>
      </c>
      <c r="E65" s="176">
        <f>E66+E69</f>
        <v>0</v>
      </c>
      <c r="F65" s="176">
        <f>F66+F69</f>
        <v>0</v>
      </c>
      <c r="G65" s="176">
        <f>G66+G69</f>
        <v>0</v>
      </c>
      <c r="H65" s="177" t="str">
        <f>IFERROR(G65/F65-1,"-")</f>
        <v>-</v>
      </c>
      <c r="I65" s="177">
        <f t="shared" si="1"/>
        <v>-1</v>
      </c>
      <c r="J65" s="177">
        <f>G65/G$9</f>
        <v>0</v>
      </c>
      <c r="K65" s="176">
        <f>K66+K69</f>
        <v>122557</v>
      </c>
      <c r="L65" s="176">
        <f>L66+L69</f>
        <v>0</v>
      </c>
      <c r="M65" s="176">
        <f>M66+M69</f>
        <v>0</v>
      </c>
      <c r="N65" s="176">
        <f>N66+N69</f>
        <v>0</v>
      </c>
      <c r="O65" s="176">
        <f>O66+O69</f>
        <v>0</v>
      </c>
      <c r="P65" s="177" t="str">
        <f>IFERROR(O65/N65-1,"-")</f>
        <v>-</v>
      </c>
      <c r="Q65" s="177">
        <f t="shared" si="9"/>
        <v>-1</v>
      </c>
      <c r="R65" s="177">
        <f>O65/O$9</f>
        <v>0</v>
      </c>
      <c r="S65" s="176">
        <f>S66+S69</f>
        <v>135352</v>
      </c>
      <c r="T65" s="176">
        <f>T66+T69</f>
        <v>54073</v>
      </c>
      <c r="U65" s="176">
        <f>U66+U69</f>
        <v>62020</v>
      </c>
      <c r="V65" s="176">
        <f>V66+V69</f>
        <v>151473</v>
      </c>
      <c r="W65" s="176">
        <f>W66+W69</f>
        <v>170958</v>
      </c>
      <c r="X65" s="177">
        <f>IFERROR(W65/V65-1,"-")</f>
        <v>0.12863678675407497</v>
      </c>
      <c r="Y65" s="177">
        <f t="shared" si="10"/>
        <v>0.26306223772090553</v>
      </c>
      <c r="Z65" s="177">
        <f t="shared" ref="Z65:Z77" si="29">U65/U$9</f>
        <v>3.3379421548940788E-2</v>
      </c>
    </row>
    <row r="66" spans="1:26" x14ac:dyDescent="0.25">
      <c r="A66" s="1" t="s">
        <v>96</v>
      </c>
      <c r="B66" s="157" t="s">
        <v>97</v>
      </c>
      <c r="C66" s="158">
        <v>2002</v>
      </c>
      <c r="D66" s="158">
        <v>0</v>
      </c>
      <c r="E66" s="158">
        <v>0</v>
      </c>
      <c r="F66" s="158">
        <v>0</v>
      </c>
      <c r="G66" s="158">
        <v>0</v>
      </c>
      <c r="H66" s="159" t="str">
        <f>IFERROR(G66/F66-1,"-")</f>
        <v>-</v>
      </c>
      <c r="I66" s="160">
        <f t="shared" si="1"/>
        <v>-1</v>
      </c>
      <c r="J66" s="159">
        <f>G66/G$9</f>
        <v>0</v>
      </c>
      <c r="K66" s="158">
        <v>39360</v>
      </c>
      <c r="L66" s="158">
        <v>0</v>
      </c>
      <c r="M66" s="158">
        <v>0</v>
      </c>
      <c r="N66" s="158">
        <v>0</v>
      </c>
      <c r="O66" s="158">
        <v>0</v>
      </c>
      <c r="P66" s="159" t="str">
        <f>IFERROR(O66/N66-1,"-")</f>
        <v>-</v>
      </c>
      <c r="Q66" s="160">
        <f t="shared" si="9"/>
        <v>-1</v>
      </c>
      <c r="R66" s="159">
        <f>O66/O$9</f>
        <v>0</v>
      </c>
      <c r="S66" s="158">
        <v>41362</v>
      </c>
      <c r="T66" s="158">
        <v>24032</v>
      </c>
      <c r="U66" s="158">
        <v>25803</v>
      </c>
      <c r="V66" s="158">
        <v>30941</v>
      </c>
      <c r="W66" s="158">
        <v>45548</v>
      </c>
      <c r="X66" s="159">
        <f>IFERROR(W66/V66-1,"-")</f>
        <v>0.47209204615235456</v>
      </c>
      <c r="Y66" s="160">
        <f t="shared" si="10"/>
        <v>0.1012040036748707</v>
      </c>
      <c r="Z66" s="159">
        <f t="shared" si="29"/>
        <v>1.3887281751488538E-2</v>
      </c>
    </row>
    <row r="67" spans="1:26" x14ac:dyDescent="0.25">
      <c r="A67" s="161" t="s">
        <v>103</v>
      </c>
      <c r="B67" s="162" t="s">
        <v>103</v>
      </c>
      <c r="C67" s="163">
        <v>1510</v>
      </c>
      <c r="D67" s="163">
        <v>0</v>
      </c>
      <c r="E67" s="163">
        <v>0</v>
      </c>
      <c r="F67" s="163">
        <v>0</v>
      </c>
      <c r="G67" s="163">
        <v>0</v>
      </c>
      <c r="H67" s="164" t="str">
        <f>IFERROR(G67/F67-1,"-")</f>
        <v>-</v>
      </c>
      <c r="I67" s="165">
        <f t="shared" si="1"/>
        <v>-1</v>
      </c>
      <c r="J67" s="164">
        <f>G67/G$9</f>
        <v>0</v>
      </c>
      <c r="K67" s="163">
        <v>20727</v>
      </c>
      <c r="L67" s="163">
        <v>0</v>
      </c>
      <c r="M67" s="163">
        <v>0</v>
      </c>
      <c r="N67" s="163">
        <v>0</v>
      </c>
      <c r="O67" s="163">
        <v>0</v>
      </c>
      <c r="P67" s="164" t="str">
        <f>IFERROR(O67/N67-1,"-")</f>
        <v>-</v>
      </c>
      <c r="Q67" s="165">
        <f t="shared" si="9"/>
        <v>-1</v>
      </c>
      <c r="R67" s="164">
        <f>O67/O$9</f>
        <v>0</v>
      </c>
      <c r="S67" s="163">
        <v>22237</v>
      </c>
      <c r="T67" s="163">
        <v>8814</v>
      </c>
      <c r="U67" s="163">
        <v>21207</v>
      </c>
      <c r="V67" s="163">
        <v>22920</v>
      </c>
      <c r="W67" s="163">
        <v>31464</v>
      </c>
      <c r="X67" s="164">
        <f>IFERROR(W67/V67-1,"-")</f>
        <v>0.37277486910994773</v>
      </c>
      <c r="Y67" s="165">
        <f t="shared" si="10"/>
        <v>0.41493906552142823</v>
      </c>
      <c r="Z67" s="164">
        <f t="shared" si="29"/>
        <v>1.1413695465791475E-2</v>
      </c>
    </row>
    <row r="68" spans="1:26" x14ac:dyDescent="0.25">
      <c r="A68" s="161" t="s">
        <v>100</v>
      </c>
      <c r="B68" s="162" t="s">
        <v>100</v>
      </c>
      <c r="C68" s="163">
        <v>492</v>
      </c>
      <c r="D68" s="163">
        <v>0</v>
      </c>
      <c r="E68" s="163">
        <v>0</v>
      </c>
      <c r="F68" s="163">
        <v>0</v>
      </c>
      <c r="G68" s="163">
        <v>0</v>
      </c>
      <c r="H68" s="164" t="str">
        <f>IFERROR(G68/F68-1,"-")</f>
        <v>-</v>
      </c>
      <c r="I68" s="165">
        <f t="shared" si="1"/>
        <v>-1</v>
      </c>
      <c r="J68" s="164">
        <f>G68/G$9</f>
        <v>0</v>
      </c>
      <c r="K68" s="163">
        <v>18633</v>
      </c>
      <c r="L68" s="163">
        <v>0</v>
      </c>
      <c r="M68" s="163">
        <v>0</v>
      </c>
      <c r="N68" s="163">
        <v>0</v>
      </c>
      <c r="O68" s="163">
        <v>0</v>
      </c>
      <c r="P68" s="164" t="str">
        <f>IFERROR(O68/N68-1,"-")</f>
        <v>-</v>
      </c>
      <c r="Q68" s="165">
        <f t="shared" si="9"/>
        <v>-1</v>
      </c>
      <c r="R68" s="164">
        <f>O68/O$9</f>
        <v>0</v>
      </c>
      <c r="S68" s="163">
        <v>19125</v>
      </c>
      <c r="T68" s="163">
        <v>15218</v>
      </c>
      <c r="U68" s="163">
        <v>4596</v>
      </c>
      <c r="V68" s="163">
        <v>8021</v>
      </c>
      <c r="W68" s="163">
        <v>14084</v>
      </c>
      <c r="X68" s="164">
        <f>IFERROR(W68/V68-1,"-")</f>
        <v>0.75589078668495202</v>
      </c>
      <c r="Y68" s="165">
        <f t="shared" si="10"/>
        <v>-0.26358169934640518</v>
      </c>
      <c r="Z68" s="164">
        <f t="shared" si="29"/>
        <v>2.4735862856970631E-3</v>
      </c>
    </row>
    <row r="69" spans="1:26" x14ac:dyDescent="0.25">
      <c r="A69" s="1" t="s">
        <v>146</v>
      </c>
      <c r="B69" s="157" t="s">
        <v>107</v>
      </c>
      <c r="C69" s="158">
        <v>10793</v>
      </c>
      <c r="D69" s="158">
        <v>0</v>
      </c>
      <c r="E69" s="158">
        <v>0</v>
      </c>
      <c r="F69" s="158">
        <v>0</v>
      </c>
      <c r="G69" s="158">
        <v>0</v>
      </c>
      <c r="H69" s="159" t="str">
        <f>IFERROR(G69/F69-1,"-")</f>
        <v>-</v>
      </c>
      <c r="I69" s="160">
        <f t="shared" si="1"/>
        <v>-1</v>
      </c>
      <c r="J69" s="159">
        <f>G69/G$9</f>
        <v>0</v>
      </c>
      <c r="K69" s="158">
        <v>83197</v>
      </c>
      <c r="L69" s="158">
        <v>0</v>
      </c>
      <c r="M69" s="158">
        <v>0</v>
      </c>
      <c r="N69" s="158">
        <v>0</v>
      </c>
      <c r="O69" s="158">
        <v>0</v>
      </c>
      <c r="P69" s="159" t="str">
        <f>IFERROR(O69/N69-1,"-")</f>
        <v>-</v>
      </c>
      <c r="Q69" s="160">
        <f t="shared" si="9"/>
        <v>-1</v>
      </c>
      <c r="R69" s="159">
        <f>O69/O$9</f>
        <v>0</v>
      </c>
      <c r="S69" s="158">
        <v>93990</v>
      </c>
      <c r="T69" s="158">
        <v>30041</v>
      </c>
      <c r="U69" s="158">
        <v>36217</v>
      </c>
      <c r="V69" s="158">
        <v>120532</v>
      </c>
      <c r="W69" s="158">
        <v>125410</v>
      </c>
      <c r="X69" s="159">
        <f>IFERROR(W69/V69-1,"-")</f>
        <v>4.0470580426774649E-2</v>
      </c>
      <c r="Y69" s="160">
        <f t="shared" si="10"/>
        <v>0.33429088200872425</v>
      </c>
      <c r="Z69" s="159">
        <f t="shared" si="29"/>
        <v>1.9492139797452249E-2</v>
      </c>
    </row>
    <row r="70" spans="1:26" x14ac:dyDescent="0.25">
      <c r="A70" s="161" t="s">
        <v>110</v>
      </c>
      <c r="B70" s="162" t="s">
        <v>110</v>
      </c>
      <c r="C70" s="163">
        <v>1499</v>
      </c>
      <c r="D70" s="163">
        <v>0</v>
      </c>
      <c r="E70" s="163">
        <v>0</v>
      </c>
      <c r="F70" s="163">
        <v>0</v>
      </c>
      <c r="G70" s="163">
        <v>0</v>
      </c>
      <c r="H70" s="164" t="str">
        <f t="shared" ref="H70:H77" si="30">IFERROR(G70/F70-1,"-")</f>
        <v>-</v>
      </c>
      <c r="I70" s="165">
        <f t="shared" si="1"/>
        <v>-1</v>
      </c>
      <c r="J70" s="164">
        <f t="shared" ref="J70:J77" si="31">G70/G$9</f>
        <v>0</v>
      </c>
      <c r="K70" s="163">
        <v>39253</v>
      </c>
      <c r="L70" s="163">
        <v>0</v>
      </c>
      <c r="M70" s="163">
        <v>0</v>
      </c>
      <c r="N70" s="163">
        <v>0</v>
      </c>
      <c r="O70" s="163">
        <v>0</v>
      </c>
      <c r="P70" s="164" t="str">
        <f t="shared" ref="P70:P77" si="32">IFERROR(O70/N70-1,"-")</f>
        <v>-</v>
      </c>
      <c r="Q70" s="165">
        <f t="shared" si="9"/>
        <v>-1</v>
      </c>
      <c r="R70" s="164">
        <f t="shared" ref="R70:R77" si="33">O70/O$9</f>
        <v>0</v>
      </c>
      <c r="S70" s="163">
        <v>40752</v>
      </c>
      <c r="T70" s="163">
        <v>13564</v>
      </c>
      <c r="U70" s="163">
        <v>7549</v>
      </c>
      <c r="V70" s="163">
        <v>52809</v>
      </c>
      <c r="W70" s="163">
        <v>48101</v>
      </c>
      <c r="X70" s="164">
        <f t="shared" ref="X70:X77" si="34">IFERROR(W70/V70-1,"-")</f>
        <v>-8.9151470393304177E-2</v>
      </c>
      <c r="Y70" s="165">
        <f t="shared" si="10"/>
        <v>0.18033470749901848</v>
      </c>
      <c r="Z70" s="164">
        <f t="shared" si="29"/>
        <v>4.0629031485481136E-3</v>
      </c>
    </row>
    <row r="71" spans="1:26" x14ac:dyDescent="0.25">
      <c r="A71" s="161" t="s">
        <v>113</v>
      </c>
      <c r="B71" s="162" t="s">
        <v>113</v>
      </c>
      <c r="C71" s="163">
        <v>1882</v>
      </c>
      <c r="D71" s="163">
        <v>0</v>
      </c>
      <c r="E71" s="163">
        <v>0</v>
      </c>
      <c r="F71" s="163">
        <v>0</v>
      </c>
      <c r="G71" s="163">
        <v>0</v>
      </c>
      <c r="H71" s="164" t="str">
        <f t="shared" si="30"/>
        <v>-</v>
      </c>
      <c r="I71" s="165">
        <f t="shared" si="1"/>
        <v>-1</v>
      </c>
      <c r="J71" s="164">
        <f t="shared" si="31"/>
        <v>0</v>
      </c>
      <c r="K71" s="163">
        <v>9305</v>
      </c>
      <c r="L71" s="163">
        <v>0</v>
      </c>
      <c r="M71" s="163">
        <v>0</v>
      </c>
      <c r="N71" s="163">
        <v>0</v>
      </c>
      <c r="O71" s="163">
        <v>0</v>
      </c>
      <c r="P71" s="164" t="str">
        <f t="shared" si="32"/>
        <v>-</v>
      </c>
      <c r="Q71" s="165">
        <f t="shared" si="9"/>
        <v>-1</v>
      </c>
      <c r="R71" s="164">
        <f t="shared" si="33"/>
        <v>0</v>
      </c>
      <c r="S71" s="163">
        <v>11187</v>
      </c>
      <c r="T71" s="163">
        <v>3277</v>
      </c>
      <c r="U71" s="163">
        <v>3513</v>
      </c>
      <c r="V71" s="163">
        <v>7009</v>
      </c>
      <c r="W71" s="163">
        <v>9961</v>
      </c>
      <c r="X71" s="164">
        <f t="shared" si="34"/>
        <v>0.42117277785704088</v>
      </c>
      <c r="Y71" s="165">
        <f t="shared" si="10"/>
        <v>-0.10959149012246361</v>
      </c>
      <c r="Z71" s="164">
        <f t="shared" si="29"/>
        <v>1.8907111883493871E-3</v>
      </c>
    </row>
    <row r="72" spans="1:26" x14ac:dyDescent="0.25">
      <c r="A72" s="161" t="s">
        <v>116</v>
      </c>
      <c r="B72" s="162" t="s">
        <v>116</v>
      </c>
      <c r="C72" s="163">
        <v>2393</v>
      </c>
      <c r="D72" s="163">
        <v>0</v>
      </c>
      <c r="E72" s="163">
        <v>0</v>
      </c>
      <c r="F72" s="163">
        <v>0</v>
      </c>
      <c r="G72" s="163">
        <v>0</v>
      </c>
      <c r="H72" s="164" t="str">
        <f t="shared" si="30"/>
        <v>-</v>
      </c>
      <c r="I72" s="165">
        <f t="shared" si="1"/>
        <v>-1</v>
      </c>
      <c r="J72" s="164">
        <f t="shared" si="31"/>
        <v>0</v>
      </c>
      <c r="K72" s="163">
        <v>8387</v>
      </c>
      <c r="L72" s="163">
        <v>0</v>
      </c>
      <c r="M72" s="163">
        <v>0</v>
      </c>
      <c r="N72" s="163">
        <v>0</v>
      </c>
      <c r="O72" s="163">
        <v>0</v>
      </c>
      <c r="P72" s="164" t="str">
        <f t="shared" si="32"/>
        <v>-</v>
      </c>
      <c r="Q72" s="165">
        <f t="shared" si="9"/>
        <v>-1</v>
      </c>
      <c r="R72" s="164">
        <f t="shared" si="33"/>
        <v>0</v>
      </c>
      <c r="S72" s="163">
        <v>10780</v>
      </c>
      <c r="T72" s="163">
        <v>3407</v>
      </c>
      <c r="U72" s="163">
        <v>6247</v>
      </c>
      <c r="V72" s="163">
        <v>17604</v>
      </c>
      <c r="W72" s="163">
        <v>15357</v>
      </c>
      <c r="X72" s="164">
        <f t="shared" si="34"/>
        <v>-0.12764144512610776</v>
      </c>
      <c r="Y72" s="165">
        <f t="shared" si="10"/>
        <v>0.42458256029684605</v>
      </c>
      <c r="Z72" s="164">
        <f t="shared" si="29"/>
        <v>3.3621613417644807E-3</v>
      </c>
    </row>
    <row r="73" spans="1:26" x14ac:dyDescent="0.25">
      <c r="A73" s="161" t="s">
        <v>123</v>
      </c>
      <c r="B73" s="162" t="s">
        <v>123</v>
      </c>
      <c r="C73" s="163">
        <v>100</v>
      </c>
      <c r="D73" s="163">
        <v>0</v>
      </c>
      <c r="E73" s="163">
        <v>0</v>
      </c>
      <c r="F73" s="163">
        <v>0</v>
      </c>
      <c r="G73" s="163">
        <v>0</v>
      </c>
      <c r="H73" s="164" t="str">
        <f t="shared" si="30"/>
        <v>-</v>
      </c>
      <c r="I73" s="165">
        <f t="shared" si="1"/>
        <v>-1</v>
      </c>
      <c r="J73" s="164">
        <f t="shared" si="31"/>
        <v>0</v>
      </c>
      <c r="K73" s="163">
        <v>1619</v>
      </c>
      <c r="L73" s="163">
        <v>0</v>
      </c>
      <c r="M73" s="163">
        <v>0</v>
      </c>
      <c r="N73" s="163">
        <v>0</v>
      </c>
      <c r="O73" s="163">
        <v>0</v>
      </c>
      <c r="P73" s="164" t="str">
        <f t="shared" si="32"/>
        <v>-</v>
      </c>
      <c r="Q73" s="165">
        <f t="shared" si="9"/>
        <v>-1</v>
      </c>
      <c r="R73" s="164">
        <f t="shared" si="33"/>
        <v>0</v>
      </c>
      <c r="S73" s="163">
        <v>1719</v>
      </c>
      <c r="T73" s="163">
        <v>502</v>
      </c>
      <c r="U73" s="163">
        <v>1777</v>
      </c>
      <c r="V73" s="163">
        <v>2468</v>
      </c>
      <c r="W73" s="163">
        <v>3478</v>
      </c>
      <c r="X73" s="164">
        <f t="shared" si="34"/>
        <v>0.4092382495948137</v>
      </c>
      <c r="Y73" s="165">
        <f t="shared" si="10"/>
        <v>1.0232693426410706</v>
      </c>
      <c r="Z73" s="164">
        <f t="shared" si="29"/>
        <v>9.5638877930454339E-4</v>
      </c>
    </row>
    <row r="74" spans="1:26" x14ac:dyDescent="0.25">
      <c r="A74" s="161" t="s">
        <v>119</v>
      </c>
      <c r="B74" s="162" t="s">
        <v>119</v>
      </c>
      <c r="C74" s="163">
        <v>0</v>
      </c>
      <c r="D74" s="163">
        <v>0</v>
      </c>
      <c r="E74" s="163">
        <v>0</v>
      </c>
      <c r="F74" s="163">
        <v>0</v>
      </c>
      <c r="G74" s="163">
        <v>0</v>
      </c>
      <c r="H74" s="164" t="str">
        <f t="shared" si="30"/>
        <v>-</v>
      </c>
      <c r="I74" s="165" t="str">
        <f t="shared" ref="I74:I137" si="35">IFERROR(G74/C74-1,"-")</f>
        <v>-</v>
      </c>
      <c r="J74" s="164">
        <f t="shared" si="31"/>
        <v>0</v>
      </c>
      <c r="K74" s="163">
        <v>2455</v>
      </c>
      <c r="L74" s="163">
        <v>0</v>
      </c>
      <c r="M74" s="163">
        <v>0</v>
      </c>
      <c r="N74" s="163">
        <v>0</v>
      </c>
      <c r="O74" s="163">
        <v>0</v>
      </c>
      <c r="P74" s="164" t="str">
        <f t="shared" si="32"/>
        <v>-</v>
      </c>
      <c r="Q74" s="165">
        <f t="shared" si="9"/>
        <v>-1</v>
      </c>
      <c r="R74" s="164">
        <f t="shared" si="33"/>
        <v>0</v>
      </c>
      <c r="S74" s="163">
        <v>2455</v>
      </c>
      <c r="T74" s="163">
        <v>1200</v>
      </c>
      <c r="U74" s="163">
        <v>1607</v>
      </c>
      <c r="V74" s="163">
        <v>2853</v>
      </c>
      <c r="W74" s="163">
        <v>2272</v>
      </c>
      <c r="X74" s="164">
        <f t="shared" si="34"/>
        <v>-0.20364528566421314</v>
      </c>
      <c r="Y74" s="165">
        <f t="shared" si="10"/>
        <v>-7.4541751527494871E-2</v>
      </c>
      <c r="Z74" s="164">
        <f t="shared" si="29"/>
        <v>8.6489407334969118E-4</v>
      </c>
    </row>
    <row r="75" spans="1:26" x14ac:dyDescent="0.25">
      <c r="A75" s="161" t="s">
        <v>128</v>
      </c>
      <c r="B75" s="162" t="s">
        <v>128</v>
      </c>
      <c r="C75" s="163">
        <v>311</v>
      </c>
      <c r="D75" s="163">
        <v>0</v>
      </c>
      <c r="E75" s="163">
        <v>0</v>
      </c>
      <c r="F75" s="163">
        <v>0</v>
      </c>
      <c r="G75" s="163">
        <v>0</v>
      </c>
      <c r="H75" s="164" t="str">
        <f t="shared" si="30"/>
        <v>-</v>
      </c>
      <c r="I75" s="165">
        <f t="shared" si="35"/>
        <v>-1</v>
      </c>
      <c r="J75" s="164">
        <f t="shared" si="31"/>
        <v>0</v>
      </c>
      <c r="K75" s="163">
        <v>1869</v>
      </c>
      <c r="L75" s="163">
        <v>0</v>
      </c>
      <c r="M75" s="163">
        <v>0</v>
      </c>
      <c r="N75" s="163">
        <v>0</v>
      </c>
      <c r="O75" s="163">
        <v>0</v>
      </c>
      <c r="P75" s="164" t="str">
        <f t="shared" si="32"/>
        <v>-</v>
      </c>
      <c r="Q75" s="165">
        <f t="shared" si="9"/>
        <v>-1</v>
      </c>
      <c r="R75" s="164">
        <f t="shared" si="33"/>
        <v>0</v>
      </c>
      <c r="S75" s="163">
        <v>2180</v>
      </c>
      <c r="T75" s="163">
        <v>651</v>
      </c>
      <c r="U75" s="163">
        <v>1674</v>
      </c>
      <c r="V75" s="163">
        <v>2685</v>
      </c>
      <c r="W75" s="163">
        <v>3745</v>
      </c>
      <c r="X75" s="164">
        <f t="shared" si="34"/>
        <v>0.39478584729981381</v>
      </c>
      <c r="Y75" s="165">
        <f t="shared" si="10"/>
        <v>0.71788990825688082</v>
      </c>
      <c r="Z75" s="164">
        <f t="shared" si="29"/>
        <v>9.0095375157895642E-4</v>
      </c>
    </row>
    <row r="76" spans="1:26" x14ac:dyDescent="0.25">
      <c r="A76" s="161" t="s">
        <v>131</v>
      </c>
      <c r="B76" s="162" t="s">
        <v>131</v>
      </c>
      <c r="C76" s="163">
        <v>225</v>
      </c>
      <c r="D76" s="163">
        <v>0</v>
      </c>
      <c r="E76" s="163">
        <v>0</v>
      </c>
      <c r="F76" s="163">
        <v>0</v>
      </c>
      <c r="G76" s="163">
        <v>0</v>
      </c>
      <c r="H76" s="164" t="str">
        <f t="shared" si="30"/>
        <v>-</v>
      </c>
      <c r="I76" s="165">
        <f t="shared" si="35"/>
        <v>-1</v>
      </c>
      <c r="J76" s="164">
        <f t="shared" si="31"/>
        <v>0</v>
      </c>
      <c r="K76" s="163">
        <v>2065</v>
      </c>
      <c r="L76" s="163">
        <v>0</v>
      </c>
      <c r="M76" s="163">
        <v>0</v>
      </c>
      <c r="N76" s="163">
        <v>0</v>
      </c>
      <c r="O76" s="163">
        <v>0</v>
      </c>
      <c r="P76" s="164" t="str">
        <f t="shared" si="32"/>
        <v>-</v>
      </c>
      <c r="Q76" s="165">
        <f t="shared" si="9"/>
        <v>-1</v>
      </c>
      <c r="R76" s="164">
        <f t="shared" si="33"/>
        <v>0</v>
      </c>
      <c r="S76" s="163">
        <v>2290</v>
      </c>
      <c r="T76" s="163">
        <v>907</v>
      </c>
      <c r="U76" s="163">
        <v>154</v>
      </c>
      <c r="V76" s="163">
        <v>799</v>
      </c>
      <c r="W76" s="163">
        <v>1039</v>
      </c>
      <c r="X76" s="164">
        <f t="shared" si="34"/>
        <v>0.30037546933667092</v>
      </c>
      <c r="Y76" s="165">
        <f t="shared" si="10"/>
        <v>-0.54628820960698687</v>
      </c>
      <c r="Z76" s="164">
        <f t="shared" si="29"/>
        <v>8.2883439512042591E-5</v>
      </c>
    </row>
    <row r="77" spans="1:26" x14ac:dyDescent="0.25">
      <c r="A77" s="167" t="s">
        <v>145</v>
      </c>
      <c r="B77" s="168" t="s">
        <v>145</v>
      </c>
      <c r="C77" s="169">
        <f>C69-SUM(C70:C76)</f>
        <v>4383</v>
      </c>
      <c r="D77" s="169">
        <f>D69-SUM(D70:D76)</f>
        <v>0</v>
      </c>
      <c r="E77" s="169">
        <f>E69-SUM(E70:E76)</f>
        <v>0</v>
      </c>
      <c r="F77" s="169">
        <f>F69-SUM(F70:F76)</f>
        <v>0</v>
      </c>
      <c r="G77" s="169">
        <f>G69-SUM(G70:G76)</f>
        <v>0</v>
      </c>
      <c r="H77" s="170" t="str">
        <f t="shared" si="30"/>
        <v>-</v>
      </c>
      <c r="I77" s="171">
        <f t="shared" si="35"/>
        <v>-1</v>
      </c>
      <c r="J77" s="170">
        <f t="shared" si="31"/>
        <v>0</v>
      </c>
      <c r="K77" s="169">
        <f>K69-SUM(K70:K76)</f>
        <v>18244</v>
      </c>
      <c r="L77" s="169">
        <f>L69-SUM(L70:L76)</f>
        <v>0</v>
      </c>
      <c r="M77" s="169">
        <f>M69-SUM(M70:M76)</f>
        <v>0</v>
      </c>
      <c r="N77" s="169">
        <f>N69-SUM(N70:N76)</f>
        <v>0</v>
      </c>
      <c r="O77" s="169">
        <f>O69-SUM(O70:O76)</f>
        <v>0</v>
      </c>
      <c r="P77" s="170" t="str">
        <f t="shared" si="32"/>
        <v>-</v>
      </c>
      <c r="Q77" s="171">
        <f t="shared" si="9"/>
        <v>-1</v>
      </c>
      <c r="R77" s="170">
        <f t="shared" si="33"/>
        <v>0</v>
      </c>
      <c r="S77" s="169">
        <f>S69-SUM(S70:S76)</f>
        <v>22627</v>
      </c>
      <c r="T77" s="169">
        <f>T69-SUM(T70:T76)</f>
        <v>6533</v>
      </c>
      <c r="U77" s="169">
        <f>U69-SUM(U70:U76)</f>
        <v>13696</v>
      </c>
      <c r="V77" s="169">
        <f>V69-SUM(V70:V76)</f>
        <v>34305</v>
      </c>
      <c r="W77" s="169">
        <f>W69-SUM(W70:W76)</f>
        <v>41457</v>
      </c>
      <c r="X77" s="170">
        <f t="shared" si="34"/>
        <v>0.20848272846523841</v>
      </c>
      <c r="Y77" s="171">
        <f t="shared" si="10"/>
        <v>0.83219162946921821</v>
      </c>
      <c r="Z77" s="170">
        <f t="shared" si="29"/>
        <v>7.3712440750450343E-3</v>
      </c>
    </row>
    <row r="78" spans="1:26" x14ac:dyDescent="0.25">
      <c r="A78" s="1"/>
      <c r="B78" s="153" t="s">
        <v>48</v>
      </c>
      <c r="C78" s="151"/>
      <c r="D78" s="151"/>
      <c r="E78" s="151"/>
      <c r="F78" s="151"/>
      <c r="G78" s="151"/>
      <c r="H78" s="151"/>
      <c r="I78" s="151"/>
      <c r="J78" s="151"/>
      <c r="K78" s="151"/>
      <c r="L78" s="151"/>
      <c r="M78" s="151"/>
      <c r="N78" s="151"/>
      <c r="O78" s="151"/>
      <c r="P78" s="151"/>
      <c r="Q78" s="151"/>
      <c r="R78" s="151"/>
      <c r="S78" s="151"/>
      <c r="T78" s="151"/>
      <c r="U78" s="151"/>
      <c r="V78" s="151"/>
      <c r="W78" s="151"/>
      <c r="X78" s="151"/>
      <c r="Y78" s="151"/>
      <c r="Z78" s="151"/>
    </row>
    <row r="79" spans="1:26" x14ac:dyDescent="0.25">
      <c r="A79" s="1" t="s">
        <v>0</v>
      </c>
      <c r="B79" s="154" t="s">
        <v>68</v>
      </c>
      <c r="C79" s="176">
        <f>C80+C83</f>
        <v>131352</v>
      </c>
      <c r="D79" s="176">
        <f>D80+D83</f>
        <v>34055</v>
      </c>
      <c r="E79" s="176">
        <f>E80+E83</f>
        <v>70827</v>
      </c>
      <c r="F79" s="176">
        <f>F80+F83</f>
        <v>98456</v>
      </c>
      <c r="G79" s="176">
        <f>G80+G83</f>
        <v>103299</v>
      </c>
      <c r="H79" s="177">
        <f>IFERROR(G79/F79-1,"-")</f>
        <v>4.9189485658568399E-2</v>
      </c>
      <c r="I79" s="177">
        <f t="shared" si="35"/>
        <v>-0.21357116754978989</v>
      </c>
      <c r="J79" s="177">
        <f>G79/G$9</f>
        <v>0.13989496264917309</v>
      </c>
      <c r="K79" s="176">
        <f>K80+K83</f>
        <v>501207</v>
      </c>
      <c r="L79" s="176">
        <f>L80+L83</f>
        <v>143122</v>
      </c>
      <c r="M79" s="176">
        <f>M80+M83</f>
        <v>214429</v>
      </c>
      <c r="N79" s="176">
        <f>N80+N83</f>
        <v>476344</v>
      </c>
      <c r="O79" s="176">
        <f>O80+O83</f>
        <v>549349</v>
      </c>
      <c r="P79" s="177">
        <f>IFERROR(O79/N79-1,"-")</f>
        <v>0.15326108862502719</v>
      </c>
      <c r="Q79" s="177">
        <f t="shared" si="9"/>
        <v>9.6052130157799009E-2</v>
      </c>
      <c r="R79" s="177">
        <f>O79/O$9</f>
        <v>0.16397723806129511</v>
      </c>
      <c r="S79" s="176">
        <f>S80+S83</f>
        <v>632559</v>
      </c>
      <c r="T79" s="176">
        <f>T80+T83</f>
        <v>177177</v>
      </c>
      <c r="U79" s="176">
        <f>U80+U83</f>
        <v>285256</v>
      </c>
      <c r="V79" s="176">
        <f>V80+V83</f>
        <v>574800</v>
      </c>
      <c r="W79" s="176">
        <f>W80+W83</f>
        <v>652648</v>
      </c>
      <c r="X79" s="177">
        <f>IFERROR(W79/V79-1,"-")</f>
        <v>0.13543493389004868</v>
      </c>
      <c r="Y79" s="177">
        <f t="shared" si="10"/>
        <v>3.1758302387603354E-2</v>
      </c>
      <c r="Z79" s="177">
        <f t="shared" ref="Z79:Z91" si="36">U79/U$9</f>
        <v>0.1535259637756313</v>
      </c>
    </row>
    <row r="80" spans="1:26" x14ac:dyDescent="0.25">
      <c r="A80" s="1" t="s">
        <v>96</v>
      </c>
      <c r="B80" s="157" t="s">
        <v>97</v>
      </c>
      <c r="C80" s="158">
        <v>57326</v>
      </c>
      <c r="D80" s="158">
        <v>15296</v>
      </c>
      <c r="E80" s="158">
        <v>38077</v>
      </c>
      <c r="F80" s="158">
        <v>48839</v>
      </c>
      <c r="G80" s="158">
        <v>49185</v>
      </c>
      <c r="H80" s="159">
        <f>IFERROR(G80/F80-1,"-")</f>
        <v>7.0845021396834795E-3</v>
      </c>
      <c r="I80" s="160">
        <f t="shared" si="35"/>
        <v>-0.14201235041691385</v>
      </c>
      <c r="J80" s="159">
        <f>G80/G$9</f>
        <v>6.6609877519623398E-2</v>
      </c>
      <c r="K80" s="158">
        <v>228164</v>
      </c>
      <c r="L80" s="158">
        <v>67449</v>
      </c>
      <c r="M80" s="158">
        <v>109519</v>
      </c>
      <c r="N80" s="158">
        <v>230615</v>
      </c>
      <c r="O80" s="158">
        <v>229974</v>
      </c>
      <c r="P80" s="159">
        <f>IFERROR(O80/N80-1,"-")</f>
        <v>-2.7795243154175031E-3</v>
      </c>
      <c r="Q80" s="160">
        <f t="shared" si="9"/>
        <v>7.9328903770972126E-3</v>
      </c>
      <c r="R80" s="159">
        <f>O80/O$9</f>
        <v>6.8645799566228891E-2</v>
      </c>
      <c r="S80" s="158">
        <v>285490</v>
      </c>
      <c r="T80" s="158">
        <v>82745</v>
      </c>
      <c r="U80" s="158">
        <v>147596</v>
      </c>
      <c r="V80" s="158">
        <v>279454</v>
      </c>
      <c r="W80" s="158">
        <v>279159</v>
      </c>
      <c r="X80" s="159">
        <f>IFERROR(W80/V80-1,"-")</f>
        <v>-1.0556299068898989E-3</v>
      </c>
      <c r="Y80" s="160">
        <f t="shared" si="10"/>
        <v>-2.2175908087848972E-2</v>
      </c>
      <c r="Z80" s="159">
        <f t="shared" si="36"/>
        <v>7.9436780118308042E-2</v>
      </c>
    </row>
    <row r="81" spans="1:26" x14ac:dyDescent="0.25">
      <c r="A81" s="161" t="s">
        <v>103</v>
      </c>
      <c r="B81" s="162" t="s">
        <v>103</v>
      </c>
      <c r="C81" s="163">
        <v>19941</v>
      </c>
      <c r="D81" s="163">
        <v>7696</v>
      </c>
      <c r="E81" s="163">
        <v>24218</v>
      </c>
      <c r="F81" s="163">
        <v>29828</v>
      </c>
      <c r="G81" s="163">
        <v>29979</v>
      </c>
      <c r="H81" s="164">
        <f>IFERROR(G81/F81-1,"-")</f>
        <v>5.0623575164274737E-3</v>
      </c>
      <c r="I81" s="165">
        <f t="shared" si="35"/>
        <v>0.50338498570783807</v>
      </c>
      <c r="J81" s="164">
        <f>G81/G$9</f>
        <v>4.0599725895309344E-2</v>
      </c>
      <c r="K81" s="163">
        <v>29985</v>
      </c>
      <c r="L81" s="163">
        <v>11781</v>
      </c>
      <c r="M81" s="163">
        <v>24585</v>
      </c>
      <c r="N81" s="163">
        <v>36378</v>
      </c>
      <c r="O81" s="163">
        <v>30210</v>
      </c>
      <c r="P81" s="164">
        <f>IFERROR(O81/N81-1,"-")</f>
        <v>-0.16955302655451099</v>
      </c>
      <c r="Q81" s="165">
        <f t="shared" si="9"/>
        <v>7.5037518759379918E-3</v>
      </c>
      <c r="R81" s="164">
        <f>O81/O$9</f>
        <v>9.0174959121282188E-3</v>
      </c>
      <c r="S81" s="163">
        <v>49926</v>
      </c>
      <c r="T81" s="163">
        <v>19477</v>
      </c>
      <c r="U81" s="163">
        <v>48803</v>
      </c>
      <c r="V81" s="163">
        <v>66206</v>
      </c>
      <c r="W81" s="163">
        <v>60189</v>
      </c>
      <c r="X81" s="164">
        <f>IFERROR(W81/V81-1,"-")</f>
        <v>-9.088300154064588E-2</v>
      </c>
      <c r="Y81" s="165">
        <f t="shared" si="10"/>
        <v>0.20556423506790056</v>
      </c>
      <c r="Z81" s="164">
        <f t="shared" si="36"/>
        <v>2.6265977263027367E-2</v>
      </c>
    </row>
    <row r="82" spans="1:26" x14ac:dyDescent="0.25">
      <c r="A82" s="161" t="s">
        <v>100</v>
      </c>
      <c r="B82" s="162" t="s">
        <v>100</v>
      </c>
      <c r="C82" s="163">
        <v>37385</v>
      </c>
      <c r="D82" s="163">
        <v>7600</v>
      </c>
      <c r="E82" s="163">
        <v>13859</v>
      </c>
      <c r="F82" s="163">
        <v>19011</v>
      </c>
      <c r="G82" s="163">
        <v>19206</v>
      </c>
      <c r="H82" s="164">
        <f>IFERROR(G82/F82-1,"-")</f>
        <v>1.0257219504497428E-2</v>
      </c>
      <c r="I82" s="165">
        <f t="shared" si="35"/>
        <v>-0.48626454460345059</v>
      </c>
      <c r="J82" s="164">
        <f>G82/G$9</f>
        <v>2.6010151624314061E-2</v>
      </c>
      <c r="K82" s="163">
        <v>198179</v>
      </c>
      <c r="L82" s="163">
        <v>55668</v>
      </c>
      <c r="M82" s="163">
        <v>84934</v>
      </c>
      <c r="N82" s="163">
        <v>194237</v>
      </c>
      <c r="O82" s="163">
        <v>199764</v>
      </c>
      <c r="P82" s="164">
        <f>IFERROR(O82/N82-1,"-")</f>
        <v>2.8454928772581933E-2</v>
      </c>
      <c r="Q82" s="165">
        <f t="shared" si="9"/>
        <v>7.9978201524883996E-3</v>
      </c>
      <c r="R82" s="164">
        <f>O82/O$9</f>
        <v>5.9628303654100677E-2</v>
      </c>
      <c r="S82" s="163">
        <v>235564</v>
      </c>
      <c r="T82" s="163">
        <v>63268</v>
      </c>
      <c r="U82" s="163">
        <v>98793</v>
      </c>
      <c r="V82" s="163">
        <v>213248</v>
      </c>
      <c r="W82" s="163">
        <v>218970</v>
      </c>
      <c r="X82" s="164">
        <f>IFERROR(W82/V82-1,"-")</f>
        <v>2.6832608043217299E-2</v>
      </c>
      <c r="Y82" s="165">
        <f t="shared" si="10"/>
        <v>-7.0443701074867082E-2</v>
      </c>
      <c r="Z82" s="164">
        <f t="shared" si="36"/>
        <v>5.3170802855280669E-2</v>
      </c>
    </row>
    <row r="83" spans="1:26" x14ac:dyDescent="0.25">
      <c r="A83" s="1" t="s">
        <v>146</v>
      </c>
      <c r="B83" s="157" t="s">
        <v>107</v>
      </c>
      <c r="C83" s="158">
        <v>74026</v>
      </c>
      <c r="D83" s="158">
        <v>18759</v>
      </c>
      <c r="E83" s="158">
        <v>32750</v>
      </c>
      <c r="F83" s="158">
        <v>49617</v>
      </c>
      <c r="G83" s="158">
        <v>54114</v>
      </c>
      <c r="H83" s="159">
        <f>IFERROR(G83/F83-1,"-")</f>
        <v>9.0634258419493241E-2</v>
      </c>
      <c r="I83" s="160">
        <f t="shared" si="35"/>
        <v>-0.26898657228541323</v>
      </c>
      <c r="J83" s="159">
        <f>G83/G$9</f>
        <v>7.3285085129549676E-2</v>
      </c>
      <c r="K83" s="158">
        <v>273043</v>
      </c>
      <c r="L83" s="158">
        <v>75673</v>
      </c>
      <c r="M83" s="158">
        <v>104910</v>
      </c>
      <c r="N83" s="158">
        <v>245729</v>
      </c>
      <c r="O83" s="158">
        <v>319375</v>
      </c>
      <c r="P83" s="159">
        <f>IFERROR(O83/N83-1,"-")</f>
        <v>0.29970414562383763</v>
      </c>
      <c r="Q83" s="160">
        <f t="shared" si="9"/>
        <v>0.16968755836992711</v>
      </c>
      <c r="R83" s="159">
        <f>O83/O$9</f>
        <v>9.5331438495066201E-2</v>
      </c>
      <c r="S83" s="158">
        <v>347069</v>
      </c>
      <c r="T83" s="158">
        <v>94432</v>
      </c>
      <c r="U83" s="158">
        <v>137660</v>
      </c>
      <c r="V83" s="158">
        <v>295346</v>
      </c>
      <c r="W83" s="158">
        <v>373489</v>
      </c>
      <c r="X83" s="159">
        <f>IFERROR(W83/V83-1,"-")</f>
        <v>0.26458120306352551</v>
      </c>
      <c r="Y83" s="160">
        <f t="shared" si="10"/>
        <v>7.6123191642007759E-2</v>
      </c>
      <c r="Z83" s="159">
        <f t="shared" si="36"/>
        <v>7.4089183657323268E-2</v>
      </c>
    </row>
    <row r="84" spans="1:26" x14ac:dyDescent="0.25">
      <c r="A84" s="161" t="s">
        <v>110</v>
      </c>
      <c r="B84" s="162" t="s">
        <v>110</v>
      </c>
      <c r="C84" s="163">
        <v>9286</v>
      </c>
      <c r="D84" s="163">
        <v>2578</v>
      </c>
      <c r="E84" s="163">
        <v>3228</v>
      </c>
      <c r="F84" s="163">
        <v>5828</v>
      </c>
      <c r="G84" s="163">
        <v>7060</v>
      </c>
      <c r="H84" s="164">
        <f t="shared" ref="H84:H91" si="37">IFERROR(G84/F84-1,"-")</f>
        <v>0.21139327385037743</v>
      </c>
      <c r="I84" s="165">
        <f t="shared" si="35"/>
        <v>-0.23971570105535212</v>
      </c>
      <c r="J84" s="164">
        <f t="shared" ref="J84:J91" si="38">G84/G$9</f>
        <v>9.5611616405111566E-3</v>
      </c>
      <c r="K84" s="163">
        <v>54466</v>
      </c>
      <c r="L84" s="163">
        <v>15879</v>
      </c>
      <c r="M84" s="163">
        <v>11210</v>
      </c>
      <c r="N84" s="163">
        <v>56300</v>
      </c>
      <c r="O84" s="163">
        <v>75139</v>
      </c>
      <c r="P84" s="164">
        <f t="shared" ref="P84:P91" si="39">IFERROR(O84/N84-1,"-")</f>
        <v>0.3346181172291296</v>
      </c>
      <c r="Q84" s="165">
        <f t="shared" si="9"/>
        <v>0.37955788932545076</v>
      </c>
      <c r="R84" s="164">
        <f t="shared" ref="R84:R91" si="40">O84/O$9</f>
        <v>2.2428521196339035E-2</v>
      </c>
      <c r="S84" s="163">
        <v>63752</v>
      </c>
      <c r="T84" s="163">
        <v>18457</v>
      </c>
      <c r="U84" s="163">
        <v>14438</v>
      </c>
      <c r="V84" s="163">
        <v>62128</v>
      </c>
      <c r="W84" s="163">
        <v>82199</v>
      </c>
      <c r="X84" s="164">
        <f t="shared" ref="X84:X91" si="41">IFERROR(W84/V84-1,"-")</f>
        <v>0.32305884625289716</v>
      </c>
      <c r="Y84" s="165">
        <f t="shared" si="10"/>
        <v>0.2893556280587275</v>
      </c>
      <c r="Z84" s="164">
        <f t="shared" si="36"/>
        <v>7.7705915563303302E-3</v>
      </c>
    </row>
    <row r="85" spans="1:26" x14ac:dyDescent="0.25">
      <c r="A85" s="161" t="s">
        <v>113</v>
      </c>
      <c r="B85" s="162" t="s">
        <v>113</v>
      </c>
      <c r="C85" s="163">
        <v>20849</v>
      </c>
      <c r="D85" s="163">
        <v>5409</v>
      </c>
      <c r="E85" s="163">
        <v>8563</v>
      </c>
      <c r="F85" s="163">
        <v>13220</v>
      </c>
      <c r="G85" s="163">
        <v>14980</v>
      </c>
      <c r="H85" s="164">
        <f t="shared" si="37"/>
        <v>0.13313161875945534</v>
      </c>
      <c r="I85" s="165">
        <f t="shared" si="35"/>
        <v>-0.28150031176555235</v>
      </c>
      <c r="J85" s="164">
        <f t="shared" si="38"/>
        <v>2.0286997361877779E-2</v>
      </c>
      <c r="K85" s="163">
        <v>117342</v>
      </c>
      <c r="L85" s="163">
        <v>27251</v>
      </c>
      <c r="M85" s="163">
        <v>36097</v>
      </c>
      <c r="N85" s="163">
        <v>84214</v>
      </c>
      <c r="O85" s="163">
        <v>96686</v>
      </c>
      <c r="P85" s="164">
        <f t="shared" si="39"/>
        <v>0.14809889092074946</v>
      </c>
      <c r="Q85" s="165">
        <f t="shared" si="9"/>
        <v>-0.17603245214842089</v>
      </c>
      <c r="R85" s="164">
        <f t="shared" si="40"/>
        <v>2.8860165831182685E-2</v>
      </c>
      <c r="S85" s="163">
        <v>138191</v>
      </c>
      <c r="T85" s="163">
        <v>32660</v>
      </c>
      <c r="U85" s="163">
        <v>44660</v>
      </c>
      <c r="V85" s="163">
        <v>97434</v>
      </c>
      <c r="W85" s="163">
        <v>111666</v>
      </c>
      <c r="X85" s="164">
        <f t="shared" si="41"/>
        <v>0.14606810764209621</v>
      </c>
      <c r="Y85" s="165">
        <f t="shared" si="10"/>
        <v>-0.19194448263635111</v>
      </c>
      <c r="Z85" s="164">
        <f t="shared" si="36"/>
        <v>2.403619745849235E-2</v>
      </c>
    </row>
    <row r="86" spans="1:26" x14ac:dyDescent="0.25">
      <c r="A86" s="161" t="s">
        <v>116</v>
      </c>
      <c r="B86" s="162" t="s">
        <v>116</v>
      </c>
      <c r="C86" s="163">
        <v>5447</v>
      </c>
      <c r="D86" s="163">
        <v>1714</v>
      </c>
      <c r="E86" s="163">
        <v>5280</v>
      </c>
      <c r="F86" s="163">
        <v>5870</v>
      </c>
      <c r="G86" s="163">
        <v>5315</v>
      </c>
      <c r="H86" s="164">
        <f t="shared" si="37"/>
        <v>-9.4548551959114158E-2</v>
      </c>
      <c r="I86" s="165">
        <f t="shared" si="35"/>
        <v>-2.4233523040205651E-2</v>
      </c>
      <c r="J86" s="164">
        <f t="shared" si="38"/>
        <v>7.1979566741241924E-3</v>
      </c>
      <c r="K86" s="163">
        <v>15628</v>
      </c>
      <c r="L86" s="163">
        <v>5151</v>
      </c>
      <c r="M86" s="163">
        <v>11108</v>
      </c>
      <c r="N86" s="163">
        <v>20133</v>
      </c>
      <c r="O86" s="163">
        <v>32539</v>
      </c>
      <c r="P86" s="164">
        <f t="shared" si="39"/>
        <v>0.61620225500422188</v>
      </c>
      <c r="Q86" s="165">
        <f t="shared" si="9"/>
        <v>1.0820962375223959</v>
      </c>
      <c r="R86" s="164">
        <f t="shared" si="40"/>
        <v>9.7126878346487956E-3</v>
      </c>
      <c r="S86" s="163">
        <v>21075</v>
      </c>
      <c r="T86" s="163">
        <v>6865</v>
      </c>
      <c r="U86" s="163">
        <v>16388</v>
      </c>
      <c r="V86" s="163">
        <v>26003</v>
      </c>
      <c r="W86" s="163">
        <v>37854</v>
      </c>
      <c r="X86" s="164">
        <f t="shared" si="41"/>
        <v>0.45575510518017159</v>
      </c>
      <c r="Y86" s="165">
        <f t="shared" si="10"/>
        <v>0.79615658362989317</v>
      </c>
      <c r="Z86" s="164">
        <f t="shared" si="36"/>
        <v>8.8200896540477532E-3</v>
      </c>
    </row>
    <row r="87" spans="1:26" x14ac:dyDescent="0.25">
      <c r="A87" s="161" t="s">
        <v>123</v>
      </c>
      <c r="B87" s="162" t="s">
        <v>123</v>
      </c>
      <c r="C87" s="163">
        <v>1860</v>
      </c>
      <c r="D87" s="163">
        <v>286</v>
      </c>
      <c r="E87" s="163">
        <v>921</v>
      </c>
      <c r="F87" s="163">
        <v>1133</v>
      </c>
      <c r="G87" s="163">
        <v>1153</v>
      </c>
      <c r="H87" s="164">
        <f t="shared" si="37"/>
        <v>1.7652250661959412E-2</v>
      </c>
      <c r="I87" s="165">
        <f t="shared" si="35"/>
        <v>-0.38010752688172045</v>
      </c>
      <c r="J87" s="164">
        <f t="shared" si="38"/>
        <v>1.5614758316585501E-3</v>
      </c>
      <c r="K87" s="163">
        <v>4340</v>
      </c>
      <c r="L87" s="163">
        <v>1248</v>
      </c>
      <c r="M87" s="163">
        <v>2935</v>
      </c>
      <c r="N87" s="163">
        <v>4473</v>
      </c>
      <c r="O87" s="163">
        <v>6684</v>
      </c>
      <c r="P87" s="164">
        <f t="shared" si="39"/>
        <v>0.4942991281019451</v>
      </c>
      <c r="Q87" s="165">
        <f t="shared" ref="Q87:Q150" si="42">IFERROR(O87/K87-1,"-")</f>
        <v>0.54009216589861753</v>
      </c>
      <c r="R87" s="164">
        <f t="shared" si="40"/>
        <v>1.9951321640736515E-3</v>
      </c>
      <c r="S87" s="163">
        <v>6200</v>
      </c>
      <c r="T87" s="163">
        <v>1534</v>
      </c>
      <c r="U87" s="163">
        <v>3856</v>
      </c>
      <c r="V87" s="163">
        <v>5606</v>
      </c>
      <c r="W87" s="163">
        <v>7837</v>
      </c>
      <c r="X87" s="164">
        <f t="shared" si="41"/>
        <v>0.39796646450231887</v>
      </c>
      <c r="Y87" s="165">
        <f t="shared" ref="Y87:Y150" si="43">IFERROR(W87/S87-1,"-")</f>
        <v>0.26403225806451602</v>
      </c>
      <c r="Z87" s="164">
        <f t="shared" si="36"/>
        <v>2.0753152127171181E-3</v>
      </c>
    </row>
    <row r="88" spans="1:26" x14ac:dyDescent="0.25">
      <c r="A88" s="161" t="s">
        <v>119</v>
      </c>
      <c r="B88" s="162" t="s">
        <v>119</v>
      </c>
      <c r="C88" s="163">
        <v>938</v>
      </c>
      <c r="D88" s="163">
        <v>240</v>
      </c>
      <c r="E88" s="163">
        <v>804</v>
      </c>
      <c r="F88" s="163">
        <v>921</v>
      </c>
      <c r="G88" s="163">
        <v>774</v>
      </c>
      <c r="H88" s="164">
        <f t="shared" si="37"/>
        <v>-0.1596091205211726</v>
      </c>
      <c r="I88" s="165">
        <f t="shared" si="35"/>
        <v>-0.17484008528784645</v>
      </c>
      <c r="J88" s="164">
        <f t="shared" si="38"/>
        <v>1.0482066727699199E-3</v>
      </c>
      <c r="K88" s="163">
        <v>4657</v>
      </c>
      <c r="L88" s="163">
        <v>1576</v>
      </c>
      <c r="M88" s="163">
        <v>3904</v>
      </c>
      <c r="N88" s="163">
        <v>4162</v>
      </c>
      <c r="O88" s="163">
        <v>5494</v>
      </c>
      <c r="P88" s="164">
        <f t="shared" si="39"/>
        <v>0.32003844305622287</v>
      </c>
      <c r="Q88" s="165">
        <f t="shared" si="42"/>
        <v>0.17972943955336063</v>
      </c>
      <c r="R88" s="164">
        <f t="shared" si="40"/>
        <v>1.6399246124208021E-3</v>
      </c>
      <c r="S88" s="163">
        <v>5595</v>
      </c>
      <c r="T88" s="163">
        <v>1816</v>
      </c>
      <c r="U88" s="163">
        <v>4708</v>
      </c>
      <c r="V88" s="163">
        <v>5083</v>
      </c>
      <c r="W88" s="163">
        <v>6268</v>
      </c>
      <c r="X88" s="164">
        <f t="shared" si="41"/>
        <v>0.23313004131418458</v>
      </c>
      <c r="Y88" s="165">
        <f t="shared" si="43"/>
        <v>0.12028596961572835</v>
      </c>
      <c r="Z88" s="164">
        <f t="shared" si="36"/>
        <v>2.5338651507967307E-3</v>
      </c>
    </row>
    <row r="89" spans="1:26" x14ac:dyDescent="0.25">
      <c r="A89" s="161" t="s">
        <v>128</v>
      </c>
      <c r="B89" s="162" t="s">
        <v>128</v>
      </c>
      <c r="C89" s="163">
        <v>804</v>
      </c>
      <c r="D89" s="163">
        <v>286</v>
      </c>
      <c r="E89" s="163">
        <v>296</v>
      </c>
      <c r="F89" s="163">
        <v>433</v>
      </c>
      <c r="G89" s="163">
        <v>454</v>
      </c>
      <c r="H89" s="164">
        <f t="shared" si="37"/>
        <v>4.8498845265589008E-2</v>
      </c>
      <c r="I89" s="165">
        <f t="shared" si="35"/>
        <v>-0.43532338308457708</v>
      </c>
      <c r="J89" s="164">
        <f t="shared" si="38"/>
        <v>6.1483957291672312E-4</v>
      </c>
      <c r="K89" s="163">
        <v>2986</v>
      </c>
      <c r="L89" s="163">
        <v>1422</v>
      </c>
      <c r="M89" s="163">
        <v>781</v>
      </c>
      <c r="N89" s="163">
        <v>2952</v>
      </c>
      <c r="O89" s="163">
        <v>3351</v>
      </c>
      <c r="P89" s="164">
        <f t="shared" si="39"/>
        <v>0.13516260162601634</v>
      </c>
      <c r="Q89" s="165">
        <f t="shared" si="42"/>
        <v>0.12223710649698583</v>
      </c>
      <c r="R89" s="164">
        <f t="shared" si="40"/>
        <v>1.0002525257047886E-3</v>
      </c>
      <c r="S89" s="163">
        <v>3790</v>
      </c>
      <c r="T89" s="163">
        <v>1708</v>
      </c>
      <c r="U89" s="163">
        <v>1077</v>
      </c>
      <c r="V89" s="163">
        <v>3385</v>
      </c>
      <c r="W89" s="163">
        <v>3805</v>
      </c>
      <c r="X89" s="164">
        <f t="shared" si="41"/>
        <v>0.12407680945347122</v>
      </c>
      <c r="Y89" s="165">
        <f t="shared" si="43"/>
        <v>3.9577836411608391E-3</v>
      </c>
      <c r="Z89" s="164">
        <f t="shared" si="36"/>
        <v>5.7964587243162255E-4</v>
      </c>
    </row>
    <row r="90" spans="1:26" x14ac:dyDescent="0.25">
      <c r="A90" s="161" t="s">
        <v>131</v>
      </c>
      <c r="B90" s="162" t="s">
        <v>131</v>
      </c>
      <c r="C90" s="163">
        <v>2073</v>
      </c>
      <c r="D90" s="163">
        <v>408</v>
      </c>
      <c r="E90" s="163">
        <v>385</v>
      </c>
      <c r="F90" s="163">
        <v>658</v>
      </c>
      <c r="G90" s="163">
        <v>679</v>
      </c>
      <c r="H90" s="164">
        <f t="shared" si="37"/>
        <v>3.1914893617021267E-2</v>
      </c>
      <c r="I90" s="165">
        <f t="shared" si="35"/>
        <v>-0.67245537867824412</v>
      </c>
      <c r="J90" s="164">
        <f t="shared" si="38"/>
        <v>9.1955081500100211E-4</v>
      </c>
      <c r="K90" s="163">
        <v>4834</v>
      </c>
      <c r="L90" s="163">
        <v>1922</v>
      </c>
      <c r="M90" s="163">
        <v>947</v>
      </c>
      <c r="N90" s="163">
        <v>3040</v>
      </c>
      <c r="O90" s="163">
        <v>3728</v>
      </c>
      <c r="P90" s="164">
        <f t="shared" si="39"/>
        <v>0.22631578947368425</v>
      </c>
      <c r="Q90" s="165">
        <f t="shared" si="42"/>
        <v>-0.22879602813405042</v>
      </c>
      <c r="R90" s="164">
        <f t="shared" si="40"/>
        <v>1.1127846660183383E-3</v>
      </c>
      <c r="S90" s="163">
        <v>6907</v>
      </c>
      <c r="T90" s="163">
        <v>2330</v>
      </c>
      <c r="U90" s="163">
        <v>1332</v>
      </c>
      <c r="V90" s="163">
        <v>3698</v>
      </c>
      <c r="W90" s="163">
        <v>4407</v>
      </c>
      <c r="X90" s="164">
        <f t="shared" si="41"/>
        <v>0.19172525689561914</v>
      </c>
      <c r="Y90" s="165">
        <f t="shared" si="43"/>
        <v>-0.36195164326046037</v>
      </c>
      <c r="Z90" s="164">
        <f t="shared" si="36"/>
        <v>7.1688793136390086E-4</v>
      </c>
    </row>
    <row r="91" spans="1:26" x14ac:dyDescent="0.25">
      <c r="A91" s="167" t="s">
        <v>145</v>
      </c>
      <c r="B91" s="168" t="s">
        <v>145</v>
      </c>
      <c r="C91" s="169">
        <f>C83-SUM(C84:C90)</f>
        <v>32769</v>
      </c>
      <c r="D91" s="169">
        <f>D83-SUM(D84:D90)</f>
        <v>7838</v>
      </c>
      <c r="E91" s="169">
        <f>E83-SUM(E84:E90)</f>
        <v>13273</v>
      </c>
      <c r="F91" s="169">
        <f>F83-SUM(F84:F90)</f>
        <v>21554</v>
      </c>
      <c r="G91" s="169">
        <f>G83-SUM(G84:G90)</f>
        <v>23699</v>
      </c>
      <c r="H91" s="170">
        <f t="shared" si="37"/>
        <v>9.9517490952955479E-2</v>
      </c>
      <c r="I91" s="171">
        <f t="shared" si="35"/>
        <v>-0.27678598675577526</v>
      </c>
      <c r="J91" s="170">
        <f t="shared" si="38"/>
        <v>3.2094896560690353E-2</v>
      </c>
      <c r="K91" s="169">
        <f>K83-SUM(K84:K90)</f>
        <v>68790</v>
      </c>
      <c r="L91" s="169">
        <f>L83-SUM(L84:L90)</f>
        <v>21224</v>
      </c>
      <c r="M91" s="169">
        <f>M83-SUM(M84:M90)</f>
        <v>37928</v>
      </c>
      <c r="N91" s="169">
        <f>N83-SUM(N84:N90)</f>
        <v>70455</v>
      </c>
      <c r="O91" s="169">
        <f>O83-SUM(O84:O90)</f>
        <v>95754</v>
      </c>
      <c r="P91" s="170">
        <f t="shared" si="39"/>
        <v>0.35908026399829684</v>
      </c>
      <c r="Q91" s="171">
        <f t="shared" si="42"/>
        <v>0.3919755778456171</v>
      </c>
      <c r="R91" s="170">
        <f t="shared" si="40"/>
        <v>2.8581969664678103E-2</v>
      </c>
      <c r="S91" s="169">
        <f>S83-SUM(S84:S90)</f>
        <v>101559</v>
      </c>
      <c r="T91" s="169">
        <f>T83-SUM(T84:T90)</f>
        <v>29062</v>
      </c>
      <c r="U91" s="169">
        <f>U83-SUM(U84:U90)</f>
        <v>51201</v>
      </c>
      <c r="V91" s="169">
        <f>V83-SUM(V84:V90)</f>
        <v>92009</v>
      </c>
      <c r="W91" s="169">
        <f>W83-SUM(W84:W90)</f>
        <v>119453</v>
      </c>
      <c r="X91" s="170">
        <f t="shared" si="41"/>
        <v>0.29827516873349347</v>
      </c>
      <c r="Y91" s="171">
        <f t="shared" si="43"/>
        <v>0.17619314881005121</v>
      </c>
      <c r="Z91" s="170">
        <f t="shared" si="36"/>
        <v>2.7556590821143458E-2</v>
      </c>
    </row>
    <row r="92" spans="1:26" x14ac:dyDescent="0.25">
      <c r="A92" s="1"/>
      <c r="B92" s="153" t="s">
        <v>49</v>
      </c>
      <c r="C92" s="151"/>
      <c r="D92" s="151"/>
      <c r="E92" s="151"/>
      <c r="F92" s="151"/>
      <c r="G92" s="151"/>
      <c r="H92" s="151"/>
      <c r="I92" s="151"/>
      <c r="J92" s="151"/>
      <c r="K92" s="151"/>
      <c r="L92" s="151"/>
      <c r="M92" s="151"/>
      <c r="N92" s="151"/>
      <c r="O92" s="151"/>
      <c r="P92" s="151"/>
      <c r="Q92" s="151"/>
      <c r="R92" s="151"/>
      <c r="S92" s="151"/>
      <c r="T92" s="151"/>
      <c r="U92" s="151"/>
      <c r="V92" s="151"/>
      <c r="W92" s="151"/>
      <c r="X92" s="151"/>
      <c r="Y92" s="151"/>
      <c r="Z92" s="151"/>
    </row>
    <row r="93" spans="1:26" x14ac:dyDescent="0.25">
      <c r="A93" s="1" t="s">
        <v>0</v>
      </c>
      <c r="B93" s="154" t="s">
        <v>68</v>
      </c>
      <c r="C93" s="176">
        <f>C94+C97</f>
        <v>13399</v>
      </c>
      <c r="D93" s="176">
        <f>D94+D97</f>
        <v>0</v>
      </c>
      <c r="E93" s="176">
        <f>E94+E97</f>
        <v>0</v>
      </c>
      <c r="F93" s="176">
        <f>F94+F97</f>
        <v>5131</v>
      </c>
      <c r="G93" s="176">
        <f>G94+G97</f>
        <v>7607</v>
      </c>
      <c r="H93" s="177">
        <f>IFERROR(G93/F93-1,"-")</f>
        <v>0.48255700643149479</v>
      </c>
      <c r="I93" s="177">
        <f t="shared" si="35"/>
        <v>-0.43227106500485113</v>
      </c>
      <c r="J93" s="177">
        <f>G93/G$9</f>
        <v>1.0301948526822716E-2</v>
      </c>
      <c r="K93" s="176">
        <f>K94+K97</f>
        <v>42488</v>
      </c>
      <c r="L93" s="176">
        <f>L94+L97</f>
        <v>0</v>
      </c>
      <c r="M93" s="176">
        <f>M94+M97</f>
        <v>0</v>
      </c>
      <c r="N93" s="176">
        <f>N94+N97</f>
        <v>46354</v>
      </c>
      <c r="O93" s="176">
        <f>O94+O97</f>
        <v>50550</v>
      </c>
      <c r="P93" s="177">
        <f>IFERROR(O93/N93-1,"-")</f>
        <v>9.0520774906156953E-2</v>
      </c>
      <c r="Q93" s="177">
        <f t="shared" si="42"/>
        <v>0.18974769346639042</v>
      </c>
      <c r="R93" s="177">
        <f>O93/O$9</f>
        <v>1.508885860172398E-2</v>
      </c>
      <c r="S93" s="176">
        <f>S94+S97</f>
        <v>55887</v>
      </c>
      <c r="T93" s="176">
        <f>T94+T97</f>
        <v>24221</v>
      </c>
      <c r="U93" s="176">
        <f>U94+U97</f>
        <v>33444</v>
      </c>
      <c r="V93" s="176">
        <f>V94+V97</f>
        <v>51485</v>
      </c>
      <c r="W93" s="176">
        <f>W94+W97</f>
        <v>58157</v>
      </c>
      <c r="X93" s="177">
        <f>IFERROR(W93/V93-1,"-")</f>
        <v>0.12959114305137409</v>
      </c>
      <c r="Y93" s="177">
        <f t="shared" si="43"/>
        <v>4.0617674951240801E-2</v>
      </c>
      <c r="Z93" s="177">
        <f t="shared" ref="Z93:Z105" si="44">U93/U$9</f>
        <v>1.7999699682082808E-2</v>
      </c>
    </row>
    <row r="94" spans="1:26" x14ac:dyDescent="0.25">
      <c r="A94" s="1" t="s">
        <v>96</v>
      </c>
      <c r="B94" s="157" t="s">
        <v>97</v>
      </c>
      <c r="C94" s="158">
        <v>9418</v>
      </c>
      <c r="D94" s="158">
        <v>0</v>
      </c>
      <c r="E94" s="158">
        <v>0</v>
      </c>
      <c r="F94" s="158">
        <v>3937</v>
      </c>
      <c r="G94" s="158">
        <v>5346</v>
      </c>
      <c r="H94" s="159">
        <f>IFERROR(G94/F94-1,"-")</f>
        <v>0.35788671577343156</v>
      </c>
      <c r="I94" s="160">
        <f t="shared" si="35"/>
        <v>-0.43236355914206837</v>
      </c>
      <c r="J94" s="159">
        <f>G94/G$9</f>
        <v>7.2399391119224703E-3</v>
      </c>
      <c r="K94" s="158">
        <v>27701</v>
      </c>
      <c r="L94" s="158">
        <v>0</v>
      </c>
      <c r="M94" s="158">
        <v>0</v>
      </c>
      <c r="N94" s="158">
        <v>29872</v>
      </c>
      <c r="O94" s="158">
        <v>32376</v>
      </c>
      <c r="P94" s="159">
        <f>IFERROR(O94/N94-1,"-")</f>
        <v>8.3824317086234501E-2</v>
      </c>
      <c r="Q94" s="160">
        <f t="shared" si="42"/>
        <v>0.16876647052452975</v>
      </c>
      <c r="R94" s="159">
        <f>O94/O$9</f>
        <v>9.6640333548845807E-3</v>
      </c>
      <c r="S94" s="158">
        <v>37119</v>
      </c>
      <c r="T94" s="158">
        <v>16023</v>
      </c>
      <c r="U94" s="158">
        <v>21732</v>
      </c>
      <c r="V94" s="158">
        <v>33809</v>
      </c>
      <c r="W94" s="158">
        <v>37722</v>
      </c>
      <c r="X94" s="159">
        <f>IFERROR(W94/V94-1,"-")</f>
        <v>0.11573841284864983</v>
      </c>
      <c r="Y94" s="160">
        <f t="shared" si="43"/>
        <v>1.6245049705002845E-2</v>
      </c>
      <c r="Z94" s="159">
        <f t="shared" si="44"/>
        <v>1.1696252645946165E-2</v>
      </c>
    </row>
    <row r="95" spans="1:26" x14ac:dyDescent="0.25">
      <c r="A95" s="161" t="s">
        <v>103</v>
      </c>
      <c r="B95" s="162" t="s">
        <v>103</v>
      </c>
      <c r="C95" s="163">
        <v>6900</v>
      </c>
      <c r="D95" s="163">
        <v>0</v>
      </c>
      <c r="E95" s="163">
        <v>0</v>
      </c>
      <c r="F95" s="163">
        <v>2928</v>
      </c>
      <c r="G95" s="163">
        <v>3814</v>
      </c>
      <c r="H95" s="164">
        <f>IFERROR(G95/F95-1,"-")</f>
        <v>0.30259562841530063</v>
      </c>
      <c r="I95" s="165">
        <f t="shared" si="35"/>
        <v>-0.44724637681159418</v>
      </c>
      <c r="J95" s="164">
        <f>G95/G$9</f>
        <v>5.1651941213752906E-3</v>
      </c>
      <c r="K95" s="163">
        <v>12253</v>
      </c>
      <c r="L95" s="163">
        <v>0</v>
      </c>
      <c r="M95" s="163">
        <v>0</v>
      </c>
      <c r="N95" s="163">
        <v>13361</v>
      </c>
      <c r="O95" s="163">
        <v>8210</v>
      </c>
      <c r="P95" s="164">
        <f>IFERROR(O95/N95-1,"-")</f>
        <v>-0.38552503555123119</v>
      </c>
      <c r="Q95" s="165">
        <f t="shared" si="42"/>
        <v>-0.32996000979351992</v>
      </c>
      <c r="R95" s="164">
        <f>O95/O$9</f>
        <v>2.4506336126637759E-3</v>
      </c>
      <c r="S95" s="163">
        <v>19153</v>
      </c>
      <c r="T95" s="163">
        <v>8684</v>
      </c>
      <c r="U95" s="163">
        <v>11001</v>
      </c>
      <c r="V95" s="163">
        <v>16289</v>
      </c>
      <c r="W95" s="163">
        <v>12024</v>
      </c>
      <c r="X95" s="164">
        <f>IFERROR(W95/V95-1,"-")</f>
        <v>-0.261833138928111</v>
      </c>
      <c r="Y95" s="165">
        <f t="shared" si="43"/>
        <v>-0.37221323030334674</v>
      </c>
      <c r="Z95" s="164">
        <f t="shared" si="44"/>
        <v>5.9207838835842888E-3</v>
      </c>
    </row>
    <row r="96" spans="1:26" x14ac:dyDescent="0.25">
      <c r="A96" s="161" t="s">
        <v>100</v>
      </c>
      <c r="B96" s="162" t="s">
        <v>100</v>
      </c>
      <c r="C96" s="163">
        <v>2518</v>
      </c>
      <c r="D96" s="163">
        <v>0</v>
      </c>
      <c r="E96" s="163">
        <v>0</v>
      </c>
      <c r="F96" s="163">
        <v>1009</v>
      </c>
      <c r="G96" s="163">
        <v>1532</v>
      </c>
      <c r="H96" s="164">
        <f>IFERROR(G96/F96-1,"-")</f>
        <v>0.51833498513379594</v>
      </c>
      <c r="I96" s="165">
        <f t="shared" si="35"/>
        <v>-0.39158061953931689</v>
      </c>
      <c r="J96" s="164">
        <f>G96/G$9</f>
        <v>2.0747449905471802E-3</v>
      </c>
      <c r="K96" s="163">
        <v>15448</v>
      </c>
      <c r="L96" s="163">
        <v>0</v>
      </c>
      <c r="M96" s="163">
        <v>0</v>
      </c>
      <c r="N96" s="163">
        <v>16511</v>
      </c>
      <c r="O96" s="163">
        <v>24166</v>
      </c>
      <c r="P96" s="164">
        <f>IFERROR(O96/N96-1,"-")</f>
        <v>0.46363030706801522</v>
      </c>
      <c r="Q96" s="165">
        <f t="shared" si="42"/>
        <v>0.56434489901605378</v>
      </c>
      <c r="R96" s="164">
        <f>O96/O$9</f>
        <v>7.2133997422208053E-3</v>
      </c>
      <c r="S96" s="163">
        <v>17966</v>
      </c>
      <c r="T96" s="163">
        <v>7339</v>
      </c>
      <c r="U96" s="163">
        <v>10731</v>
      </c>
      <c r="V96" s="163">
        <v>17520</v>
      </c>
      <c r="W96" s="163">
        <v>25698</v>
      </c>
      <c r="X96" s="164">
        <f>IFERROR(W96/V96-1,"-")</f>
        <v>0.46678082191780823</v>
      </c>
      <c r="Y96" s="165">
        <f t="shared" si="43"/>
        <v>0.43036847378381382</v>
      </c>
      <c r="Z96" s="164">
        <f t="shared" si="44"/>
        <v>5.7754687623618765E-3</v>
      </c>
    </row>
    <row r="97" spans="1:26" x14ac:dyDescent="0.25">
      <c r="A97" s="1" t="s">
        <v>146</v>
      </c>
      <c r="B97" s="157" t="s">
        <v>107</v>
      </c>
      <c r="C97" s="158">
        <v>3981</v>
      </c>
      <c r="D97" s="158">
        <v>0</v>
      </c>
      <c r="E97" s="158">
        <v>0</v>
      </c>
      <c r="F97" s="158">
        <v>1194</v>
      </c>
      <c r="G97" s="158">
        <v>2261</v>
      </c>
      <c r="H97" s="159">
        <f>IFERROR(G97/F97-1,"-")</f>
        <v>0.89363484087102174</v>
      </c>
      <c r="I97" s="160">
        <f t="shared" si="35"/>
        <v>-0.43205224817884957</v>
      </c>
      <c r="J97" s="159">
        <f>G97/G$9</f>
        <v>3.0620094149002445E-3</v>
      </c>
      <c r="K97" s="158">
        <v>14787</v>
      </c>
      <c r="L97" s="158">
        <v>0</v>
      </c>
      <c r="M97" s="158">
        <v>0</v>
      </c>
      <c r="N97" s="158">
        <v>16482</v>
      </c>
      <c r="O97" s="158">
        <v>18174</v>
      </c>
      <c r="P97" s="159">
        <f>IFERROR(O97/N97-1,"-")</f>
        <v>0.10265744448489267</v>
      </c>
      <c r="Q97" s="160">
        <f t="shared" si="42"/>
        <v>0.22905254615540671</v>
      </c>
      <c r="R97" s="159">
        <f>O97/O$9</f>
        <v>5.4248252468393991E-3</v>
      </c>
      <c r="S97" s="158">
        <v>18768</v>
      </c>
      <c r="T97" s="158">
        <v>8198</v>
      </c>
      <c r="U97" s="158">
        <v>11712</v>
      </c>
      <c r="V97" s="158">
        <v>17676</v>
      </c>
      <c r="W97" s="158">
        <v>20435</v>
      </c>
      <c r="X97" s="159">
        <f>IFERROR(W97/V97-1,"-")</f>
        <v>0.15608735007920349</v>
      </c>
      <c r="Y97" s="160">
        <f t="shared" si="43"/>
        <v>8.882139812446721E-2</v>
      </c>
      <c r="Z97" s="159">
        <f t="shared" si="44"/>
        <v>6.3034470361366416E-3</v>
      </c>
    </row>
    <row r="98" spans="1:26" x14ac:dyDescent="0.25">
      <c r="A98" s="161" t="s">
        <v>110</v>
      </c>
      <c r="B98" s="162" t="s">
        <v>110</v>
      </c>
      <c r="C98" s="163">
        <v>210</v>
      </c>
      <c r="D98" s="163">
        <v>0</v>
      </c>
      <c r="E98" s="163">
        <v>0</v>
      </c>
      <c r="F98" s="163">
        <v>50</v>
      </c>
      <c r="G98" s="163">
        <v>173</v>
      </c>
      <c r="H98" s="164">
        <f t="shared" ref="H98:H105" si="45">IFERROR(G98/F98-1,"-")</f>
        <v>2.46</v>
      </c>
      <c r="I98" s="165">
        <f t="shared" si="35"/>
        <v>-0.17619047619047623</v>
      </c>
      <c r="J98" s="164">
        <f t="shared" ref="J98:J105" si="46">G98/G$9</f>
        <v>2.3428908835813458E-4</v>
      </c>
      <c r="K98" s="163">
        <v>2211</v>
      </c>
      <c r="L98" s="163">
        <v>0</v>
      </c>
      <c r="M98" s="163">
        <v>0</v>
      </c>
      <c r="N98" s="163">
        <v>2353</v>
      </c>
      <c r="O98" s="163">
        <v>2622</v>
      </c>
      <c r="P98" s="164">
        <f t="shared" ref="P98:P105" si="47">IFERROR(O98/N98-1,"-")</f>
        <v>0.11432214194645129</v>
      </c>
      <c r="Q98" s="165">
        <f t="shared" si="42"/>
        <v>0.18588873812754403</v>
      </c>
      <c r="R98" s="164">
        <f t="shared" ref="R98:R105" si="48">O98/O$9</f>
        <v>7.8265058859980764E-4</v>
      </c>
      <c r="S98" s="163">
        <v>2421</v>
      </c>
      <c r="T98" s="163">
        <v>1288</v>
      </c>
      <c r="U98" s="163">
        <v>921</v>
      </c>
      <c r="V98" s="163">
        <v>2403</v>
      </c>
      <c r="W98" s="163">
        <v>2795</v>
      </c>
      <c r="X98" s="164">
        <f t="shared" ref="X98:X105" si="49">IFERROR(W98/V98-1,"-")</f>
        <v>0.16312942155638788</v>
      </c>
      <c r="Y98" s="165">
        <f t="shared" si="43"/>
        <v>0.15448161916563397</v>
      </c>
      <c r="Z98" s="164">
        <f t="shared" si="44"/>
        <v>4.9568602461422869E-4</v>
      </c>
    </row>
    <row r="99" spans="1:26" x14ac:dyDescent="0.25">
      <c r="A99" s="161" t="s">
        <v>113</v>
      </c>
      <c r="B99" s="162" t="s">
        <v>113</v>
      </c>
      <c r="C99" s="163">
        <v>551</v>
      </c>
      <c r="D99" s="163">
        <v>0</v>
      </c>
      <c r="E99" s="163">
        <v>0</v>
      </c>
      <c r="F99" s="163">
        <v>194</v>
      </c>
      <c r="G99" s="163">
        <v>319</v>
      </c>
      <c r="H99" s="164">
        <f t="shared" si="45"/>
        <v>0.64432989690721643</v>
      </c>
      <c r="I99" s="165">
        <f t="shared" si="35"/>
        <v>-0.42105263157894735</v>
      </c>
      <c r="J99" s="164">
        <f t="shared" si="46"/>
        <v>4.3201282766615567E-4</v>
      </c>
      <c r="K99" s="163">
        <v>3354</v>
      </c>
      <c r="L99" s="163">
        <v>0</v>
      </c>
      <c r="M99" s="163">
        <v>0</v>
      </c>
      <c r="N99" s="163">
        <v>3288</v>
      </c>
      <c r="O99" s="163">
        <v>3495</v>
      </c>
      <c r="P99" s="164">
        <f t="shared" si="47"/>
        <v>6.2956204379561953E-2</v>
      </c>
      <c r="Q99" s="165">
        <f t="shared" si="42"/>
        <v>4.2039355992844474E-2</v>
      </c>
      <c r="R99" s="164">
        <f t="shared" si="48"/>
        <v>1.043235624392192E-3</v>
      </c>
      <c r="S99" s="163">
        <v>3905</v>
      </c>
      <c r="T99" s="163">
        <v>1481</v>
      </c>
      <c r="U99" s="163">
        <v>2395</v>
      </c>
      <c r="V99" s="163">
        <v>3482</v>
      </c>
      <c r="W99" s="163">
        <v>3814</v>
      </c>
      <c r="X99" s="164">
        <f t="shared" si="49"/>
        <v>9.5347501435956383E-2</v>
      </c>
      <c r="Y99" s="165">
        <f t="shared" si="43"/>
        <v>-2.3303457106274017E-2</v>
      </c>
      <c r="Z99" s="164">
        <f t="shared" si="44"/>
        <v>1.2889989456580648E-3</v>
      </c>
    </row>
    <row r="100" spans="1:26" x14ac:dyDescent="0.25">
      <c r="A100" s="161" t="s">
        <v>116</v>
      </c>
      <c r="B100" s="162" t="s">
        <v>116</v>
      </c>
      <c r="C100" s="163">
        <v>1170</v>
      </c>
      <c r="D100" s="163">
        <v>0</v>
      </c>
      <c r="E100" s="163">
        <v>0</v>
      </c>
      <c r="F100" s="163">
        <v>346</v>
      </c>
      <c r="G100" s="163">
        <v>771</v>
      </c>
      <c r="H100" s="164">
        <f t="shared" si="45"/>
        <v>1.2283236994219653</v>
      </c>
      <c r="I100" s="165">
        <f t="shared" si="35"/>
        <v>-0.34102564102564104</v>
      </c>
      <c r="J100" s="164">
        <f t="shared" si="46"/>
        <v>1.0441438562087963E-3</v>
      </c>
      <c r="K100" s="163">
        <v>2684</v>
      </c>
      <c r="L100" s="163">
        <v>0</v>
      </c>
      <c r="M100" s="163">
        <v>0</v>
      </c>
      <c r="N100" s="163">
        <v>3066</v>
      </c>
      <c r="O100" s="163">
        <v>3114</v>
      </c>
      <c r="P100" s="164">
        <f t="shared" si="47"/>
        <v>1.5655577299412915E-2</v>
      </c>
      <c r="Q100" s="165">
        <f t="shared" si="42"/>
        <v>0.16020864381520128</v>
      </c>
      <c r="R100" s="164">
        <f t="shared" si="48"/>
        <v>9.2950950911510339E-4</v>
      </c>
      <c r="S100" s="163">
        <v>3854</v>
      </c>
      <c r="T100" s="163">
        <v>1974</v>
      </c>
      <c r="U100" s="163">
        <v>3541</v>
      </c>
      <c r="V100" s="163">
        <v>3412</v>
      </c>
      <c r="W100" s="163">
        <v>3885</v>
      </c>
      <c r="X100" s="164">
        <f t="shared" si="49"/>
        <v>0.13862837045720977</v>
      </c>
      <c r="Y100" s="165">
        <f t="shared" si="43"/>
        <v>8.0435910742087113E-3</v>
      </c>
      <c r="Z100" s="164">
        <f t="shared" si="44"/>
        <v>1.905780904624304E-3</v>
      </c>
    </row>
    <row r="101" spans="1:26" x14ac:dyDescent="0.25">
      <c r="A101" s="161" t="s">
        <v>123</v>
      </c>
      <c r="B101" s="162" t="s">
        <v>123</v>
      </c>
      <c r="C101" s="163">
        <v>56</v>
      </c>
      <c r="D101" s="163">
        <v>0</v>
      </c>
      <c r="E101" s="163">
        <v>0</v>
      </c>
      <c r="F101" s="163">
        <v>32</v>
      </c>
      <c r="G101" s="163">
        <v>58</v>
      </c>
      <c r="H101" s="164">
        <f t="shared" si="45"/>
        <v>0.8125</v>
      </c>
      <c r="I101" s="165">
        <f t="shared" si="35"/>
        <v>3.5714285714285809E-2</v>
      </c>
      <c r="J101" s="164">
        <f t="shared" si="46"/>
        <v>7.8547786848391936E-5</v>
      </c>
      <c r="K101" s="163">
        <v>643</v>
      </c>
      <c r="L101" s="163">
        <v>0</v>
      </c>
      <c r="M101" s="163">
        <v>0</v>
      </c>
      <c r="N101" s="163">
        <v>1140</v>
      </c>
      <c r="O101" s="163">
        <v>880</v>
      </c>
      <c r="P101" s="164">
        <f t="shared" si="47"/>
        <v>-0.22807017543859653</v>
      </c>
      <c r="Q101" s="165">
        <f t="shared" si="42"/>
        <v>0.36858475894245712</v>
      </c>
      <c r="R101" s="164">
        <f t="shared" si="48"/>
        <v>2.6267449197857768E-4</v>
      </c>
      <c r="S101" s="163">
        <v>699</v>
      </c>
      <c r="T101" s="163">
        <v>323</v>
      </c>
      <c r="U101" s="163">
        <v>432</v>
      </c>
      <c r="V101" s="163">
        <v>1172</v>
      </c>
      <c r="W101" s="163">
        <v>938</v>
      </c>
      <c r="X101" s="164">
        <f t="shared" si="49"/>
        <v>-0.19965870307167233</v>
      </c>
      <c r="Y101" s="165">
        <f t="shared" si="43"/>
        <v>0.3419170243204579</v>
      </c>
      <c r="Z101" s="164">
        <f t="shared" si="44"/>
        <v>2.3250419395585972E-4</v>
      </c>
    </row>
    <row r="102" spans="1:26" x14ac:dyDescent="0.25">
      <c r="A102" s="161" t="s">
        <v>119</v>
      </c>
      <c r="B102" s="162" t="s">
        <v>119</v>
      </c>
      <c r="C102" s="163">
        <v>106</v>
      </c>
      <c r="D102" s="163">
        <v>0</v>
      </c>
      <c r="E102" s="163">
        <v>0</v>
      </c>
      <c r="F102" s="163">
        <v>15</v>
      </c>
      <c r="G102" s="163">
        <v>87</v>
      </c>
      <c r="H102" s="164">
        <f t="shared" si="45"/>
        <v>4.8</v>
      </c>
      <c r="I102" s="165">
        <f t="shared" si="35"/>
        <v>-0.17924528301886788</v>
      </c>
      <c r="J102" s="164">
        <f t="shared" si="46"/>
        <v>1.178216802725879E-4</v>
      </c>
      <c r="K102" s="163">
        <v>413</v>
      </c>
      <c r="L102" s="163">
        <v>0</v>
      </c>
      <c r="M102" s="163">
        <v>0</v>
      </c>
      <c r="N102" s="163">
        <v>667</v>
      </c>
      <c r="O102" s="163">
        <v>563</v>
      </c>
      <c r="P102" s="164">
        <f t="shared" si="47"/>
        <v>-0.15592203898050971</v>
      </c>
      <c r="Q102" s="165">
        <f t="shared" si="42"/>
        <v>0.36319612590799033</v>
      </c>
      <c r="R102" s="164">
        <f t="shared" si="48"/>
        <v>1.6805197611811278E-4</v>
      </c>
      <c r="S102" s="163">
        <v>519</v>
      </c>
      <c r="T102" s="163">
        <v>351</v>
      </c>
      <c r="U102" s="163">
        <v>507</v>
      </c>
      <c r="V102" s="163">
        <v>682</v>
      </c>
      <c r="W102" s="163">
        <v>650</v>
      </c>
      <c r="X102" s="164">
        <f t="shared" si="49"/>
        <v>-4.692082111436946E-2</v>
      </c>
      <c r="Y102" s="165">
        <f t="shared" si="43"/>
        <v>0.25240847784200393</v>
      </c>
      <c r="Z102" s="164">
        <f t="shared" si="44"/>
        <v>2.728695054065298E-4</v>
      </c>
    </row>
    <row r="103" spans="1:26" x14ac:dyDescent="0.25">
      <c r="A103" s="161" t="s">
        <v>128</v>
      </c>
      <c r="B103" s="162" t="s">
        <v>128</v>
      </c>
      <c r="C103" s="163">
        <v>42</v>
      </c>
      <c r="D103" s="163">
        <v>0</v>
      </c>
      <c r="E103" s="163">
        <v>0</v>
      </c>
      <c r="F103" s="163">
        <v>10</v>
      </c>
      <c r="G103" s="163">
        <v>22</v>
      </c>
      <c r="H103" s="164">
        <f t="shared" si="45"/>
        <v>1.2000000000000002</v>
      </c>
      <c r="I103" s="165">
        <f t="shared" si="35"/>
        <v>-0.47619047619047616</v>
      </c>
      <c r="J103" s="164">
        <f t="shared" si="46"/>
        <v>2.9793988114907287E-5</v>
      </c>
      <c r="K103" s="163">
        <v>113</v>
      </c>
      <c r="L103" s="163">
        <v>0</v>
      </c>
      <c r="M103" s="163">
        <v>0</v>
      </c>
      <c r="N103" s="163">
        <v>260</v>
      </c>
      <c r="O103" s="163">
        <v>131</v>
      </c>
      <c r="P103" s="164">
        <f t="shared" si="47"/>
        <v>-0.49615384615384617</v>
      </c>
      <c r="Q103" s="165">
        <f t="shared" si="42"/>
        <v>0.15929203539823011</v>
      </c>
      <c r="R103" s="164">
        <f t="shared" si="48"/>
        <v>3.9102680055901911E-5</v>
      </c>
      <c r="S103" s="163">
        <v>155</v>
      </c>
      <c r="T103" s="163">
        <v>124</v>
      </c>
      <c r="U103" s="163">
        <v>105</v>
      </c>
      <c r="V103" s="163">
        <v>270</v>
      </c>
      <c r="W103" s="163">
        <v>153</v>
      </c>
      <c r="X103" s="164">
        <f t="shared" si="49"/>
        <v>-0.43333333333333335</v>
      </c>
      <c r="Y103" s="165">
        <f t="shared" si="43"/>
        <v>-1.2903225806451646E-2</v>
      </c>
      <c r="Z103" s="164">
        <f t="shared" si="44"/>
        <v>5.651143603093813E-5</v>
      </c>
    </row>
    <row r="104" spans="1:26" x14ac:dyDescent="0.25">
      <c r="A104" s="161" t="s">
        <v>131</v>
      </c>
      <c r="B104" s="162" t="s">
        <v>131</v>
      </c>
      <c r="C104" s="163">
        <v>60</v>
      </c>
      <c r="D104" s="163">
        <v>0</v>
      </c>
      <c r="E104" s="163">
        <v>0</v>
      </c>
      <c r="F104" s="163">
        <v>11</v>
      </c>
      <c r="G104" s="163">
        <v>10</v>
      </c>
      <c r="H104" s="164">
        <f t="shared" si="45"/>
        <v>-9.0909090909090939E-2</v>
      </c>
      <c r="I104" s="165">
        <f t="shared" si="35"/>
        <v>-0.83333333333333337</v>
      </c>
      <c r="J104" s="164">
        <f t="shared" si="46"/>
        <v>1.3542721870412402E-5</v>
      </c>
      <c r="K104" s="163">
        <v>211</v>
      </c>
      <c r="L104" s="163">
        <v>0</v>
      </c>
      <c r="M104" s="163">
        <v>0</v>
      </c>
      <c r="N104" s="163">
        <v>157</v>
      </c>
      <c r="O104" s="163">
        <v>260</v>
      </c>
      <c r="P104" s="164">
        <f t="shared" si="47"/>
        <v>0.65605095541401282</v>
      </c>
      <c r="Q104" s="165">
        <f t="shared" si="42"/>
        <v>0.23222748815165883</v>
      </c>
      <c r="R104" s="164">
        <f t="shared" si="48"/>
        <v>7.7608372630034325E-5</v>
      </c>
      <c r="S104" s="163">
        <v>271</v>
      </c>
      <c r="T104" s="163">
        <v>89</v>
      </c>
      <c r="U104" s="163">
        <v>96</v>
      </c>
      <c r="V104" s="163">
        <v>168</v>
      </c>
      <c r="W104" s="163">
        <v>270</v>
      </c>
      <c r="X104" s="164">
        <f t="shared" si="49"/>
        <v>0.60714285714285721</v>
      </c>
      <c r="Y104" s="165">
        <f t="shared" si="43"/>
        <v>-3.6900369003689537E-3</v>
      </c>
      <c r="Z104" s="164">
        <f t="shared" si="44"/>
        <v>5.1667598656857714E-5</v>
      </c>
    </row>
    <row r="105" spans="1:26" x14ac:dyDescent="0.25">
      <c r="A105" s="167" t="s">
        <v>145</v>
      </c>
      <c r="B105" s="168" t="s">
        <v>145</v>
      </c>
      <c r="C105" s="169">
        <f>C97-SUM(C98:C104)</f>
        <v>1786</v>
      </c>
      <c r="D105" s="169">
        <f>D97-SUM(D98:D104)</f>
        <v>0</v>
      </c>
      <c r="E105" s="169">
        <f>E97-SUM(E98:E104)</f>
        <v>0</v>
      </c>
      <c r="F105" s="169">
        <f>F97-SUM(F98:F104)</f>
        <v>536</v>
      </c>
      <c r="G105" s="169">
        <f>G97-SUM(G98:G104)</f>
        <v>821</v>
      </c>
      <c r="H105" s="170">
        <f t="shared" si="45"/>
        <v>0.53171641791044766</v>
      </c>
      <c r="I105" s="171">
        <f t="shared" si="35"/>
        <v>-0.54031354983202684</v>
      </c>
      <c r="J105" s="170">
        <f t="shared" si="46"/>
        <v>1.1118574655608583E-3</v>
      </c>
      <c r="K105" s="169">
        <f>K97-SUM(K98:K104)</f>
        <v>5158</v>
      </c>
      <c r="L105" s="169">
        <f>L97-SUM(L98:L104)</f>
        <v>0</v>
      </c>
      <c r="M105" s="169">
        <f>M97-SUM(M98:M104)</f>
        <v>0</v>
      </c>
      <c r="N105" s="169">
        <f>N97-SUM(N98:N104)</f>
        <v>5551</v>
      </c>
      <c r="O105" s="169">
        <f>O97-SUM(O98:O104)</f>
        <v>7109</v>
      </c>
      <c r="P105" s="170">
        <f t="shared" si="47"/>
        <v>0.28067014952260849</v>
      </c>
      <c r="Q105" s="171">
        <f t="shared" si="42"/>
        <v>0.3782473827064754</v>
      </c>
      <c r="R105" s="170">
        <f t="shared" si="48"/>
        <v>2.1219920039496692E-3</v>
      </c>
      <c r="S105" s="169">
        <f>S97-SUM(S98:S104)</f>
        <v>6944</v>
      </c>
      <c r="T105" s="169">
        <f>T97-SUM(T98:T104)</f>
        <v>2568</v>
      </c>
      <c r="U105" s="169">
        <f>U97-SUM(U98:U104)</f>
        <v>3715</v>
      </c>
      <c r="V105" s="169">
        <f>V97-SUM(V98:V104)</f>
        <v>6087</v>
      </c>
      <c r="W105" s="169">
        <f>W97-SUM(W98:W104)</f>
        <v>7930</v>
      </c>
      <c r="X105" s="170">
        <f t="shared" si="49"/>
        <v>0.30277640873993761</v>
      </c>
      <c r="Y105" s="171">
        <f t="shared" si="43"/>
        <v>0.14199308755760365</v>
      </c>
      <c r="Z105" s="170">
        <f t="shared" si="44"/>
        <v>1.9994284271898587E-3</v>
      </c>
    </row>
    <row r="106" spans="1:26" x14ac:dyDescent="0.25">
      <c r="A106" s="1"/>
      <c r="B106" s="153" t="s">
        <v>50</v>
      </c>
      <c r="C106" s="151"/>
      <c r="D106" s="151"/>
      <c r="E106" s="151"/>
      <c r="F106" s="151"/>
      <c r="G106" s="151"/>
      <c r="H106" s="151"/>
      <c r="I106" s="151"/>
      <c r="J106" s="151"/>
      <c r="K106" s="151"/>
      <c r="L106" s="151"/>
      <c r="M106" s="151"/>
      <c r="N106" s="151"/>
      <c r="O106" s="151"/>
      <c r="P106" s="151"/>
      <c r="Q106" s="151"/>
      <c r="R106" s="151"/>
      <c r="S106" s="151"/>
      <c r="T106" s="151"/>
      <c r="U106" s="151"/>
      <c r="V106" s="151"/>
      <c r="W106" s="151"/>
      <c r="X106" s="151"/>
      <c r="Y106" s="151"/>
      <c r="Z106" s="151"/>
    </row>
    <row r="107" spans="1:26" x14ac:dyDescent="0.25">
      <c r="A107" s="1" t="s">
        <v>0</v>
      </c>
      <c r="B107" s="154" t="s">
        <v>68</v>
      </c>
      <c r="C107" s="176">
        <f>C108+C111</f>
        <v>0</v>
      </c>
      <c r="D107" s="176">
        <f>D108+D111</f>
        <v>0</v>
      </c>
      <c r="E107" s="176">
        <f>E108+E111</f>
        <v>0</v>
      </c>
      <c r="F107" s="176">
        <f>F108+F111</f>
        <v>0</v>
      </c>
      <c r="G107" s="176">
        <f>G108+G111</f>
        <v>0</v>
      </c>
      <c r="H107" s="177" t="str">
        <f>IFERROR(G107/F107-1,"-")</f>
        <v>-</v>
      </c>
      <c r="I107" s="177" t="str">
        <f t="shared" si="35"/>
        <v>-</v>
      </c>
      <c r="J107" s="177">
        <f>G107/G$9</f>
        <v>0</v>
      </c>
      <c r="K107" s="176">
        <f>K108+K111</f>
        <v>82594</v>
      </c>
      <c r="L107" s="176">
        <f>L108+L111</f>
        <v>0</v>
      </c>
      <c r="M107" s="176">
        <f>M108+M111</f>
        <v>0</v>
      </c>
      <c r="N107" s="176">
        <f>N108+N111</f>
        <v>0</v>
      </c>
      <c r="O107" s="176">
        <f>O108+O111</f>
        <v>0</v>
      </c>
      <c r="P107" s="177" t="str">
        <f>IFERROR(O107/N107-1,"-")</f>
        <v>-</v>
      </c>
      <c r="Q107" s="177">
        <f t="shared" si="42"/>
        <v>-1</v>
      </c>
      <c r="R107" s="177">
        <f>O107/O$9</f>
        <v>0</v>
      </c>
      <c r="S107" s="176">
        <f>S108+S111</f>
        <v>82594</v>
      </c>
      <c r="T107" s="176">
        <f>T108+T111</f>
        <v>63499</v>
      </c>
      <c r="U107" s="176">
        <f>U108+U111</f>
        <v>95997</v>
      </c>
      <c r="V107" s="176">
        <f>V108+V111</f>
        <v>169794</v>
      </c>
      <c r="W107" s="176">
        <f>W108+W111</f>
        <v>220761</v>
      </c>
      <c r="X107" s="177">
        <f>IFERROR(W107/V107-1,"-")</f>
        <v>0.3001696173009647</v>
      </c>
      <c r="Y107" s="177">
        <f t="shared" si="43"/>
        <v>1.6728454851441992</v>
      </c>
      <c r="Z107" s="177">
        <f t="shared" ref="Z107:Z119" si="50">U107/U$9</f>
        <v>5.166598404439969E-2</v>
      </c>
    </row>
    <row r="108" spans="1:26" x14ac:dyDescent="0.25">
      <c r="A108" s="1" t="s">
        <v>96</v>
      </c>
      <c r="B108" s="157" t="s">
        <v>97</v>
      </c>
      <c r="C108" s="158">
        <v>0</v>
      </c>
      <c r="D108" s="158">
        <v>0</v>
      </c>
      <c r="E108" s="158">
        <v>0</v>
      </c>
      <c r="F108" s="158">
        <v>0</v>
      </c>
      <c r="G108" s="158">
        <v>0</v>
      </c>
      <c r="H108" s="159" t="str">
        <f>IFERROR(G108/F108-1,"-")</f>
        <v>-</v>
      </c>
      <c r="I108" s="160" t="str">
        <f t="shared" si="35"/>
        <v>-</v>
      </c>
      <c r="J108" s="159">
        <f>G108/G$9</f>
        <v>0</v>
      </c>
      <c r="K108" s="158">
        <v>17569</v>
      </c>
      <c r="L108" s="158">
        <v>0</v>
      </c>
      <c r="M108" s="158">
        <v>0</v>
      </c>
      <c r="N108" s="158">
        <v>0</v>
      </c>
      <c r="O108" s="158">
        <v>0</v>
      </c>
      <c r="P108" s="159" t="str">
        <f>IFERROR(O108/N108-1,"-")</f>
        <v>-</v>
      </c>
      <c r="Q108" s="160">
        <f t="shared" si="42"/>
        <v>-1</v>
      </c>
      <c r="R108" s="159">
        <f>O108/O$9</f>
        <v>0</v>
      </c>
      <c r="S108" s="158">
        <v>17569</v>
      </c>
      <c r="T108" s="158">
        <v>28387</v>
      </c>
      <c r="U108" s="158">
        <v>39659</v>
      </c>
      <c r="V108" s="158">
        <v>41132</v>
      </c>
      <c r="W108" s="158">
        <v>48543</v>
      </c>
      <c r="X108" s="159">
        <f>IFERROR(W108/V108-1,"-")</f>
        <v>0.18017601867159394</v>
      </c>
      <c r="Y108" s="160">
        <f t="shared" si="43"/>
        <v>1.7629916329899253</v>
      </c>
      <c r="Z108" s="159">
        <f t="shared" si="50"/>
        <v>2.134463849096167E-2</v>
      </c>
    </row>
    <row r="109" spans="1:26" x14ac:dyDescent="0.25">
      <c r="A109" s="161" t="s">
        <v>103</v>
      </c>
      <c r="B109" s="162" t="s">
        <v>103</v>
      </c>
      <c r="C109" s="163">
        <v>0</v>
      </c>
      <c r="D109" s="163">
        <v>0</v>
      </c>
      <c r="E109" s="163">
        <v>0</v>
      </c>
      <c r="F109" s="163">
        <v>0</v>
      </c>
      <c r="G109" s="163">
        <v>0</v>
      </c>
      <c r="H109" s="164" t="str">
        <f>IFERROR(G109/F109-1,"-")</f>
        <v>-</v>
      </c>
      <c r="I109" s="165" t="str">
        <f t="shared" si="35"/>
        <v>-</v>
      </c>
      <c r="J109" s="164">
        <f>G109/G$9</f>
        <v>0</v>
      </c>
      <c r="K109" s="163">
        <v>3028</v>
      </c>
      <c r="L109" s="163">
        <v>0</v>
      </c>
      <c r="M109" s="163">
        <v>0</v>
      </c>
      <c r="N109" s="163">
        <v>0</v>
      </c>
      <c r="O109" s="163">
        <v>0</v>
      </c>
      <c r="P109" s="164" t="str">
        <f>IFERROR(O109/N109-1,"-")</f>
        <v>-</v>
      </c>
      <c r="Q109" s="165">
        <f t="shared" si="42"/>
        <v>-1</v>
      </c>
      <c r="R109" s="164">
        <f>O109/O$9</f>
        <v>0</v>
      </c>
      <c r="S109" s="163">
        <v>3028</v>
      </c>
      <c r="T109" s="163">
        <v>3383</v>
      </c>
      <c r="U109" s="163">
        <v>20351</v>
      </c>
      <c r="V109" s="163">
        <v>11031</v>
      </c>
      <c r="W109" s="163">
        <v>14560</v>
      </c>
      <c r="X109" s="164">
        <f>IFERROR(W109/V109-1,"-")</f>
        <v>0.31991659867645716</v>
      </c>
      <c r="Y109" s="165">
        <f t="shared" si="43"/>
        <v>3.8084544253632764</v>
      </c>
      <c r="Z109" s="164">
        <f t="shared" si="50"/>
        <v>1.0952992711101161E-2</v>
      </c>
    </row>
    <row r="110" spans="1:26" x14ac:dyDescent="0.25">
      <c r="A110" s="161" t="s">
        <v>100</v>
      </c>
      <c r="B110" s="162" t="s">
        <v>100</v>
      </c>
      <c r="C110" s="163">
        <v>0</v>
      </c>
      <c r="D110" s="163">
        <v>0</v>
      </c>
      <c r="E110" s="163">
        <v>0</v>
      </c>
      <c r="F110" s="163">
        <v>0</v>
      </c>
      <c r="G110" s="163">
        <v>0</v>
      </c>
      <c r="H110" s="164" t="str">
        <f>IFERROR(G110/F110-1,"-")</f>
        <v>-</v>
      </c>
      <c r="I110" s="165" t="str">
        <f t="shared" si="35"/>
        <v>-</v>
      </c>
      <c r="J110" s="164">
        <f>G110/G$9</f>
        <v>0</v>
      </c>
      <c r="K110" s="163">
        <v>14541</v>
      </c>
      <c r="L110" s="163">
        <v>0</v>
      </c>
      <c r="M110" s="163">
        <v>0</v>
      </c>
      <c r="N110" s="163">
        <v>0</v>
      </c>
      <c r="O110" s="163">
        <v>0</v>
      </c>
      <c r="P110" s="164" t="str">
        <f>IFERROR(O110/N110-1,"-")</f>
        <v>-</v>
      </c>
      <c r="Q110" s="165">
        <f t="shared" si="42"/>
        <v>-1</v>
      </c>
      <c r="R110" s="164">
        <f>O110/O$9</f>
        <v>0</v>
      </c>
      <c r="S110" s="163">
        <v>14541</v>
      </c>
      <c r="T110" s="163">
        <v>25004</v>
      </c>
      <c r="U110" s="163">
        <v>19308</v>
      </c>
      <c r="V110" s="163">
        <v>30101</v>
      </c>
      <c r="W110" s="163">
        <v>33983</v>
      </c>
      <c r="X110" s="164">
        <f>IFERROR(W110/V110-1,"-")</f>
        <v>0.12896581508919969</v>
      </c>
      <c r="Y110" s="165">
        <f t="shared" si="43"/>
        <v>1.337046970634757</v>
      </c>
      <c r="Z110" s="164">
        <f t="shared" si="50"/>
        <v>1.0391645779860507E-2</v>
      </c>
    </row>
    <row r="111" spans="1:26" x14ac:dyDescent="0.25">
      <c r="A111" s="1" t="s">
        <v>146</v>
      </c>
      <c r="B111" s="157" t="s">
        <v>107</v>
      </c>
      <c r="C111" s="158">
        <v>0</v>
      </c>
      <c r="D111" s="158">
        <v>0</v>
      </c>
      <c r="E111" s="158">
        <v>0</v>
      </c>
      <c r="F111" s="158">
        <v>0</v>
      </c>
      <c r="G111" s="158">
        <v>0</v>
      </c>
      <c r="H111" s="159" t="str">
        <f>IFERROR(G111/F111-1,"-")</f>
        <v>-</v>
      </c>
      <c r="I111" s="160" t="str">
        <f t="shared" si="35"/>
        <v>-</v>
      </c>
      <c r="J111" s="159">
        <f>G111/G$9</f>
        <v>0</v>
      </c>
      <c r="K111" s="158">
        <v>65025</v>
      </c>
      <c r="L111" s="158">
        <v>0</v>
      </c>
      <c r="M111" s="158">
        <v>0</v>
      </c>
      <c r="N111" s="158">
        <v>0</v>
      </c>
      <c r="O111" s="158">
        <v>0</v>
      </c>
      <c r="P111" s="159" t="str">
        <f>IFERROR(O111/N111-1,"-")</f>
        <v>-</v>
      </c>
      <c r="Q111" s="160">
        <f t="shared" si="42"/>
        <v>-1</v>
      </c>
      <c r="R111" s="159">
        <f>O111/O$9</f>
        <v>0</v>
      </c>
      <c r="S111" s="158">
        <v>65025</v>
      </c>
      <c r="T111" s="158">
        <v>35112</v>
      </c>
      <c r="U111" s="158">
        <v>56338</v>
      </c>
      <c r="V111" s="158">
        <v>128662</v>
      </c>
      <c r="W111" s="158">
        <v>172218</v>
      </c>
      <c r="X111" s="159">
        <f>IFERROR(W111/V111-1,"-")</f>
        <v>0.3385304130201614</v>
      </c>
      <c r="Y111" s="160">
        <f t="shared" si="43"/>
        <v>1.648489042675894</v>
      </c>
      <c r="Z111" s="159">
        <f t="shared" si="50"/>
        <v>3.0321345553438021E-2</v>
      </c>
    </row>
    <row r="112" spans="1:26" x14ac:dyDescent="0.25">
      <c r="A112" s="161" t="s">
        <v>110</v>
      </c>
      <c r="B112" s="162" t="s">
        <v>110</v>
      </c>
      <c r="C112" s="163">
        <v>0</v>
      </c>
      <c r="D112" s="163">
        <v>0</v>
      </c>
      <c r="E112" s="163">
        <v>0</v>
      </c>
      <c r="F112" s="163">
        <v>0</v>
      </c>
      <c r="G112" s="163">
        <v>0</v>
      </c>
      <c r="H112" s="164" t="str">
        <f t="shared" ref="H112:H119" si="51">IFERROR(G112/F112-1,"-")</f>
        <v>-</v>
      </c>
      <c r="I112" s="165" t="str">
        <f t="shared" si="35"/>
        <v>-</v>
      </c>
      <c r="J112" s="164">
        <f t="shared" ref="J112:J119" si="52">G112/G$9</f>
        <v>0</v>
      </c>
      <c r="K112" s="163">
        <v>36612</v>
      </c>
      <c r="L112" s="163">
        <v>0</v>
      </c>
      <c r="M112" s="163">
        <v>0</v>
      </c>
      <c r="N112" s="163">
        <v>0</v>
      </c>
      <c r="O112" s="163">
        <v>0</v>
      </c>
      <c r="P112" s="164" t="str">
        <f t="shared" ref="P112:P119" si="53">IFERROR(O112/N112-1,"-")</f>
        <v>-</v>
      </c>
      <c r="Q112" s="165">
        <f t="shared" si="42"/>
        <v>-1</v>
      </c>
      <c r="R112" s="164">
        <f t="shared" ref="R112:R119" si="54">O112/O$9</f>
        <v>0</v>
      </c>
      <c r="S112" s="163">
        <v>36612</v>
      </c>
      <c r="T112" s="163">
        <v>20258</v>
      </c>
      <c r="U112" s="163">
        <v>23009</v>
      </c>
      <c r="V112" s="163">
        <v>77726</v>
      </c>
      <c r="W112" s="163">
        <v>113230</v>
      </c>
      <c r="X112" s="164">
        <f t="shared" ref="X112:X119" si="55">IFERROR(W112/V112-1,"-")</f>
        <v>0.45678408769266388</v>
      </c>
      <c r="Y112" s="165">
        <f t="shared" si="43"/>
        <v>2.0927018463891622</v>
      </c>
      <c r="Z112" s="164">
        <f t="shared" si="50"/>
        <v>1.2383539348912908E-2</v>
      </c>
    </row>
    <row r="113" spans="1:26" x14ac:dyDescent="0.25">
      <c r="A113" s="161" t="s">
        <v>113</v>
      </c>
      <c r="B113" s="162" t="s">
        <v>113</v>
      </c>
      <c r="C113" s="163">
        <v>0</v>
      </c>
      <c r="D113" s="163">
        <v>0</v>
      </c>
      <c r="E113" s="163">
        <v>0</v>
      </c>
      <c r="F113" s="163">
        <v>0</v>
      </c>
      <c r="G113" s="163">
        <v>0</v>
      </c>
      <c r="H113" s="164" t="str">
        <f t="shared" si="51"/>
        <v>-</v>
      </c>
      <c r="I113" s="165" t="str">
        <f t="shared" si="35"/>
        <v>-</v>
      </c>
      <c r="J113" s="164">
        <f t="shared" si="52"/>
        <v>0</v>
      </c>
      <c r="K113" s="163">
        <v>4407</v>
      </c>
      <c r="L113" s="163">
        <v>0</v>
      </c>
      <c r="M113" s="163">
        <v>0</v>
      </c>
      <c r="N113" s="163">
        <v>0</v>
      </c>
      <c r="O113" s="163">
        <v>0</v>
      </c>
      <c r="P113" s="164" t="str">
        <f t="shared" si="53"/>
        <v>-</v>
      </c>
      <c r="Q113" s="165">
        <f t="shared" si="42"/>
        <v>-1</v>
      </c>
      <c r="R113" s="164">
        <f t="shared" si="54"/>
        <v>0</v>
      </c>
      <c r="S113" s="163">
        <v>4407</v>
      </c>
      <c r="T113" s="163">
        <v>2717</v>
      </c>
      <c r="U113" s="163">
        <v>6854</v>
      </c>
      <c r="V113" s="163">
        <v>5917</v>
      </c>
      <c r="W113" s="163">
        <v>7594</v>
      </c>
      <c r="X113" s="164">
        <f t="shared" si="55"/>
        <v>0.28342065235761371</v>
      </c>
      <c r="Y113" s="165">
        <f t="shared" si="43"/>
        <v>0.72316768776945772</v>
      </c>
      <c r="Z113" s="164">
        <f t="shared" si="50"/>
        <v>3.6888512624385708E-3</v>
      </c>
    </row>
    <row r="114" spans="1:26" x14ac:dyDescent="0.25">
      <c r="A114" s="161" t="s">
        <v>116</v>
      </c>
      <c r="B114" s="162" t="s">
        <v>116</v>
      </c>
      <c r="C114" s="163">
        <v>0</v>
      </c>
      <c r="D114" s="163">
        <v>0</v>
      </c>
      <c r="E114" s="163">
        <v>0</v>
      </c>
      <c r="F114" s="163">
        <v>0</v>
      </c>
      <c r="G114" s="163">
        <v>0</v>
      </c>
      <c r="H114" s="164" t="str">
        <f t="shared" si="51"/>
        <v>-</v>
      </c>
      <c r="I114" s="165" t="str">
        <f t="shared" si="35"/>
        <v>-</v>
      </c>
      <c r="J114" s="164">
        <f t="shared" si="52"/>
        <v>0</v>
      </c>
      <c r="K114" s="163">
        <v>8908</v>
      </c>
      <c r="L114" s="163">
        <v>0</v>
      </c>
      <c r="M114" s="163">
        <v>0</v>
      </c>
      <c r="N114" s="163">
        <v>0</v>
      </c>
      <c r="O114" s="163">
        <v>0</v>
      </c>
      <c r="P114" s="164" t="str">
        <f t="shared" si="53"/>
        <v>-</v>
      </c>
      <c r="Q114" s="165">
        <f t="shared" si="42"/>
        <v>-1</v>
      </c>
      <c r="R114" s="164">
        <f t="shared" si="54"/>
        <v>0</v>
      </c>
      <c r="S114" s="163">
        <v>8908</v>
      </c>
      <c r="T114" s="163">
        <v>1871</v>
      </c>
      <c r="U114" s="163">
        <v>6300</v>
      </c>
      <c r="V114" s="163">
        <v>8638</v>
      </c>
      <c r="W114" s="163">
        <v>12056</v>
      </c>
      <c r="X114" s="164">
        <f t="shared" si="55"/>
        <v>0.39569344755730484</v>
      </c>
      <c r="Y114" s="165">
        <f t="shared" si="43"/>
        <v>0.35339021104625057</v>
      </c>
      <c r="Z114" s="164">
        <f t="shared" si="50"/>
        <v>3.3906861618562874E-3</v>
      </c>
    </row>
    <row r="115" spans="1:26" x14ac:dyDescent="0.25">
      <c r="A115" s="161" t="s">
        <v>123</v>
      </c>
      <c r="B115" s="162" t="s">
        <v>123</v>
      </c>
      <c r="C115" s="163">
        <v>0</v>
      </c>
      <c r="D115" s="163">
        <v>0</v>
      </c>
      <c r="E115" s="163">
        <v>0</v>
      </c>
      <c r="F115" s="163">
        <v>0</v>
      </c>
      <c r="G115" s="163">
        <v>0</v>
      </c>
      <c r="H115" s="164" t="str">
        <f t="shared" si="51"/>
        <v>-</v>
      </c>
      <c r="I115" s="165" t="str">
        <f t="shared" si="35"/>
        <v>-</v>
      </c>
      <c r="J115" s="164">
        <f t="shared" si="52"/>
        <v>0</v>
      </c>
      <c r="K115" s="163">
        <v>1114</v>
      </c>
      <c r="L115" s="163">
        <v>0</v>
      </c>
      <c r="M115" s="163">
        <v>0</v>
      </c>
      <c r="N115" s="163">
        <v>0</v>
      </c>
      <c r="O115" s="163">
        <v>0</v>
      </c>
      <c r="P115" s="164" t="str">
        <f t="shared" si="53"/>
        <v>-</v>
      </c>
      <c r="Q115" s="165">
        <f t="shared" si="42"/>
        <v>-1</v>
      </c>
      <c r="R115" s="164">
        <f t="shared" si="54"/>
        <v>0</v>
      </c>
      <c r="S115" s="163">
        <v>1114</v>
      </c>
      <c r="T115" s="163">
        <v>1133</v>
      </c>
      <c r="U115" s="163">
        <v>3529</v>
      </c>
      <c r="V115" s="163">
        <v>5894</v>
      </c>
      <c r="W115" s="163">
        <v>6032</v>
      </c>
      <c r="X115" s="164">
        <f t="shared" si="55"/>
        <v>2.3413640990838092E-2</v>
      </c>
      <c r="Y115" s="165">
        <f t="shared" si="43"/>
        <v>4.4147217235188512</v>
      </c>
      <c r="Z115" s="164">
        <f t="shared" si="50"/>
        <v>1.8993224547921967E-3</v>
      </c>
    </row>
    <row r="116" spans="1:26" x14ac:dyDescent="0.25">
      <c r="A116" s="161" t="s">
        <v>119</v>
      </c>
      <c r="B116" s="162" t="s">
        <v>119</v>
      </c>
      <c r="C116" s="163">
        <v>0</v>
      </c>
      <c r="D116" s="163">
        <v>0</v>
      </c>
      <c r="E116" s="163">
        <v>0</v>
      </c>
      <c r="F116" s="163">
        <v>0</v>
      </c>
      <c r="G116" s="163">
        <v>0</v>
      </c>
      <c r="H116" s="164" t="str">
        <f t="shared" si="51"/>
        <v>-</v>
      </c>
      <c r="I116" s="165" t="str">
        <f t="shared" si="35"/>
        <v>-</v>
      </c>
      <c r="J116" s="164">
        <f t="shared" si="52"/>
        <v>0</v>
      </c>
      <c r="K116" s="163">
        <v>2915</v>
      </c>
      <c r="L116" s="163">
        <v>0</v>
      </c>
      <c r="M116" s="163">
        <v>0</v>
      </c>
      <c r="N116" s="163">
        <v>0</v>
      </c>
      <c r="O116" s="163">
        <v>0</v>
      </c>
      <c r="P116" s="164" t="str">
        <f t="shared" si="53"/>
        <v>-</v>
      </c>
      <c r="Q116" s="165">
        <f t="shared" si="42"/>
        <v>-1</v>
      </c>
      <c r="R116" s="164">
        <f t="shared" si="54"/>
        <v>0</v>
      </c>
      <c r="S116" s="163">
        <v>2915</v>
      </c>
      <c r="T116" s="163">
        <v>2557</v>
      </c>
      <c r="U116" s="163">
        <v>4170</v>
      </c>
      <c r="V116" s="163">
        <v>4317</v>
      </c>
      <c r="W116" s="163">
        <v>4916</v>
      </c>
      <c r="X116" s="164">
        <f t="shared" si="55"/>
        <v>0.1387537641880936</v>
      </c>
      <c r="Y116" s="165">
        <f t="shared" si="43"/>
        <v>0.68644939965694673</v>
      </c>
      <c r="Z116" s="164">
        <f t="shared" si="50"/>
        <v>2.244311316657257E-3</v>
      </c>
    </row>
    <row r="117" spans="1:26" x14ac:dyDescent="0.25">
      <c r="A117" s="161" t="s">
        <v>128</v>
      </c>
      <c r="B117" s="162" t="s">
        <v>128</v>
      </c>
      <c r="C117" s="163">
        <v>0</v>
      </c>
      <c r="D117" s="163">
        <v>0</v>
      </c>
      <c r="E117" s="163">
        <v>0</v>
      </c>
      <c r="F117" s="163">
        <v>0</v>
      </c>
      <c r="G117" s="163">
        <v>0</v>
      </c>
      <c r="H117" s="164" t="str">
        <f t="shared" si="51"/>
        <v>-</v>
      </c>
      <c r="I117" s="165" t="str">
        <f t="shared" si="35"/>
        <v>-</v>
      </c>
      <c r="J117" s="164">
        <f t="shared" si="52"/>
        <v>0</v>
      </c>
      <c r="K117" s="163">
        <v>419</v>
      </c>
      <c r="L117" s="163">
        <v>0</v>
      </c>
      <c r="M117" s="163">
        <v>0</v>
      </c>
      <c r="N117" s="163">
        <v>0</v>
      </c>
      <c r="O117" s="163">
        <v>0</v>
      </c>
      <c r="P117" s="164" t="str">
        <f t="shared" si="53"/>
        <v>-</v>
      </c>
      <c r="Q117" s="165">
        <f t="shared" si="42"/>
        <v>-1</v>
      </c>
      <c r="R117" s="164">
        <f t="shared" si="54"/>
        <v>0</v>
      </c>
      <c r="S117" s="163">
        <v>419</v>
      </c>
      <c r="T117" s="163">
        <v>226</v>
      </c>
      <c r="U117" s="163">
        <v>308</v>
      </c>
      <c r="V117" s="163">
        <v>1123</v>
      </c>
      <c r="W117" s="163">
        <v>1300</v>
      </c>
      <c r="X117" s="164">
        <f t="shared" si="55"/>
        <v>0.15761353517364207</v>
      </c>
      <c r="Y117" s="165">
        <f t="shared" si="43"/>
        <v>2.1026252983293556</v>
      </c>
      <c r="Z117" s="164">
        <f t="shared" si="50"/>
        <v>1.6576687902408518E-4</v>
      </c>
    </row>
    <row r="118" spans="1:26" x14ac:dyDescent="0.25">
      <c r="A118" s="161" t="s">
        <v>131</v>
      </c>
      <c r="B118" s="162" t="s">
        <v>131</v>
      </c>
      <c r="C118" s="163">
        <v>0</v>
      </c>
      <c r="D118" s="163">
        <v>0</v>
      </c>
      <c r="E118" s="163">
        <v>0</v>
      </c>
      <c r="F118" s="163">
        <v>0</v>
      </c>
      <c r="G118" s="163">
        <v>0</v>
      </c>
      <c r="H118" s="164" t="str">
        <f t="shared" si="51"/>
        <v>-</v>
      </c>
      <c r="I118" s="165" t="str">
        <f t="shared" si="35"/>
        <v>-</v>
      </c>
      <c r="J118" s="164">
        <f t="shared" si="52"/>
        <v>0</v>
      </c>
      <c r="K118" s="163">
        <v>1123</v>
      </c>
      <c r="L118" s="163">
        <v>0</v>
      </c>
      <c r="M118" s="163">
        <v>0</v>
      </c>
      <c r="N118" s="163">
        <v>0</v>
      </c>
      <c r="O118" s="163">
        <v>0</v>
      </c>
      <c r="P118" s="164" t="str">
        <f t="shared" si="53"/>
        <v>-</v>
      </c>
      <c r="Q118" s="165">
        <f t="shared" si="42"/>
        <v>-1</v>
      </c>
      <c r="R118" s="164">
        <f t="shared" si="54"/>
        <v>0</v>
      </c>
      <c r="S118" s="163">
        <v>1123</v>
      </c>
      <c r="T118" s="163">
        <v>549</v>
      </c>
      <c r="U118" s="163">
        <v>470</v>
      </c>
      <c r="V118" s="163">
        <v>840</v>
      </c>
      <c r="W118" s="163">
        <v>770</v>
      </c>
      <c r="X118" s="164">
        <f t="shared" si="55"/>
        <v>-8.333333333333337E-2</v>
      </c>
      <c r="Y118" s="165">
        <f t="shared" si="43"/>
        <v>-0.31433659839715045</v>
      </c>
      <c r="Z118" s="164">
        <f t="shared" si="50"/>
        <v>2.5295595175753256E-4</v>
      </c>
    </row>
    <row r="119" spans="1:26" x14ac:dyDescent="0.25">
      <c r="A119" s="167" t="s">
        <v>145</v>
      </c>
      <c r="B119" s="168" t="s">
        <v>145</v>
      </c>
      <c r="C119" s="169">
        <f>C111-SUM(C112:C118)</f>
        <v>0</v>
      </c>
      <c r="D119" s="169">
        <f>D111-SUM(D112:D118)</f>
        <v>0</v>
      </c>
      <c r="E119" s="169">
        <f>E111-SUM(E112:E118)</f>
        <v>0</v>
      </c>
      <c r="F119" s="169">
        <f>F111-SUM(F112:F118)</f>
        <v>0</v>
      </c>
      <c r="G119" s="169">
        <f>G111-SUM(G112:G118)</f>
        <v>0</v>
      </c>
      <c r="H119" s="170" t="str">
        <f t="shared" si="51"/>
        <v>-</v>
      </c>
      <c r="I119" s="171" t="str">
        <f t="shared" si="35"/>
        <v>-</v>
      </c>
      <c r="J119" s="170">
        <f t="shared" si="52"/>
        <v>0</v>
      </c>
      <c r="K119" s="169">
        <f>K111-SUM(K112:K118)</f>
        <v>9527</v>
      </c>
      <c r="L119" s="169">
        <f>L111-SUM(L112:L118)</f>
        <v>0</v>
      </c>
      <c r="M119" s="169">
        <f>M111-SUM(M112:M118)</f>
        <v>0</v>
      </c>
      <c r="N119" s="169">
        <f>N111-SUM(N112:N118)</f>
        <v>0</v>
      </c>
      <c r="O119" s="169">
        <f>O111-SUM(O112:O118)</f>
        <v>0</v>
      </c>
      <c r="P119" s="170" t="str">
        <f t="shared" si="53"/>
        <v>-</v>
      </c>
      <c r="Q119" s="171">
        <f t="shared" si="42"/>
        <v>-1</v>
      </c>
      <c r="R119" s="170">
        <f t="shared" si="54"/>
        <v>0</v>
      </c>
      <c r="S119" s="169">
        <f>S111-SUM(S112:S118)</f>
        <v>9527</v>
      </c>
      <c r="T119" s="169">
        <f>T111-SUM(T112:T118)</f>
        <v>5801</v>
      </c>
      <c r="U119" s="169">
        <f>U111-SUM(U112:U118)</f>
        <v>11698</v>
      </c>
      <c r="V119" s="169">
        <f>V111-SUM(V112:V118)</f>
        <v>24207</v>
      </c>
      <c r="W119" s="169">
        <f>W111-SUM(W112:W118)</f>
        <v>26320</v>
      </c>
      <c r="X119" s="170">
        <f t="shared" si="55"/>
        <v>8.7288800760110696E-2</v>
      </c>
      <c r="Y119" s="171">
        <f t="shared" si="43"/>
        <v>1.7626745040411462</v>
      </c>
      <c r="Z119" s="170">
        <f t="shared" si="50"/>
        <v>6.295912177999183E-3</v>
      </c>
    </row>
    <row r="120" spans="1:26" x14ac:dyDescent="0.25">
      <c r="A120" s="1"/>
      <c r="B120" s="153" t="s">
        <v>51</v>
      </c>
      <c r="C120" s="151"/>
      <c r="D120" s="151"/>
      <c r="E120" s="151"/>
      <c r="F120" s="151"/>
      <c r="G120" s="151"/>
      <c r="H120" s="151"/>
      <c r="I120" s="151"/>
      <c r="J120" s="151"/>
      <c r="K120" s="151"/>
      <c r="L120" s="151"/>
      <c r="M120" s="151"/>
      <c r="N120" s="151"/>
      <c r="O120" s="151"/>
      <c r="P120" s="151"/>
      <c r="Q120" s="151"/>
      <c r="R120" s="151"/>
      <c r="S120" s="151"/>
      <c r="T120" s="151"/>
      <c r="U120" s="151"/>
      <c r="V120" s="151"/>
      <c r="W120" s="151"/>
      <c r="X120" s="151"/>
      <c r="Y120" s="151"/>
      <c r="Z120" s="151"/>
    </row>
    <row r="121" spans="1:26" x14ac:dyDescent="0.25">
      <c r="A121" s="1" t="s">
        <v>0</v>
      </c>
      <c r="B121" s="154" t="s">
        <v>68</v>
      </c>
      <c r="C121" s="176">
        <f>C122+C125</f>
        <v>109587</v>
      </c>
      <c r="D121" s="176">
        <f>D122+D125</f>
        <v>48728</v>
      </c>
      <c r="E121" s="176">
        <f>E122+E125</f>
        <v>61314</v>
      </c>
      <c r="F121" s="176">
        <f>F122+F125</f>
        <v>93434</v>
      </c>
      <c r="G121" s="176">
        <f>G122+G125</f>
        <v>93472</v>
      </c>
      <c r="H121" s="177">
        <f>IFERROR(G121/F121-1,"-")</f>
        <v>4.0670419761545951E-4</v>
      </c>
      <c r="I121" s="177">
        <f t="shared" si="35"/>
        <v>-0.14705211384562034</v>
      </c>
      <c r="J121" s="177">
        <f>G121/G$9</f>
        <v>0.12658652986711882</v>
      </c>
      <c r="K121" s="176">
        <f>K122+K125</f>
        <v>110828</v>
      </c>
      <c r="L121" s="176">
        <f>L122+L125</f>
        <v>54788</v>
      </c>
      <c r="M121" s="176">
        <f>M122+M125</f>
        <v>102944</v>
      </c>
      <c r="N121" s="176">
        <f>N122+N125</f>
        <v>135697</v>
      </c>
      <c r="O121" s="176">
        <f>O122+O125</f>
        <v>145637</v>
      </c>
      <c r="P121" s="177">
        <f>IFERROR(O121/N121-1,"-")</f>
        <v>7.3251435182796865E-2</v>
      </c>
      <c r="Q121" s="177">
        <f t="shared" si="42"/>
        <v>0.31408127909914452</v>
      </c>
      <c r="R121" s="177">
        <f>O121/O$9</f>
        <v>4.3471732941231953E-2</v>
      </c>
      <c r="S121" s="176">
        <f>S122+S125</f>
        <v>220415</v>
      </c>
      <c r="T121" s="176">
        <f>T122+T125</f>
        <v>103516</v>
      </c>
      <c r="U121" s="176">
        <f>U122+U125</f>
        <v>164258</v>
      </c>
      <c r="V121" s="176">
        <f>V122+V125</f>
        <v>229131</v>
      </c>
      <c r="W121" s="176">
        <f>W122+W125</f>
        <v>239109</v>
      </c>
      <c r="X121" s="177">
        <f>IFERROR(W121/V121-1,"-")</f>
        <v>4.3547141155059865E-2</v>
      </c>
      <c r="Y121" s="177">
        <f t="shared" si="43"/>
        <v>8.4812739604836374E-2</v>
      </c>
      <c r="Z121" s="177">
        <f t="shared" ref="Z121:Z133" si="56">U121/U$9</f>
        <v>8.8404337710188907E-2</v>
      </c>
    </row>
    <row r="122" spans="1:26" x14ac:dyDescent="0.25">
      <c r="A122" s="1" t="s">
        <v>96</v>
      </c>
      <c r="B122" s="157" t="s">
        <v>97</v>
      </c>
      <c r="C122" s="158">
        <v>50068</v>
      </c>
      <c r="D122" s="158">
        <v>23736</v>
      </c>
      <c r="E122" s="158">
        <v>32824</v>
      </c>
      <c r="F122" s="158">
        <v>51574</v>
      </c>
      <c r="G122" s="158">
        <v>60712</v>
      </c>
      <c r="H122" s="159">
        <f>IFERROR(G122/F122-1,"-")</f>
        <v>0.17718230115949907</v>
      </c>
      <c r="I122" s="160">
        <f t="shared" si="35"/>
        <v>0.21259087640808505</v>
      </c>
      <c r="J122" s="159">
        <f>G122/G$9</f>
        <v>8.2220573019647775E-2</v>
      </c>
      <c r="K122" s="158">
        <v>70074</v>
      </c>
      <c r="L122" s="158">
        <v>37835</v>
      </c>
      <c r="M122" s="158">
        <v>71733</v>
      </c>
      <c r="N122" s="158">
        <v>83312</v>
      </c>
      <c r="O122" s="158">
        <v>85718</v>
      </c>
      <c r="P122" s="159">
        <f>IFERROR(O122/N122-1,"-")</f>
        <v>2.8879393124639829E-2</v>
      </c>
      <c r="Q122" s="160">
        <f t="shared" si="42"/>
        <v>0.22324970745212203</v>
      </c>
      <c r="R122" s="159">
        <f>O122/O$9</f>
        <v>2.5586286481158776E-2</v>
      </c>
      <c r="S122" s="158">
        <v>120142</v>
      </c>
      <c r="T122" s="158">
        <v>61571</v>
      </c>
      <c r="U122" s="158">
        <v>104557</v>
      </c>
      <c r="V122" s="158">
        <v>134886</v>
      </c>
      <c r="W122" s="158">
        <v>146430</v>
      </c>
      <c r="X122" s="159">
        <f>IFERROR(W122/V122-1,"-")</f>
        <v>8.5583381522174262E-2</v>
      </c>
      <c r="Y122" s="160">
        <f t="shared" si="43"/>
        <v>0.21880774416939963</v>
      </c>
      <c r="Z122" s="159">
        <f t="shared" si="56"/>
        <v>5.6273011591302838E-2</v>
      </c>
    </row>
    <row r="123" spans="1:26" x14ac:dyDescent="0.25">
      <c r="A123" s="161" t="s">
        <v>103</v>
      </c>
      <c r="B123" s="162" t="s">
        <v>103</v>
      </c>
      <c r="C123" s="163">
        <v>24655</v>
      </c>
      <c r="D123" s="163">
        <v>11647</v>
      </c>
      <c r="E123" s="163">
        <v>15693</v>
      </c>
      <c r="F123" s="163">
        <v>29334</v>
      </c>
      <c r="G123" s="163">
        <v>29429</v>
      </c>
      <c r="H123" s="164">
        <f>IFERROR(G123/F123-1,"-")</f>
        <v>3.2385627599371691E-3</v>
      </c>
      <c r="I123" s="165">
        <f t="shared" si="35"/>
        <v>0.19363212330156165</v>
      </c>
      <c r="J123" s="164">
        <f>G123/G$9</f>
        <v>3.9854876192436661E-2</v>
      </c>
      <c r="K123" s="163">
        <v>36421</v>
      </c>
      <c r="L123" s="163">
        <v>16144</v>
      </c>
      <c r="M123" s="163">
        <v>37554</v>
      </c>
      <c r="N123" s="163">
        <v>40531</v>
      </c>
      <c r="O123" s="163">
        <v>36692</v>
      </c>
      <c r="P123" s="164">
        <f>IFERROR(O123/N123-1,"-")</f>
        <v>-9.4717623547408203E-2</v>
      </c>
      <c r="Q123" s="165">
        <f t="shared" si="42"/>
        <v>7.4407621976333438E-3</v>
      </c>
      <c r="R123" s="164">
        <f>O123/O$9</f>
        <v>1.0952332340543151E-2</v>
      </c>
      <c r="S123" s="163">
        <v>61076</v>
      </c>
      <c r="T123" s="163">
        <v>27791</v>
      </c>
      <c r="U123" s="163">
        <v>53247</v>
      </c>
      <c r="V123" s="163">
        <v>69865</v>
      </c>
      <c r="W123" s="163">
        <v>66121</v>
      </c>
      <c r="X123" s="164">
        <f>IFERROR(W123/V123-1,"-")</f>
        <v>-5.3589064624633198E-2</v>
      </c>
      <c r="Y123" s="165">
        <f t="shared" si="43"/>
        <v>8.2602004060514878E-2</v>
      </c>
      <c r="Z123" s="164">
        <f t="shared" si="56"/>
        <v>2.8657756517517737E-2</v>
      </c>
    </row>
    <row r="124" spans="1:26" x14ac:dyDescent="0.25">
      <c r="A124" s="161" t="s">
        <v>100</v>
      </c>
      <c r="B124" s="162" t="s">
        <v>100</v>
      </c>
      <c r="C124" s="163">
        <v>25413</v>
      </c>
      <c r="D124" s="163">
        <v>12089</v>
      </c>
      <c r="E124" s="163">
        <v>17131</v>
      </c>
      <c r="F124" s="163">
        <v>22240</v>
      </c>
      <c r="G124" s="163">
        <v>31283</v>
      </c>
      <c r="H124" s="164">
        <f>IFERROR(G124/F124-1,"-")</f>
        <v>0.40660971223021591</v>
      </c>
      <c r="I124" s="165">
        <f t="shared" si="35"/>
        <v>0.23098414197457995</v>
      </c>
      <c r="J124" s="164">
        <f>G124/G$9</f>
        <v>4.236569682721112E-2</v>
      </c>
      <c r="K124" s="163">
        <v>33653</v>
      </c>
      <c r="L124" s="163">
        <v>21691</v>
      </c>
      <c r="M124" s="163">
        <v>34179</v>
      </c>
      <c r="N124" s="163">
        <v>42781</v>
      </c>
      <c r="O124" s="163">
        <v>49026</v>
      </c>
      <c r="P124" s="164">
        <f>IFERROR(O124/N124-1,"-")</f>
        <v>0.14597601739089794</v>
      </c>
      <c r="Q124" s="165">
        <f t="shared" si="42"/>
        <v>0.45680919977416568</v>
      </c>
      <c r="R124" s="164">
        <f>O124/O$9</f>
        <v>1.4633954140615626E-2</v>
      </c>
      <c r="S124" s="163">
        <v>59066</v>
      </c>
      <c r="T124" s="163">
        <v>33780</v>
      </c>
      <c r="U124" s="163">
        <v>51310</v>
      </c>
      <c r="V124" s="163">
        <v>65021</v>
      </c>
      <c r="W124" s="163">
        <v>80309</v>
      </c>
      <c r="X124" s="164">
        <f>IFERROR(W124/V124-1,"-")</f>
        <v>0.23512403684963323</v>
      </c>
      <c r="Y124" s="165">
        <f t="shared" si="43"/>
        <v>0.3596485287644331</v>
      </c>
      <c r="Z124" s="164">
        <f t="shared" si="56"/>
        <v>2.7615255073785098E-2</v>
      </c>
    </row>
    <row r="125" spans="1:26" x14ac:dyDescent="0.25">
      <c r="A125" s="1" t="s">
        <v>146</v>
      </c>
      <c r="B125" s="157" t="s">
        <v>107</v>
      </c>
      <c r="C125" s="158">
        <v>59519</v>
      </c>
      <c r="D125" s="158">
        <v>24992</v>
      </c>
      <c r="E125" s="158">
        <v>28490</v>
      </c>
      <c r="F125" s="158">
        <v>41860</v>
      </c>
      <c r="G125" s="158">
        <v>32760</v>
      </c>
      <c r="H125" s="159">
        <f>IFERROR(G125/F125-1,"-")</f>
        <v>-0.21739130434782605</v>
      </c>
      <c r="I125" s="160">
        <f t="shared" si="35"/>
        <v>-0.44958752667215507</v>
      </c>
      <c r="J125" s="159">
        <f>G125/G$9</f>
        <v>4.4365956847471029E-2</v>
      </c>
      <c r="K125" s="158">
        <v>40754</v>
      </c>
      <c r="L125" s="158">
        <v>16953</v>
      </c>
      <c r="M125" s="158">
        <v>31211</v>
      </c>
      <c r="N125" s="158">
        <v>52385</v>
      </c>
      <c r="O125" s="158">
        <v>59919</v>
      </c>
      <c r="P125" s="159">
        <f>IFERROR(O125/N125-1,"-")</f>
        <v>0.14381979574305626</v>
      </c>
      <c r="Q125" s="160">
        <f t="shared" si="42"/>
        <v>0.47026058791775038</v>
      </c>
      <c r="R125" s="159">
        <f>O125/O$9</f>
        <v>1.788544646007318E-2</v>
      </c>
      <c r="S125" s="158">
        <v>100273</v>
      </c>
      <c r="T125" s="158">
        <v>41945</v>
      </c>
      <c r="U125" s="158">
        <v>59701</v>
      </c>
      <c r="V125" s="158">
        <v>94245</v>
      </c>
      <c r="W125" s="158">
        <v>92679</v>
      </c>
      <c r="X125" s="159">
        <f>IFERROR(W125/V125-1,"-")</f>
        <v>-1.6616266114913292E-2</v>
      </c>
      <c r="Y125" s="160">
        <f t="shared" si="43"/>
        <v>-7.5733248232325745E-2</v>
      </c>
      <c r="Z125" s="159">
        <f t="shared" si="56"/>
        <v>3.2131326118886069E-2</v>
      </c>
    </row>
    <row r="126" spans="1:26" x14ac:dyDescent="0.25">
      <c r="A126" s="161" t="s">
        <v>110</v>
      </c>
      <c r="B126" s="162" t="s">
        <v>110</v>
      </c>
      <c r="C126" s="163">
        <v>3118</v>
      </c>
      <c r="D126" s="163">
        <v>1440</v>
      </c>
      <c r="E126" s="163">
        <v>653</v>
      </c>
      <c r="F126" s="163">
        <v>2495</v>
      </c>
      <c r="G126" s="163">
        <v>3067</v>
      </c>
      <c r="H126" s="164">
        <f t="shared" ref="H126:H133" si="57">IFERROR(G126/F126-1,"-")</f>
        <v>0.22925851703406819</v>
      </c>
      <c r="I126" s="165">
        <f t="shared" si="35"/>
        <v>-1.6356638871071194E-2</v>
      </c>
      <c r="J126" s="164">
        <f t="shared" ref="J126:J133" si="58">G126/G$9</f>
        <v>4.1535527976554838E-3</v>
      </c>
      <c r="K126" s="163">
        <v>7342</v>
      </c>
      <c r="L126" s="163">
        <v>2501</v>
      </c>
      <c r="M126" s="163">
        <v>2683</v>
      </c>
      <c r="N126" s="163">
        <v>7422</v>
      </c>
      <c r="O126" s="163">
        <v>8579</v>
      </c>
      <c r="P126" s="164">
        <f t="shared" ref="P126:P133" si="59">IFERROR(O126/N126-1,"-")</f>
        <v>0.15588790083535442</v>
      </c>
      <c r="Q126" s="165">
        <f t="shared" si="42"/>
        <v>0.16848270226096429</v>
      </c>
      <c r="R126" s="164">
        <f t="shared" ref="R126:R133" si="60">O126/O$9</f>
        <v>2.560777803050248E-3</v>
      </c>
      <c r="S126" s="163">
        <v>10460</v>
      </c>
      <c r="T126" s="163">
        <v>3941</v>
      </c>
      <c r="U126" s="163">
        <v>3336</v>
      </c>
      <c r="V126" s="163">
        <v>9917</v>
      </c>
      <c r="W126" s="163">
        <v>11646</v>
      </c>
      <c r="X126" s="164">
        <f t="shared" ref="X126:X133" si="61">IFERROR(W126/V126-1,"-")</f>
        <v>0.17434708077039418</v>
      </c>
      <c r="Y126" s="165">
        <f t="shared" si="43"/>
        <v>0.11338432122370934</v>
      </c>
      <c r="Z126" s="164">
        <f t="shared" si="56"/>
        <v>1.7954490533258058E-3</v>
      </c>
    </row>
    <row r="127" spans="1:26" x14ac:dyDescent="0.25">
      <c r="A127" s="161" t="s">
        <v>113</v>
      </c>
      <c r="B127" s="162" t="s">
        <v>113</v>
      </c>
      <c r="C127" s="163">
        <v>4086</v>
      </c>
      <c r="D127" s="163">
        <v>1742</v>
      </c>
      <c r="E127" s="163">
        <v>2401</v>
      </c>
      <c r="F127" s="163">
        <v>4143</v>
      </c>
      <c r="G127" s="163">
        <v>4500</v>
      </c>
      <c r="H127" s="164">
        <f t="shared" si="57"/>
        <v>8.6169442433019494E-2</v>
      </c>
      <c r="I127" s="165">
        <f t="shared" si="35"/>
        <v>0.1013215859030836</v>
      </c>
      <c r="J127" s="164">
        <f t="shared" si="58"/>
        <v>6.0942248416855811E-3</v>
      </c>
      <c r="K127" s="163">
        <v>5464</v>
      </c>
      <c r="L127" s="163">
        <v>2311</v>
      </c>
      <c r="M127" s="163">
        <v>4913</v>
      </c>
      <c r="N127" s="163">
        <v>7118</v>
      </c>
      <c r="O127" s="163">
        <v>8816</v>
      </c>
      <c r="P127" s="164">
        <f t="shared" si="59"/>
        <v>0.23855015453779149</v>
      </c>
      <c r="Q127" s="165">
        <f t="shared" si="42"/>
        <v>0.61346998535871156</v>
      </c>
      <c r="R127" s="164">
        <f t="shared" si="60"/>
        <v>2.6315208196399328E-3</v>
      </c>
      <c r="S127" s="163">
        <v>9550</v>
      </c>
      <c r="T127" s="163">
        <v>4053</v>
      </c>
      <c r="U127" s="163">
        <v>7314</v>
      </c>
      <c r="V127" s="163">
        <v>11261</v>
      </c>
      <c r="W127" s="163">
        <v>13316</v>
      </c>
      <c r="X127" s="164">
        <f t="shared" si="61"/>
        <v>0.18248823372702239</v>
      </c>
      <c r="Y127" s="165">
        <f t="shared" si="43"/>
        <v>0.39434554973822</v>
      </c>
      <c r="Z127" s="164">
        <f t="shared" si="56"/>
        <v>3.936425172669347E-3</v>
      </c>
    </row>
    <row r="128" spans="1:26" x14ac:dyDescent="0.25">
      <c r="A128" s="161" t="s">
        <v>116</v>
      </c>
      <c r="B128" s="162" t="s">
        <v>116</v>
      </c>
      <c r="C128" s="163">
        <v>3044</v>
      </c>
      <c r="D128" s="163">
        <v>1315</v>
      </c>
      <c r="E128" s="163">
        <v>2102</v>
      </c>
      <c r="F128" s="163">
        <v>2821</v>
      </c>
      <c r="G128" s="163">
        <v>3000</v>
      </c>
      <c r="H128" s="164">
        <f t="shared" si="57"/>
        <v>6.3452676355902238E-2</v>
      </c>
      <c r="I128" s="165">
        <f t="shared" si="35"/>
        <v>-1.4454664914586024E-2</v>
      </c>
      <c r="J128" s="164">
        <f t="shared" si="58"/>
        <v>4.0628165611237207E-3</v>
      </c>
      <c r="K128" s="163">
        <v>3665</v>
      </c>
      <c r="L128" s="163">
        <v>1591</v>
      </c>
      <c r="M128" s="163">
        <v>5032</v>
      </c>
      <c r="N128" s="163">
        <v>5703</v>
      </c>
      <c r="O128" s="163">
        <v>5756</v>
      </c>
      <c r="P128" s="164">
        <f t="shared" si="59"/>
        <v>9.2933543748903169E-3</v>
      </c>
      <c r="Q128" s="165">
        <f t="shared" si="42"/>
        <v>0.57053206002728518</v>
      </c>
      <c r="R128" s="164">
        <f t="shared" si="60"/>
        <v>1.718129972532606E-3</v>
      </c>
      <c r="S128" s="163">
        <v>6709</v>
      </c>
      <c r="T128" s="163">
        <v>2906</v>
      </c>
      <c r="U128" s="163">
        <v>7134</v>
      </c>
      <c r="V128" s="163">
        <v>8524</v>
      </c>
      <c r="W128" s="163">
        <v>8756</v>
      </c>
      <c r="X128" s="164">
        <f t="shared" si="61"/>
        <v>2.7217268887846036E-2</v>
      </c>
      <c r="Y128" s="165">
        <f t="shared" si="43"/>
        <v>0.30511253540020866</v>
      </c>
      <c r="Z128" s="164">
        <f t="shared" si="56"/>
        <v>3.8395484251877391E-3</v>
      </c>
    </row>
    <row r="129" spans="1:26" x14ac:dyDescent="0.25">
      <c r="A129" s="161" t="s">
        <v>123</v>
      </c>
      <c r="B129" s="162" t="s">
        <v>123</v>
      </c>
      <c r="C129" s="163">
        <v>820</v>
      </c>
      <c r="D129" s="163">
        <v>369</v>
      </c>
      <c r="E129" s="163">
        <v>359</v>
      </c>
      <c r="F129" s="163">
        <v>801</v>
      </c>
      <c r="G129" s="163">
        <v>649</v>
      </c>
      <c r="H129" s="164">
        <f t="shared" si="57"/>
        <v>-0.18976279650436956</v>
      </c>
      <c r="I129" s="165">
        <f t="shared" si="35"/>
        <v>-0.20853658536585362</v>
      </c>
      <c r="J129" s="164">
        <f t="shared" si="58"/>
        <v>8.7892264938976492E-4</v>
      </c>
      <c r="K129" s="163">
        <v>1046</v>
      </c>
      <c r="L129" s="163">
        <v>415</v>
      </c>
      <c r="M129" s="163">
        <v>974</v>
      </c>
      <c r="N129" s="163">
        <v>1772</v>
      </c>
      <c r="O129" s="163">
        <v>1988</v>
      </c>
      <c r="P129" s="164">
        <f t="shared" si="59"/>
        <v>0.12189616252821667</v>
      </c>
      <c r="Q129" s="165">
        <f t="shared" si="42"/>
        <v>0.9005736137667304</v>
      </c>
      <c r="R129" s="164">
        <f t="shared" si="60"/>
        <v>5.9340555687887784E-4</v>
      </c>
      <c r="S129" s="163">
        <v>1866</v>
      </c>
      <c r="T129" s="163">
        <v>784</v>
      </c>
      <c r="U129" s="163">
        <v>1333</v>
      </c>
      <c r="V129" s="163">
        <v>2573</v>
      </c>
      <c r="W129" s="163">
        <v>2637</v>
      </c>
      <c r="X129" s="164">
        <f t="shared" si="61"/>
        <v>2.4873688301593422E-2</v>
      </c>
      <c r="Y129" s="165">
        <f t="shared" si="43"/>
        <v>0.41318327974276525</v>
      </c>
      <c r="Z129" s="164">
        <f t="shared" si="56"/>
        <v>7.1742613551657643E-4</v>
      </c>
    </row>
    <row r="130" spans="1:26" x14ac:dyDescent="0.25">
      <c r="A130" s="161" t="s">
        <v>119</v>
      </c>
      <c r="B130" s="162" t="s">
        <v>119</v>
      </c>
      <c r="C130" s="163">
        <v>664</v>
      </c>
      <c r="D130" s="163">
        <v>323</v>
      </c>
      <c r="E130" s="163">
        <v>312</v>
      </c>
      <c r="F130" s="163">
        <v>635</v>
      </c>
      <c r="G130" s="163">
        <v>526</v>
      </c>
      <c r="H130" s="164">
        <f t="shared" si="57"/>
        <v>-0.1716535433070866</v>
      </c>
      <c r="I130" s="165">
        <f t="shared" si="35"/>
        <v>-0.20783132530120485</v>
      </c>
      <c r="J130" s="164">
        <f t="shared" si="58"/>
        <v>7.123471703836924E-4</v>
      </c>
      <c r="K130" s="163">
        <v>820</v>
      </c>
      <c r="L130" s="163">
        <v>489</v>
      </c>
      <c r="M130" s="163">
        <v>1045</v>
      </c>
      <c r="N130" s="163">
        <v>1201</v>
      </c>
      <c r="O130" s="163">
        <v>1408</v>
      </c>
      <c r="P130" s="164">
        <f t="shared" si="59"/>
        <v>0.17235636969192347</v>
      </c>
      <c r="Q130" s="165">
        <f t="shared" si="42"/>
        <v>0.71707317073170729</v>
      </c>
      <c r="R130" s="164">
        <f t="shared" si="60"/>
        <v>4.2027918716572434E-4</v>
      </c>
      <c r="S130" s="163">
        <v>1484</v>
      </c>
      <c r="T130" s="163">
        <v>812</v>
      </c>
      <c r="U130" s="163">
        <v>1357</v>
      </c>
      <c r="V130" s="163">
        <v>1836</v>
      </c>
      <c r="W130" s="163">
        <v>1934</v>
      </c>
      <c r="X130" s="164">
        <f t="shared" si="61"/>
        <v>5.3376906318082895E-2</v>
      </c>
      <c r="Y130" s="165">
        <f t="shared" si="43"/>
        <v>0.30323450134770891</v>
      </c>
      <c r="Z130" s="164">
        <f t="shared" si="56"/>
        <v>7.3034303518079084E-4</v>
      </c>
    </row>
    <row r="131" spans="1:26" x14ac:dyDescent="0.25">
      <c r="A131" s="161" t="s">
        <v>128</v>
      </c>
      <c r="B131" s="162" t="s">
        <v>128</v>
      </c>
      <c r="C131" s="163">
        <v>425</v>
      </c>
      <c r="D131" s="163">
        <v>186</v>
      </c>
      <c r="E131" s="163">
        <v>123</v>
      </c>
      <c r="F131" s="163">
        <v>250</v>
      </c>
      <c r="G131" s="163">
        <v>203</v>
      </c>
      <c r="H131" s="164">
        <f t="shared" si="57"/>
        <v>-0.18799999999999994</v>
      </c>
      <c r="I131" s="165">
        <f t="shared" si="35"/>
        <v>-0.52235294117647058</v>
      </c>
      <c r="J131" s="164">
        <f t="shared" si="58"/>
        <v>2.749172539693718E-4</v>
      </c>
      <c r="K131" s="163">
        <v>1198</v>
      </c>
      <c r="L131" s="163">
        <v>492</v>
      </c>
      <c r="M131" s="163">
        <v>432</v>
      </c>
      <c r="N131" s="163">
        <v>825</v>
      </c>
      <c r="O131" s="163">
        <v>1138</v>
      </c>
      <c r="P131" s="164">
        <f t="shared" si="59"/>
        <v>0.37939393939393939</v>
      </c>
      <c r="Q131" s="165">
        <f t="shared" si="42"/>
        <v>-5.0083472454090172E-2</v>
      </c>
      <c r="R131" s="164">
        <f t="shared" si="60"/>
        <v>3.3968587712684251E-4</v>
      </c>
      <c r="S131" s="163">
        <v>1623</v>
      </c>
      <c r="T131" s="163">
        <v>678</v>
      </c>
      <c r="U131" s="163">
        <v>555</v>
      </c>
      <c r="V131" s="163">
        <v>1075</v>
      </c>
      <c r="W131" s="163">
        <v>1341</v>
      </c>
      <c r="X131" s="164">
        <f t="shared" si="61"/>
        <v>0.24744186046511629</v>
      </c>
      <c r="Y131" s="165">
        <f t="shared" si="43"/>
        <v>-0.17375231053604434</v>
      </c>
      <c r="Z131" s="164">
        <f t="shared" si="56"/>
        <v>2.9870330473495866E-4</v>
      </c>
    </row>
    <row r="132" spans="1:26" x14ac:dyDescent="0.25">
      <c r="A132" s="161" t="s">
        <v>131</v>
      </c>
      <c r="B132" s="162" t="s">
        <v>131</v>
      </c>
      <c r="C132" s="163">
        <v>495</v>
      </c>
      <c r="D132" s="163">
        <v>210</v>
      </c>
      <c r="E132" s="163">
        <v>177</v>
      </c>
      <c r="F132" s="163">
        <v>253</v>
      </c>
      <c r="G132" s="163">
        <v>358</v>
      </c>
      <c r="H132" s="164">
        <f t="shared" si="57"/>
        <v>0.41501976284584985</v>
      </c>
      <c r="I132" s="165">
        <f t="shared" si="35"/>
        <v>-0.27676767676767677</v>
      </c>
      <c r="J132" s="164">
        <f t="shared" si="58"/>
        <v>4.8482944296076403E-4</v>
      </c>
      <c r="K132" s="163">
        <v>2186</v>
      </c>
      <c r="L132" s="163">
        <v>887</v>
      </c>
      <c r="M132" s="163">
        <v>742</v>
      </c>
      <c r="N132" s="163">
        <v>1632</v>
      </c>
      <c r="O132" s="163">
        <v>2097</v>
      </c>
      <c r="P132" s="164">
        <f t="shared" si="59"/>
        <v>0.28492647058823528</v>
      </c>
      <c r="Q132" s="165">
        <f t="shared" si="42"/>
        <v>-4.0713632204940509E-2</v>
      </c>
      <c r="R132" s="164">
        <f t="shared" si="60"/>
        <v>6.2594137463531526E-4</v>
      </c>
      <c r="S132" s="163">
        <v>2681</v>
      </c>
      <c r="T132" s="163">
        <v>1097</v>
      </c>
      <c r="U132" s="163">
        <v>919</v>
      </c>
      <c r="V132" s="163">
        <v>1885</v>
      </c>
      <c r="W132" s="163">
        <v>2455</v>
      </c>
      <c r="X132" s="164">
        <f t="shared" si="61"/>
        <v>0.3023872679045092</v>
      </c>
      <c r="Y132" s="165">
        <f t="shared" si="43"/>
        <v>-8.4296904140246154E-2</v>
      </c>
      <c r="Z132" s="164">
        <f t="shared" si="56"/>
        <v>4.9460961630887754E-4</v>
      </c>
    </row>
    <row r="133" spans="1:26" x14ac:dyDescent="0.25">
      <c r="A133" s="167" t="s">
        <v>145</v>
      </c>
      <c r="B133" s="168" t="s">
        <v>145</v>
      </c>
      <c r="C133" s="169">
        <f>C125-SUM(C126:C132)</f>
        <v>46867</v>
      </c>
      <c r="D133" s="169">
        <f>D125-SUM(D126:D132)</f>
        <v>19407</v>
      </c>
      <c r="E133" s="169">
        <f>E125-SUM(E126:E132)</f>
        <v>22363</v>
      </c>
      <c r="F133" s="169">
        <f>F125-SUM(F126:F132)</f>
        <v>30462</v>
      </c>
      <c r="G133" s="169">
        <f>G125-SUM(G126:G132)</f>
        <v>20457</v>
      </c>
      <c r="H133" s="170">
        <f t="shared" si="57"/>
        <v>-0.32844199330313173</v>
      </c>
      <c r="I133" s="171">
        <f t="shared" si="35"/>
        <v>-0.56350950562229285</v>
      </c>
      <c r="J133" s="170">
        <f t="shared" si="58"/>
        <v>2.7704346130302652E-2</v>
      </c>
      <c r="K133" s="169">
        <f>K125-SUM(K126:K132)</f>
        <v>19033</v>
      </c>
      <c r="L133" s="169">
        <f>L125-SUM(L126:L132)</f>
        <v>8267</v>
      </c>
      <c r="M133" s="169">
        <f>M125-SUM(M126:M132)</f>
        <v>15390</v>
      </c>
      <c r="N133" s="169">
        <f>N125-SUM(N126:N132)</f>
        <v>26712</v>
      </c>
      <c r="O133" s="169">
        <f>O125-SUM(O126:O132)</f>
        <v>30137</v>
      </c>
      <c r="P133" s="170">
        <f t="shared" si="59"/>
        <v>0.12821952680443238</v>
      </c>
      <c r="Q133" s="171">
        <f t="shared" si="42"/>
        <v>0.58340776545999051</v>
      </c>
      <c r="R133" s="170">
        <f t="shared" si="60"/>
        <v>8.9957058690436319E-3</v>
      </c>
      <c r="S133" s="169">
        <f>S125-SUM(S126:S132)</f>
        <v>65900</v>
      </c>
      <c r="T133" s="169">
        <f>T125-SUM(T126:T132)</f>
        <v>27674</v>
      </c>
      <c r="U133" s="169">
        <f>U125-SUM(U126:U132)</f>
        <v>37753</v>
      </c>
      <c r="V133" s="169">
        <f>V125-SUM(V126:V132)</f>
        <v>57174</v>
      </c>
      <c r="W133" s="169">
        <f>W125-SUM(W126:W132)</f>
        <v>50594</v>
      </c>
      <c r="X133" s="170">
        <f t="shared" si="61"/>
        <v>-0.11508727743379854</v>
      </c>
      <c r="Y133" s="171">
        <f t="shared" si="43"/>
        <v>-0.23226100151745066</v>
      </c>
      <c r="Z133" s="170">
        <f t="shared" si="56"/>
        <v>2.0318821375961974E-2</v>
      </c>
    </row>
    <row r="134" spans="1:26" x14ac:dyDescent="0.25">
      <c r="A134" s="1"/>
      <c r="B134" s="153" t="s">
        <v>52</v>
      </c>
      <c r="C134" s="151"/>
      <c r="D134" s="151"/>
      <c r="E134" s="151"/>
      <c r="F134" s="151"/>
      <c r="G134" s="151"/>
      <c r="H134" s="151"/>
      <c r="I134" s="151"/>
      <c r="J134" s="151"/>
      <c r="K134" s="151"/>
      <c r="L134" s="151"/>
      <c r="M134" s="151"/>
      <c r="N134" s="151"/>
      <c r="O134" s="151"/>
      <c r="P134" s="151"/>
      <c r="Q134" s="151"/>
      <c r="R134" s="151"/>
      <c r="S134" s="151"/>
      <c r="T134" s="151"/>
      <c r="U134" s="151"/>
      <c r="V134" s="151"/>
      <c r="W134" s="151"/>
      <c r="X134" s="151"/>
      <c r="Y134" s="151"/>
      <c r="Z134" s="151"/>
    </row>
    <row r="135" spans="1:26" x14ac:dyDescent="0.25">
      <c r="A135" s="1" t="s">
        <v>0</v>
      </c>
      <c r="B135" s="154" t="s">
        <v>68</v>
      </c>
      <c r="C135" s="176">
        <f>C136+C139</f>
        <v>29854</v>
      </c>
      <c r="D135" s="176">
        <f>D136+D139</f>
        <v>0</v>
      </c>
      <c r="E135" s="176">
        <f>E136+E139</f>
        <v>29237</v>
      </c>
      <c r="F135" s="176">
        <f>F136+F139</f>
        <v>47385</v>
      </c>
      <c r="G135" s="176">
        <f>G136+G139</f>
        <v>49008</v>
      </c>
      <c r="H135" s="177">
        <f>IFERROR(G135/F135-1,"-")</f>
        <v>3.4251345362456442E-2</v>
      </c>
      <c r="I135" s="177">
        <f t="shared" si="35"/>
        <v>0.64158906679171968</v>
      </c>
      <c r="J135" s="177">
        <f>G135/G$9</f>
        <v>6.6370171342517104E-2</v>
      </c>
      <c r="K135" s="176">
        <f>K136+K139</f>
        <v>149743</v>
      </c>
      <c r="L135" s="176">
        <f>L136+L139</f>
        <v>0</v>
      </c>
      <c r="M135" s="176">
        <f>M136+M139</f>
        <v>87353</v>
      </c>
      <c r="N135" s="176">
        <f>N136+N139</f>
        <v>163913</v>
      </c>
      <c r="O135" s="176">
        <f>O136+O139</f>
        <v>180038</v>
      </c>
      <c r="P135" s="177">
        <f>IFERROR(O135/N135-1,"-")</f>
        <v>9.8375357659246099E-2</v>
      </c>
      <c r="Q135" s="177">
        <f t="shared" si="42"/>
        <v>0.20231329678181953</v>
      </c>
      <c r="R135" s="177">
        <f>O135/O$9</f>
        <v>5.3740216121408148E-2</v>
      </c>
      <c r="S135" s="176">
        <f>S136+S139</f>
        <v>179597</v>
      </c>
      <c r="T135" s="176">
        <f>T136+T139</f>
        <v>77095</v>
      </c>
      <c r="U135" s="176">
        <f>U136+U139</f>
        <v>116590</v>
      </c>
      <c r="V135" s="176">
        <f>V136+V139</f>
        <v>211298</v>
      </c>
      <c r="W135" s="176">
        <f>W136+W139</f>
        <v>229046</v>
      </c>
      <c r="X135" s="177">
        <f>IFERROR(W135/V135-1,"-")</f>
        <v>8.3995115902658846E-2</v>
      </c>
      <c r="Y135" s="177">
        <f t="shared" si="43"/>
        <v>0.27533310690044943</v>
      </c>
      <c r="Z135" s="177">
        <f t="shared" ref="Z135:Z147" si="62">U135/U$9</f>
        <v>6.2749222160448342E-2</v>
      </c>
    </row>
    <row r="136" spans="1:26" x14ac:dyDescent="0.25">
      <c r="A136" s="1" t="s">
        <v>96</v>
      </c>
      <c r="B136" s="157" t="s">
        <v>97</v>
      </c>
      <c r="C136" s="158">
        <v>8311</v>
      </c>
      <c r="D136" s="158">
        <v>0</v>
      </c>
      <c r="E136" s="158">
        <v>9339</v>
      </c>
      <c r="F136" s="158">
        <v>5486</v>
      </c>
      <c r="G136" s="158">
        <v>7999</v>
      </c>
      <c r="H136" s="159">
        <f>IFERROR(G136/F136-1,"-")</f>
        <v>0.45807510025519504</v>
      </c>
      <c r="I136" s="160">
        <f t="shared" si="35"/>
        <v>-3.7540608831668876E-2</v>
      </c>
      <c r="J136" s="159">
        <f>G136/G$9</f>
        <v>1.0832823224142881E-2</v>
      </c>
      <c r="K136" s="158">
        <v>26862</v>
      </c>
      <c r="L136" s="158">
        <v>0</v>
      </c>
      <c r="M136" s="158">
        <v>28431</v>
      </c>
      <c r="N136" s="158">
        <v>15843</v>
      </c>
      <c r="O136" s="158">
        <v>15164</v>
      </c>
      <c r="P136" s="159">
        <f>IFERROR(O136/N136-1,"-")</f>
        <v>-4.2858044562267272E-2</v>
      </c>
      <c r="Q136" s="160">
        <f t="shared" si="42"/>
        <v>-0.43548507184870822</v>
      </c>
      <c r="R136" s="159">
        <f>O136/O$9</f>
        <v>4.526359086776309E-3</v>
      </c>
      <c r="S136" s="158">
        <v>35173</v>
      </c>
      <c r="T136" s="158">
        <v>22432</v>
      </c>
      <c r="U136" s="158">
        <v>37770</v>
      </c>
      <c r="V136" s="158">
        <v>21329</v>
      </c>
      <c r="W136" s="158">
        <v>23163</v>
      </c>
      <c r="X136" s="159">
        <f>IFERROR(W136/V136-1,"-")</f>
        <v>8.5986215950114797E-2</v>
      </c>
      <c r="Y136" s="160">
        <f t="shared" si="43"/>
        <v>-0.34145509339550228</v>
      </c>
      <c r="Z136" s="159">
        <f t="shared" si="62"/>
        <v>2.0327970846557457E-2</v>
      </c>
    </row>
    <row r="137" spans="1:26" x14ac:dyDescent="0.25">
      <c r="A137" s="161" t="s">
        <v>103</v>
      </c>
      <c r="B137" s="162" t="s">
        <v>103</v>
      </c>
      <c r="C137" s="163">
        <v>8311</v>
      </c>
      <c r="D137" s="163">
        <v>0</v>
      </c>
      <c r="E137" s="163">
        <v>9339</v>
      </c>
      <c r="F137" s="163">
        <v>5415</v>
      </c>
      <c r="G137" s="163">
        <v>7999</v>
      </c>
      <c r="H137" s="164">
        <f>IFERROR(G137/F137-1,"-")</f>
        <v>0.47719298245614028</v>
      </c>
      <c r="I137" s="165">
        <f t="shared" si="35"/>
        <v>-3.7540608831668876E-2</v>
      </c>
      <c r="J137" s="164">
        <f>G137/G$9</f>
        <v>1.0832823224142881E-2</v>
      </c>
      <c r="K137" s="163">
        <v>8866</v>
      </c>
      <c r="L137" s="163">
        <v>0</v>
      </c>
      <c r="M137" s="163">
        <v>20185</v>
      </c>
      <c r="N137" s="163">
        <v>9264</v>
      </c>
      <c r="O137" s="163">
        <v>6639</v>
      </c>
      <c r="P137" s="164">
        <f>IFERROR(O137/N137-1,"-")</f>
        <v>-0.28335492227979275</v>
      </c>
      <c r="Q137" s="165">
        <f t="shared" si="42"/>
        <v>-0.25118429957139632</v>
      </c>
      <c r="R137" s="164">
        <f>O137/O$9</f>
        <v>1.981699945733838E-3</v>
      </c>
      <c r="S137" s="163">
        <v>17177</v>
      </c>
      <c r="T137" s="163">
        <v>16366</v>
      </c>
      <c r="U137" s="163">
        <v>29524</v>
      </c>
      <c r="V137" s="163">
        <v>14679</v>
      </c>
      <c r="W137" s="163">
        <v>14638</v>
      </c>
      <c r="X137" s="164">
        <f>IFERROR(W137/V137-1,"-")</f>
        <v>-2.7931057973976658E-3</v>
      </c>
      <c r="Y137" s="165">
        <f t="shared" si="43"/>
        <v>-0.14781393724166036</v>
      </c>
      <c r="Z137" s="164">
        <f t="shared" si="62"/>
        <v>1.5889939403594452E-2</v>
      </c>
    </row>
    <row r="138" spans="1:26" x14ac:dyDescent="0.25">
      <c r="A138" s="161" t="s">
        <v>100</v>
      </c>
      <c r="B138" s="162" t="s">
        <v>100</v>
      </c>
      <c r="C138" s="163">
        <v>0</v>
      </c>
      <c r="D138" s="163">
        <v>0</v>
      </c>
      <c r="E138" s="163">
        <v>0</v>
      </c>
      <c r="F138" s="163">
        <v>71</v>
      </c>
      <c r="G138" s="163">
        <v>0</v>
      </c>
      <c r="H138" s="164">
        <f>IFERROR(G138/F138-1,"-")</f>
        <v>-1</v>
      </c>
      <c r="I138" s="165" t="str">
        <f t="shared" ref="I138:I161" si="63">IFERROR(G138/C138-1,"-")</f>
        <v>-</v>
      </c>
      <c r="J138" s="164">
        <f>G138/G$9</f>
        <v>0</v>
      </c>
      <c r="K138" s="163">
        <v>17996</v>
      </c>
      <c r="L138" s="163">
        <v>0</v>
      </c>
      <c r="M138" s="163">
        <v>8246</v>
      </c>
      <c r="N138" s="163">
        <v>6579</v>
      </c>
      <c r="O138" s="163">
        <v>8525</v>
      </c>
      <c r="P138" s="164">
        <f>IFERROR(O138/N138-1,"-")</f>
        <v>0.29578963368293043</v>
      </c>
      <c r="Q138" s="165">
        <f t="shared" si="42"/>
        <v>-0.52628361858190709</v>
      </c>
      <c r="R138" s="164">
        <f>O138/O$9</f>
        <v>2.5446591410424714E-3</v>
      </c>
      <c r="S138" s="163">
        <v>17996</v>
      </c>
      <c r="T138" s="163">
        <v>6066</v>
      </c>
      <c r="U138" s="163">
        <v>8246</v>
      </c>
      <c r="V138" s="163">
        <v>6650</v>
      </c>
      <c r="W138" s="163">
        <v>8525</v>
      </c>
      <c r="X138" s="164">
        <f>IFERROR(W138/V138-1,"-")</f>
        <v>0.28195488721804507</v>
      </c>
      <c r="Y138" s="165">
        <f t="shared" si="43"/>
        <v>-0.52628361858190709</v>
      </c>
      <c r="Z138" s="164">
        <f t="shared" si="62"/>
        <v>4.4380314429630077E-3</v>
      </c>
    </row>
    <row r="139" spans="1:26" x14ac:dyDescent="0.25">
      <c r="A139" s="1" t="s">
        <v>146</v>
      </c>
      <c r="B139" s="157" t="s">
        <v>107</v>
      </c>
      <c r="C139" s="158">
        <v>21543</v>
      </c>
      <c r="D139" s="158">
        <v>0</v>
      </c>
      <c r="E139" s="158">
        <v>19898</v>
      </c>
      <c r="F139" s="158">
        <v>41899</v>
      </c>
      <c r="G139" s="158">
        <v>41009</v>
      </c>
      <c r="H139" s="159">
        <f>IFERROR(G139/F139-1,"-")</f>
        <v>-2.1241557077734563E-2</v>
      </c>
      <c r="I139" s="160">
        <f t="shared" si="63"/>
        <v>0.90358817249222478</v>
      </c>
      <c r="J139" s="159">
        <f>G139/G$9</f>
        <v>5.553734811837422E-2</v>
      </c>
      <c r="K139" s="158">
        <v>122881</v>
      </c>
      <c r="L139" s="158">
        <v>0</v>
      </c>
      <c r="M139" s="158">
        <v>58922</v>
      </c>
      <c r="N139" s="158">
        <v>148070</v>
      </c>
      <c r="O139" s="158">
        <v>164874</v>
      </c>
      <c r="P139" s="159">
        <f>IFERROR(O139/N139-1,"-")</f>
        <v>0.11348686432092925</v>
      </c>
      <c r="Q139" s="160">
        <f t="shared" si="42"/>
        <v>0.34173712779030119</v>
      </c>
      <c r="R139" s="159">
        <f>O139/O$9</f>
        <v>4.9213857034631839E-2</v>
      </c>
      <c r="S139" s="158">
        <v>144424</v>
      </c>
      <c r="T139" s="158">
        <v>54663</v>
      </c>
      <c r="U139" s="158">
        <v>78820</v>
      </c>
      <c r="V139" s="158">
        <v>189969</v>
      </c>
      <c r="W139" s="158">
        <v>205883</v>
      </c>
      <c r="X139" s="159">
        <f>IFERROR(W139/V139-1,"-")</f>
        <v>8.3771562728655713E-2</v>
      </c>
      <c r="Y139" s="160">
        <f t="shared" si="43"/>
        <v>0.42554561568714333</v>
      </c>
      <c r="Z139" s="159">
        <f t="shared" si="62"/>
        <v>4.2421251313890886E-2</v>
      </c>
    </row>
    <row r="140" spans="1:26" x14ac:dyDescent="0.25">
      <c r="A140" s="161" t="s">
        <v>110</v>
      </c>
      <c r="B140" s="162" t="s">
        <v>110</v>
      </c>
      <c r="C140" s="163">
        <v>12618</v>
      </c>
      <c r="D140" s="163">
        <v>0</v>
      </c>
      <c r="E140" s="163">
        <v>8616</v>
      </c>
      <c r="F140" s="163">
        <v>22074</v>
      </c>
      <c r="G140" s="163">
        <v>20929</v>
      </c>
      <c r="H140" s="164">
        <f t="shared" ref="H140:H147" si="64">IFERROR(G140/F140-1,"-")</f>
        <v>-5.1870979432816933E-2</v>
      </c>
      <c r="I140" s="165">
        <f t="shared" si="63"/>
        <v>0.65866222856237111</v>
      </c>
      <c r="J140" s="164">
        <f t="shared" ref="J140:J147" si="65">G140/G$9</f>
        <v>2.8343562602586119E-2</v>
      </c>
      <c r="K140" s="163">
        <v>57689</v>
      </c>
      <c r="L140" s="163">
        <v>0</v>
      </c>
      <c r="M140" s="163">
        <v>13586</v>
      </c>
      <c r="N140" s="163">
        <v>60071</v>
      </c>
      <c r="O140" s="163">
        <v>68669</v>
      </c>
      <c r="P140" s="164">
        <f t="shared" ref="P140:P147" si="66">IFERROR(O140/N140-1,"-")</f>
        <v>0.14313062875597216</v>
      </c>
      <c r="Q140" s="165">
        <f t="shared" si="42"/>
        <v>0.19033091230563892</v>
      </c>
      <c r="R140" s="164">
        <f t="shared" ref="R140:R147" si="67">O140/O$9</f>
        <v>2.0497266692814719E-2</v>
      </c>
      <c r="S140" s="163">
        <v>70307</v>
      </c>
      <c r="T140" s="163">
        <v>18862</v>
      </c>
      <c r="U140" s="163">
        <v>22202</v>
      </c>
      <c r="V140" s="163">
        <v>82145</v>
      </c>
      <c r="W140" s="163">
        <v>89598</v>
      </c>
      <c r="X140" s="164">
        <f t="shared" ref="X140:X147" si="68">IFERROR(W140/V140-1,"-")</f>
        <v>9.0729807048511857E-2</v>
      </c>
      <c r="Y140" s="165">
        <f t="shared" si="43"/>
        <v>0.27438235168617631</v>
      </c>
      <c r="Z140" s="164">
        <f t="shared" si="62"/>
        <v>1.1949208597703698E-2</v>
      </c>
    </row>
    <row r="141" spans="1:26" x14ac:dyDescent="0.25">
      <c r="A141" s="161" t="s">
        <v>113</v>
      </c>
      <c r="B141" s="162" t="s">
        <v>113</v>
      </c>
      <c r="C141" s="163">
        <v>2167</v>
      </c>
      <c r="D141" s="163">
        <v>0</v>
      </c>
      <c r="E141" s="163">
        <v>1411</v>
      </c>
      <c r="F141" s="163">
        <v>1553</v>
      </c>
      <c r="G141" s="163">
        <v>1880</v>
      </c>
      <c r="H141" s="164">
        <f t="shared" si="64"/>
        <v>0.21056020605280112</v>
      </c>
      <c r="I141" s="165">
        <f t="shared" si="63"/>
        <v>-0.13244116289801566</v>
      </c>
      <c r="J141" s="164">
        <f t="shared" si="65"/>
        <v>2.5460317116375317E-3</v>
      </c>
      <c r="K141" s="163">
        <v>10331</v>
      </c>
      <c r="L141" s="163">
        <v>0</v>
      </c>
      <c r="M141" s="163">
        <v>6291</v>
      </c>
      <c r="N141" s="163">
        <v>11965</v>
      </c>
      <c r="O141" s="163">
        <v>16181</v>
      </c>
      <c r="P141" s="164">
        <f t="shared" si="66"/>
        <v>0.35236105307145849</v>
      </c>
      <c r="Q141" s="165">
        <f t="shared" si="42"/>
        <v>0.5662568967186139</v>
      </c>
      <c r="R141" s="164">
        <f t="shared" si="67"/>
        <v>4.8299272212560971E-3</v>
      </c>
      <c r="S141" s="163">
        <v>12498</v>
      </c>
      <c r="T141" s="163">
        <v>5188</v>
      </c>
      <c r="U141" s="163">
        <v>7702</v>
      </c>
      <c r="V141" s="163">
        <v>13518</v>
      </c>
      <c r="W141" s="163">
        <v>18061</v>
      </c>
      <c r="X141" s="164">
        <f t="shared" si="68"/>
        <v>0.33607042461902648</v>
      </c>
      <c r="Y141" s="165">
        <f t="shared" si="43"/>
        <v>0.44511121779484708</v>
      </c>
      <c r="Z141" s="164">
        <f t="shared" si="62"/>
        <v>4.1452483839074803E-3</v>
      </c>
    </row>
    <row r="142" spans="1:26" x14ac:dyDescent="0.25">
      <c r="A142" s="161" t="s">
        <v>116</v>
      </c>
      <c r="B142" s="162" t="s">
        <v>116</v>
      </c>
      <c r="C142" s="163">
        <v>822</v>
      </c>
      <c r="D142" s="163">
        <v>0</v>
      </c>
      <c r="E142" s="163">
        <v>2188</v>
      </c>
      <c r="F142" s="163">
        <v>5813</v>
      </c>
      <c r="G142" s="163">
        <v>5043</v>
      </c>
      <c r="H142" s="164">
        <f t="shared" si="64"/>
        <v>-0.13246172372269049</v>
      </c>
      <c r="I142" s="165">
        <f t="shared" si="63"/>
        <v>5.1350364963503647</v>
      </c>
      <c r="J142" s="164">
        <f t="shared" si="65"/>
        <v>6.8295946392489745E-3</v>
      </c>
      <c r="K142" s="163">
        <v>15318</v>
      </c>
      <c r="L142" s="163">
        <v>0</v>
      </c>
      <c r="M142" s="163">
        <v>10850</v>
      </c>
      <c r="N142" s="163">
        <v>17158</v>
      </c>
      <c r="O142" s="163">
        <v>15976</v>
      </c>
      <c r="P142" s="164">
        <f t="shared" si="66"/>
        <v>-6.8889147919337868E-2</v>
      </c>
      <c r="Q142" s="165">
        <f t="shared" si="42"/>
        <v>4.2955999477738649E-2</v>
      </c>
      <c r="R142" s="164">
        <f t="shared" si="67"/>
        <v>4.7687360043747245E-3</v>
      </c>
      <c r="S142" s="163">
        <v>16140</v>
      </c>
      <c r="T142" s="163">
        <v>5864</v>
      </c>
      <c r="U142" s="163">
        <v>13038</v>
      </c>
      <c r="V142" s="163">
        <v>22971</v>
      </c>
      <c r="W142" s="163">
        <v>21019</v>
      </c>
      <c r="X142" s="164">
        <f t="shared" si="68"/>
        <v>-8.4976709764485681E-2</v>
      </c>
      <c r="Y142" s="165">
        <f t="shared" si="43"/>
        <v>0.30229244114002474</v>
      </c>
      <c r="Z142" s="164">
        <f t="shared" si="62"/>
        <v>7.0171057425844887E-3</v>
      </c>
    </row>
    <row r="143" spans="1:26" x14ac:dyDescent="0.25">
      <c r="A143" s="161" t="s">
        <v>123</v>
      </c>
      <c r="B143" s="162" t="s">
        <v>123</v>
      </c>
      <c r="C143" s="163">
        <v>514</v>
      </c>
      <c r="D143" s="163">
        <v>0</v>
      </c>
      <c r="E143" s="163">
        <v>2549</v>
      </c>
      <c r="F143" s="163">
        <v>4370</v>
      </c>
      <c r="G143" s="163">
        <v>3569</v>
      </c>
      <c r="H143" s="164">
        <f t="shared" si="64"/>
        <v>-0.18329519450800913</v>
      </c>
      <c r="I143" s="165">
        <f t="shared" si="63"/>
        <v>5.9435797665369652</v>
      </c>
      <c r="J143" s="164">
        <f t="shared" si="65"/>
        <v>4.8333974355501868E-3</v>
      </c>
      <c r="K143" s="163">
        <v>1966</v>
      </c>
      <c r="L143" s="163">
        <v>0</v>
      </c>
      <c r="M143" s="163">
        <v>1210</v>
      </c>
      <c r="N143" s="163">
        <v>3896</v>
      </c>
      <c r="O143" s="163">
        <v>3738</v>
      </c>
      <c r="P143" s="164">
        <f t="shared" si="66"/>
        <v>-4.0554414784394255E-2</v>
      </c>
      <c r="Q143" s="165">
        <f t="shared" si="42"/>
        <v>0.90132248219735511</v>
      </c>
      <c r="R143" s="164">
        <f t="shared" si="67"/>
        <v>1.1157696034271858E-3</v>
      </c>
      <c r="S143" s="163">
        <v>2480</v>
      </c>
      <c r="T143" s="163">
        <v>782</v>
      </c>
      <c r="U143" s="163">
        <v>3759</v>
      </c>
      <c r="V143" s="163">
        <v>8266</v>
      </c>
      <c r="W143" s="163">
        <v>7307</v>
      </c>
      <c r="X143" s="164">
        <f t="shared" si="68"/>
        <v>-0.11601742075973864</v>
      </c>
      <c r="Y143" s="165">
        <f t="shared" si="43"/>
        <v>1.9463709677419354</v>
      </c>
      <c r="Z143" s="164">
        <f t="shared" si="62"/>
        <v>2.0231094099075848E-3</v>
      </c>
    </row>
    <row r="144" spans="1:26" x14ac:dyDescent="0.25">
      <c r="A144" s="161" t="s">
        <v>119</v>
      </c>
      <c r="B144" s="162" t="s">
        <v>119</v>
      </c>
      <c r="C144" s="163">
        <v>228</v>
      </c>
      <c r="D144" s="163">
        <v>0</v>
      </c>
      <c r="E144" s="163">
        <v>902</v>
      </c>
      <c r="F144" s="163">
        <v>435</v>
      </c>
      <c r="G144" s="163">
        <v>1205</v>
      </c>
      <c r="H144" s="164">
        <f t="shared" si="64"/>
        <v>1.7701149425287355</v>
      </c>
      <c r="I144" s="165">
        <f t="shared" si="63"/>
        <v>4.2850877192982457</v>
      </c>
      <c r="J144" s="164">
        <f t="shared" si="65"/>
        <v>1.6318979853846946E-3</v>
      </c>
      <c r="K144" s="163">
        <v>3291</v>
      </c>
      <c r="L144" s="163">
        <v>0</v>
      </c>
      <c r="M144" s="163">
        <v>1918</v>
      </c>
      <c r="N144" s="163">
        <v>3253</v>
      </c>
      <c r="O144" s="163">
        <v>3495</v>
      </c>
      <c r="P144" s="164">
        <f t="shared" si="66"/>
        <v>7.4392868121733846E-2</v>
      </c>
      <c r="Q144" s="165">
        <f t="shared" si="42"/>
        <v>6.1987237921604432E-2</v>
      </c>
      <c r="R144" s="164">
        <f t="shared" si="67"/>
        <v>1.043235624392192E-3</v>
      </c>
      <c r="S144" s="163">
        <v>3519</v>
      </c>
      <c r="T144" s="163">
        <v>1676</v>
      </c>
      <c r="U144" s="163">
        <v>2820</v>
      </c>
      <c r="V144" s="163">
        <v>3688</v>
      </c>
      <c r="W144" s="163">
        <v>4700</v>
      </c>
      <c r="X144" s="164">
        <f t="shared" si="68"/>
        <v>0.27440347071583515</v>
      </c>
      <c r="Y144" s="165">
        <f t="shared" si="43"/>
        <v>0.33560670645069623</v>
      </c>
      <c r="Z144" s="164">
        <f t="shared" si="62"/>
        <v>1.5177357105451955E-3</v>
      </c>
    </row>
    <row r="145" spans="1:26" x14ac:dyDescent="0.25">
      <c r="A145" s="161" t="s">
        <v>128</v>
      </c>
      <c r="B145" s="162" t="s">
        <v>128</v>
      </c>
      <c r="C145" s="163">
        <v>356</v>
      </c>
      <c r="D145" s="163">
        <v>0</v>
      </c>
      <c r="E145" s="163">
        <v>93</v>
      </c>
      <c r="F145" s="163">
        <v>79</v>
      </c>
      <c r="G145" s="163">
        <v>139</v>
      </c>
      <c r="H145" s="164">
        <f t="shared" si="64"/>
        <v>0.759493670886076</v>
      </c>
      <c r="I145" s="165">
        <f t="shared" si="63"/>
        <v>-0.6095505617977528</v>
      </c>
      <c r="J145" s="164">
        <f t="shared" si="65"/>
        <v>1.882438339987324E-4</v>
      </c>
      <c r="K145" s="163">
        <v>1180</v>
      </c>
      <c r="L145" s="163">
        <v>0</v>
      </c>
      <c r="M145" s="163">
        <v>1104</v>
      </c>
      <c r="N145" s="163">
        <v>2826</v>
      </c>
      <c r="O145" s="163">
        <v>3106</v>
      </c>
      <c r="P145" s="164">
        <f t="shared" si="66"/>
        <v>9.9079971691436564E-2</v>
      </c>
      <c r="Q145" s="165">
        <f t="shared" si="42"/>
        <v>1.6322033898305084</v>
      </c>
      <c r="R145" s="164">
        <f t="shared" si="67"/>
        <v>9.2712155918802535E-4</v>
      </c>
      <c r="S145" s="163">
        <v>1536</v>
      </c>
      <c r="T145" s="163">
        <v>1597</v>
      </c>
      <c r="U145" s="163">
        <v>1197</v>
      </c>
      <c r="V145" s="163">
        <v>2905</v>
      </c>
      <c r="W145" s="163">
        <v>3245</v>
      </c>
      <c r="X145" s="164">
        <f t="shared" si="68"/>
        <v>0.11703958691910499</v>
      </c>
      <c r="Y145" s="165">
        <f t="shared" si="43"/>
        <v>1.1126302083333335</v>
      </c>
      <c r="Z145" s="164">
        <f t="shared" si="62"/>
        <v>6.4423037075269469E-4</v>
      </c>
    </row>
    <row r="146" spans="1:26" x14ac:dyDescent="0.25">
      <c r="A146" s="161" t="s">
        <v>131</v>
      </c>
      <c r="B146" s="162" t="s">
        <v>131</v>
      </c>
      <c r="C146" s="163">
        <v>532</v>
      </c>
      <c r="D146" s="163">
        <v>0</v>
      </c>
      <c r="E146" s="163">
        <v>75</v>
      </c>
      <c r="F146" s="163">
        <v>49</v>
      </c>
      <c r="G146" s="163">
        <v>93</v>
      </c>
      <c r="H146" s="164">
        <f t="shared" si="64"/>
        <v>0.8979591836734695</v>
      </c>
      <c r="I146" s="165">
        <f t="shared" si="63"/>
        <v>-0.82518796992481203</v>
      </c>
      <c r="J146" s="164">
        <f t="shared" si="65"/>
        <v>1.2594731339483534E-4</v>
      </c>
      <c r="K146" s="163">
        <v>3806</v>
      </c>
      <c r="L146" s="163">
        <v>0</v>
      </c>
      <c r="M146" s="163">
        <v>715</v>
      </c>
      <c r="N146" s="163">
        <v>1637</v>
      </c>
      <c r="O146" s="163">
        <v>2212</v>
      </c>
      <c r="P146" s="164">
        <f t="shared" si="66"/>
        <v>0.35125229077580933</v>
      </c>
      <c r="Q146" s="165">
        <f t="shared" si="42"/>
        <v>-0.41881240147136101</v>
      </c>
      <c r="R146" s="164">
        <f t="shared" si="67"/>
        <v>6.6026815483706124E-4</v>
      </c>
      <c r="S146" s="163">
        <v>4338</v>
      </c>
      <c r="T146" s="163">
        <v>3384</v>
      </c>
      <c r="U146" s="163">
        <v>790</v>
      </c>
      <c r="V146" s="163">
        <v>1686</v>
      </c>
      <c r="W146" s="163">
        <v>2305</v>
      </c>
      <c r="X146" s="164">
        <f t="shared" si="68"/>
        <v>0.36714116251482798</v>
      </c>
      <c r="Y146" s="165">
        <f t="shared" si="43"/>
        <v>-0.46864914707238359</v>
      </c>
      <c r="Z146" s="164">
        <f t="shared" si="62"/>
        <v>4.2518128061372497E-4</v>
      </c>
    </row>
    <row r="147" spans="1:26" x14ac:dyDescent="0.25">
      <c r="A147" s="167" t="s">
        <v>145</v>
      </c>
      <c r="B147" s="168" t="s">
        <v>145</v>
      </c>
      <c r="C147" s="169">
        <f>C139-SUM(C140:C146)</f>
        <v>4306</v>
      </c>
      <c r="D147" s="169">
        <f>D139-SUM(D140:D146)</f>
        <v>0</v>
      </c>
      <c r="E147" s="169">
        <f>E139-SUM(E140:E146)</f>
        <v>4064</v>
      </c>
      <c r="F147" s="169">
        <f>F139-SUM(F140:F146)</f>
        <v>7526</v>
      </c>
      <c r="G147" s="169">
        <f>G139-SUM(G140:G146)</f>
        <v>8151</v>
      </c>
      <c r="H147" s="170">
        <f t="shared" si="64"/>
        <v>8.3045442466117558E-2</v>
      </c>
      <c r="I147" s="171">
        <f t="shared" si="63"/>
        <v>0.89294008360427313</v>
      </c>
      <c r="J147" s="170">
        <f t="shared" si="65"/>
        <v>1.103867259657315E-2</v>
      </c>
      <c r="K147" s="169">
        <f>K139-SUM(K140:K146)</f>
        <v>29300</v>
      </c>
      <c r="L147" s="169">
        <f>L139-SUM(L140:L146)</f>
        <v>0</v>
      </c>
      <c r="M147" s="169">
        <f>M139-SUM(M140:M146)</f>
        <v>23248</v>
      </c>
      <c r="N147" s="169">
        <f>N139-SUM(N140:N146)</f>
        <v>47264</v>
      </c>
      <c r="O147" s="169">
        <f>O139-SUM(O140:O146)</f>
        <v>51497</v>
      </c>
      <c r="P147" s="170">
        <f t="shared" si="66"/>
        <v>8.9560765064319536E-2</v>
      </c>
      <c r="Q147" s="171">
        <f t="shared" si="42"/>
        <v>0.75757679180887383</v>
      </c>
      <c r="R147" s="170">
        <f t="shared" si="67"/>
        <v>1.5371532174341836E-2</v>
      </c>
      <c r="S147" s="169">
        <f>S139-SUM(S140:S146)</f>
        <v>33606</v>
      </c>
      <c r="T147" s="169">
        <f>T139-SUM(T140:T146)</f>
        <v>17310</v>
      </c>
      <c r="U147" s="169">
        <f>U139-SUM(U140:U146)</f>
        <v>27312</v>
      </c>
      <c r="V147" s="169">
        <f>V139-SUM(V140:V146)</f>
        <v>54790</v>
      </c>
      <c r="W147" s="169">
        <f>W139-SUM(W140:W146)</f>
        <v>59648</v>
      </c>
      <c r="X147" s="170">
        <f t="shared" si="68"/>
        <v>8.866581492973169E-2</v>
      </c>
      <c r="Y147" s="171">
        <f t="shared" si="43"/>
        <v>0.77492114503362486</v>
      </c>
      <c r="Z147" s="170">
        <f t="shared" si="62"/>
        <v>1.4699431817876021E-2</v>
      </c>
    </row>
    <row r="148" spans="1:26" x14ac:dyDescent="0.25">
      <c r="A148" s="1"/>
      <c r="B148" s="153" t="s">
        <v>53</v>
      </c>
      <c r="C148" s="151"/>
      <c r="D148" s="151"/>
      <c r="E148" s="151"/>
      <c r="F148" s="151"/>
      <c r="G148" s="151"/>
      <c r="H148" s="151"/>
      <c r="I148" s="151"/>
      <c r="J148" s="151"/>
      <c r="K148" s="151"/>
      <c r="L148" s="151"/>
      <c r="M148" s="151"/>
      <c r="N148" s="151"/>
      <c r="O148" s="151"/>
      <c r="P148" s="151"/>
      <c r="Q148" s="151"/>
      <c r="R148" s="151"/>
      <c r="S148" s="151"/>
      <c r="T148" s="151"/>
      <c r="U148" s="151"/>
      <c r="V148" s="151"/>
      <c r="W148" s="151"/>
      <c r="X148" s="151"/>
      <c r="Y148" s="151"/>
      <c r="Z148" s="151"/>
    </row>
    <row r="149" spans="1:26" x14ac:dyDescent="0.25">
      <c r="A149" s="1" t="s">
        <v>0</v>
      </c>
      <c r="B149" s="154" t="s">
        <v>68</v>
      </c>
      <c r="C149" s="176">
        <f>C150+C153</f>
        <v>27519</v>
      </c>
      <c r="D149" s="176">
        <f>D150+D153</f>
        <v>11846</v>
      </c>
      <c r="E149" s="176">
        <f>E150+E153</f>
        <v>15189</v>
      </c>
      <c r="F149" s="176">
        <f>F150+F153</f>
        <v>30370</v>
      </c>
      <c r="G149" s="176">
        <f>G150+G153</f>
        <v>30695</v>
      </c>
      <c r="H149" s="177">
        <f>IFERROR(G149/F149-1,"-")</f>
        <v>1.0701350016463662E-2</v>
      </c>
      <c r="I149" s="177">
        <f t="shared" si="63"/>
        <v>0.11541117046404303</v>
      </c>
      <c r="J149" s="177">
        <f>G149/G$9</f>
        <v>4.1569384781230873E-2</v>
      </c>
      <c r="K149" s="176">
        <f>K150+K153</f>
        <v>94097</v>
      </c>
      <c r="L149" s="176">
        <f>L150+L153</f>
        <v>30203</v>
      </c>
      <c r="M149" s="176">
        <f>M150+M153</f>
        <v>55599</v>
      </c>
      <c r="N149" s="176">
        <f>N150+N153</f>
        <v>77698</v>
      </c>
      <c r="O149" s="176">
        <f>O150+O153</f>
        <v>83047</v>
      </c>
      <c r="P149" s="177">
        <f>IFERROR(O149/N149-1,"-")</f>
        <v>6.8843470874411228E-2</v>
      </c>
      <c r="Q149" s="177">
        <f t="shared" si="42"/>
        <v>-0.11743201164755523</v>
      </c>
      <c r="R149" s="177">
        <f>O149/O$9</f>
        <v>2.4789009699255616E-2</v>
      </c>
      <c r="S149" s="176">
        <f>S150+S153</f>
        <v>121616</v>
      </c>
      <c r="T149" s="176">
        <f>T150+T153</f>
        <v>42049</v>
      </c>
      <c r="U149" s="176">
        <f>U150+U153</f>
        <v>70788</v>
      </c>
      <c r="V149" s="176">
        <f>V150+V153</f>
        <v>108068</v>
      </c>
      <c r="W149" s="176">
        <f>W150+W153</f>
        <v>113742</v>
      </c>
      <c r="X149" s="177">
        <f>IFERROR(W149/V149-1,"-")</f>
        <v>5.2503978976200072E-2</v>
      </c>
      <c r="Y149" s="177">
        <f t="shared" si="43"/>
        <v>-6.4744770424944087E-2</v>
      </c>
      <c r="Z149" s="177">
        <f t="shared" ref="Z149:Z161" si="69">U149/U$9</f>
        <v>3.8098395559600456E-2</v>
      </c>
    </row>
    <row r="150" spans="1:26" x14ac:dyDescent="0.25">
      <c r="A150" s="1" t="s">
        <v>96</v>
      </c>
      <c r="B150" s="157" t="s">
        <v>97</v>
      </c>
      <c r="C150" s="158">
        <v>17412</v>
      </c>
      <c r="D150" s="158">
        <v>8198</v>
      </c>
      <c r="E150" s="158">
        <v>8139</v>
      </c>
      <c r="F150" s="158">
        <v>18008</v>
      </c>
      <c r="G150" s="158">
        <v>17683</v>
      </c>
      <c r="H150" s="159">
        <f>IFERROR(G150/F150-1,"-")</f>
        <v>-1.8047534429142642E-2</v>
      </c>
      <c r="I150" s="160">
        <f t="shared" si="63"/>
        <v>1.5563978865150485E-2</v>
      </c>
      <c r="J150" s="159">
        <f>G150/G$9</f>
        <v>2.3947595083450252E-2</v>
      </c>
      <c r="K150" s="158">
        <v>36028</v>
      </c>
      <c r="L150" s="158">
        <v>13645</v>
      </c>
      <c r="M150" s="158">
        <v>31999</v>
      </c>
      <c r="N150" s="158">
        <v>38624</v>
      </c>
      <c r="O150" s="158">
        <v>38986</v>
      </c>
      <c r="P150" s="159">
        <f>IFERROR(O150/N150-1,"-")</f>
        <v>9.3724109362054442E-3</v>
      </c>
      <c r="Q150" s="160">
        <f t="shared" si="42"/>
        <v>8.2102808926390658E-2</v>
      </c>
      <c r="R150" s="159">
        <f>O150/O$9</f>
        <v>1.1637076982132762E-2</v>
      </c>
      <c r="S150" s="158">
        <v>53440</v>
      </c>
      <c r="T150" s="158">
        <v>21843</v>
      </c>
      <c r="U150" s="158">
        <v>40138</v>
      </c>
      <c r="V150" s="158">
        <v>56632</v>
      </c>
      <c r="W150" s="158">
        <v>56669</v>
      </c>
      <c r="X150" s="159">
        <f>IFERROR(W150/V150-1,"-")</f>
        <v>6.5334086735413521E-4</v>
      </c>
      <c r="Y150" s="160">
        <f t="shared" si="43"/>
        <v>6.0422904191616666E-2</v>
      </c>
      <c r="Z150" s="159">
        <f t="shared" si="69"/>
        <v>2.160243828009328E-2</v>
      </c>
    </row>
    <row r="151" spans="1:26" x14ac:dyDescent="0.25">
      <c r="A151" s="161" t="s">
        <v>103</v>
      </c>
      <c r="B151" s="162" t="s">
        <v>103</v>
      </c>
      <c r="C151" s="163">
        <v>6183</v>
      </c>
      <c r="D151" s="163">
        <v>3239</v>
      </c>
      <c r="E151" s="163">
        <v>4159</v>
      </c>
      <c r="F151" s="163">
        <v>6621</v>
      </c>
      <c r="G151" s="163">
        <v>5819</v>
      </c>
      <c r="H151" s="164">
        <f>IFERROR(G151/F151-1,"-")</f>
        <v>-0.12112973871016464</v>
      </c>
      <c r="I151" s="165">
        <f t="shared" si="63"/>
        <v>-5.8871098172408209E-2</v>
      </c>
      <c r="J151" s="164">
        <f>G151/G$9</f>
        <v>7.8805098563929765E-3</v>
      </c>
      <c r="K151" s="163">
        <v>26435</v>
      </c>
      <c r="L151" s="163">
        <v>11144</v>
      </c>
      <c r="M151" s="163">
        <v>28141</v>
      </c>
      <c r="N151" s="163">
        <v>34603</v>
      </c>
      <c r="O151" s="163">
        <v>36698</v>
      </c>
      <c r="P151" s="164">
        <f>IFERROR(O151/N151-1,"-")</f>
        <v>6.0543883478311189E-2</v>
      </c>
      <c r="Q151" s="165">
        <f t="shared" ref="Q151:Q161" si="70">IFERROR(O151/K151-1,"-")</f>
        <v>0.38823529411764701</v>
      </c>
      <c r="R151" s="164">
        <f>O151/O$9</f>
        <v>1.095412330298846E-2</v>
      </c>
      <c r="S151" s="163">
        <v>32618</v>
      </c>
      <c r="T151" s="163">
        <v>14383</v>
      </c>
      <c r="U151" s="163">
        <v>32300</v>
      </c>
      <c r="V151" s="163">
        <v>41224</v>
      </c>
      <c r="W151" s="163">
        <v>42517</v>
      </c>
      <c r="X151" s="164">
        <f>IFERROR(W151/V151-1,"-")</f>
        <v>3.1365224141276959E-2</v>
      </c>
      <c r="Y151" s="165">
        <f t="shared" ref="Y151:Y161" si="71">IFERROR(W151/S151-1,"-")</f>
        <v>0.30348273959163663</v>
      </c>
      <c r="Z151" s="164">
        <f t="shared" si="69"/>
        <v>1.7383994131421918E-2</v>
      </c>
    </row>
    <row r="152" spans="1:26" x14ac:dyDescent="0.25">
      <c r="A152" s="161" t="s">
        <v>100</v>
      </c>
      <c r="B152" s="162" t="s">
        <v>100</v>
      </c>
      <c r="C152" s="163">
        <v>11229</v>
      </c>
      <c r="D152" s="163">
        <v>4959</v>
      </c>
      <c r="E152" s="163">
        <v>3980</v>
      </c>
      <c r="F152" s="163">
        <v>11387</v>
      </c>
      <c r="G152" s="163">
        <v>11864</v>
      </c>
      <c r="H152" s="164">
        <f>IFERROR(G152/F152-1,"-")</f>
        <v>4.1889874418196138E-2</v>
      </c>
      <c r="I152" s="165">
        <f t="shared" si="63"/>
        <v>5.6550004452756264E-2</v>
      </c>
      <c r="J152" s="164">
        <f>G152/G$9</f>
        <v>1.6067085227057274E-2</v>
      </c>
      <c r="K152" s="163">
        <v>9593</v>
      </c>
      <c r="L152" s="163">
        <v>2501</v>
      </c>
      <c r="M152" s="163">
        <v>3858</v>
      </c>
      <c r="N152" s="163">
        <v>4021</v>
      </c>
      <c r="O152" s="163">
        <v>2288</v>
      </c>
      <c r="P152" s="164">
        <f>IFERROR(O152/N152-1,"-")</f>
        <v>-0.43098731658791345</v>
      </c>
      <c r="Q152" s="165">
        <f t="shared" si="70"/>
        <v>-0.76149275513395187</v>
      </c>
      <c r="R152" s="164">
        <f>O152/O$9</f>
        <v>6.8295367914430203E-4</v>
      </c>
      <c r="S152" s="163">
        <v>20822</v>
      </c>
      <c r="T152" s="163">
        <v>7460</v>
      </c>
      <c r="U152" s="163">
        <v>7838</v>
      </c>
      <c r="V152" s="163">
        <v>15408</v>
      </c>
      <c r="W152" s="163">
        <v>14152</v>
      </c>
      <c r="X152" s="164">
        <f>IFERROR(W152/V152-1,"-")</f>
        <v>-8.1516095534787114E-2</v>
      </c>
      <c r="Y152" s="165">
        <f t="shared" si="71"/>
        <v>-0.32033426183844016</v>
      </c>
      <c r="Z152" s="164">
        <f t="shared" si="69"/>
        <v>4.2184441486713626E-3</v>
      </c>
    </row>
    <row r="153" spans="1:26" x14ac:dyDescent="0.25">
      <c r="A153" s="1" t="s">
        <v>146</v>
      </c>
      <c r="B153" s="157" t="s">
        <v>107</v>
      </c>
      <c r="C153" s="158">
        <v>10107</v>
      </c>
      <c r="D153" s="158">
        <v>3648</v>
      </c>
      <c r="E153" s="158">
        <v>7050</v>
      </c>
      <c r="F153" s="158">
        <v>12362</v>
      </c>
      <c r="G153" s="158">
        <v>13012</v>
      </c>
      <c r="H153" s="159">
        <f>IFERROR(G153/F153-1,"-")</f>
        <v>5.25804885940786E-2</v>
      </c>
      <c r="I153" s="160">
        <f t="shared" si="63"/>
        <v>0.28742455723755822</v>
      </c>
      <c r="J153" s="159">
        <f>G153/G$9</f>
        <v>1.762178969778062E-2</v>
      </c>
      <c r="K153" s="158">
        <v>58069</v>
      </c>
      <c r="L153" s="158">
        <v>16558</v>
      </c>
      <c r="M153" s="158">
        <v>23600</v>
      </c>
      <c r="N153" s="158">
        <v>39074</v>
      </c>
      <c r="O153" s="158">
        <v>44061</v>
      </c>
      <c r="P153" s="159">
        <f>IFERROR(O153/N153-1,"-")</f>
        <v>0.12762962583815329</v>
      </c>
      <c r="Q153" s="160">
        <f t="shared" si="70"/>
        <v>-0.24123026055210184</v>
      </c>
      <c r="R153" s="159">
        <f>O153/O$9</f>
        <v>1.3151932717122854E-2</v>
      </c>
      <c r="S153" s="158">
        <v>68176</v>
      </c>
      <c r="T153" s="158">
        <v>20206</v>
      </c>
      <c r="U153" s="158">
        <v>30650</v>
      </c>
      <c r="V153" s="158">
        <v>51436</v>
      </c>
      <c r="W153" s="158">
        <v>57073</v>
      </c>
      <c r="X153" s="159">
        <f>IFERROR(W153/V153-1,"-")</f>
        <v>0.10959250330507819</v>
      </c>
      <c r="Y153" s="160">
        <f t="shared" si="71"/>
        <v>-0.16285789720722832</v>
      </c>
      <c r="Z153" s="159">
        <f t="shared" si="69"/>
        <v>1.6495957279507176E-2</v>
      </c>
    </row>
    <row r="154" spans="1:26" x14ac:dyDescent="0.25">
      <c r="A154" s="161" t="s">
        <v>110</v>
      </c>
      <c r="B154" s="162" t="s">
        <v>110</v>
      </c>
      <c r="C154" s="163">
        <v>1074</v>
      </c>
      <c r="D154" s="163">
        <v>434</v>
      </c>
      <c r="E154" s="163">
        <v>401</v>
      </c>
      <c r="F154" s="163">
        <v>974</v>
      </c>
      <c r="G154" s="163">
        <v>983</v>
      </c>
      <c r="H154" s="164">
        <f t="shared" ref="H154:H161" si="72">IFERROR(G154/F154-1,"-")</f>
        <v>9.2402464065708401E-3</v>
      </c>
      <c r="I154" s="165">
        <f t="shared" si="63"/>
        <v>-8.472998137802612E-2</v>
      </c>
      <c r="J154" s="164">
        <f t="shared" ref="J154:J161" si="73">G154/G$9</f>
        <v>1.3312495598615391E-3</v>
      </c>
      <c r="K154" s="163">
        <v>20546</v>
      </c>
      <c r="L154" s="163">
        <v>5335</v>
      </c>
      <c r="M154" s="163">
        <v>5197</v>
      </c>
      <c r="N154" s="163">
        <v>18197</v>
      </c>
      <c r="O154" s="163">
        <v>17767</v>
      </c>
      <c r="P154" s="164">
        <f t="shared" ref="P154:P161" si="74">IFERROR(O154/N154-1,"-")</f>
        <v>-2.3630268725614134E-2</v>
      </c>
      <c r="Q154" s="165">
        <f t="shared" si="70"/>
        <v>-0.13525747104059183</v>
      </c>
      <c r="R154" s="164">
        <f t="shared" ref="R154:R161" si="75">O154/O$9</f>
        <v>5.3033382942993066E-3</v>
      </c>
      <c r="S154" s="163">
        <v>21620</v>
      </c>
      <c r="T154" s="163">
        <v>5769</v>
      </c>
      <c r="U154" s="163">
        <v>5598</v>
      </c>
      <c r="V154" s="163">
        <v>19171</v>
      </c>
      <c r="W154" s="163">
        <v>18750</v>
      </c>
      <c r="X154" s="164">
        <f t="shared" ref="X154:X161" si="76">IFERROR(W154/V154-1,"-")</f>
        <v>-2.1960252464660157E-2</v>
      </c>
      <c r="Y154" s="165">
        <f t="shared" si="71"/>
        <v>-0.13274745605920446</v>
      </c>
      <c r="Z154" s="164">
        <f t="shared" si="69"/>
        <v>3.0128668466780158E-3</v>
      </c>
    </row>
    <row r="155" spans="1:26" x14ac:dyDescent="0.25">
      <c r="A155" s="161" t="s">
        <v>113</v>
      </c>
      <c r="B155" s="162" t="s">
        <v>113</v>
      </c>
      <c r="C155" s="163">
        <v>1972</v>
      </c>
      <c r="D155" s="163">
        <v>651</v>
      </c>
      <c r="E155" s="163">
        <v>1400</v>
      </c>
      <c r="F155" s="163">
        <v>2438</v>
      </c>
      <c r="G155" s="163">
        <v>2568</v>
      </c>
      <c r="H155" s="164">
        <f t="shared" si="72"/>
        <v>5.3322395406070644E-2</v>
      </c>
      <c r="I155" s="165">
        <f t="shared" si="63"/>
        <v>0.30223123732251511</v>
      </c>
      <c r="J155" s="164">
        <f t="shared" si="73"/>
        <v>3.4777709763219051E-3</v>
      </c>
      <c r="K155" s="163">
        <v>14400</v>
      </c>
      <c r="L155" s="163">
        <v>3972</v>
      </c>
      <c r="M155" s="163">
        <v>6636</v>
      </c>
      <c r="N155" s="163">
        <v>7498</v>
      </c>
      <c r="O155" s="163">
        <v>7764</v>
      </c>
      <c r="P155" s="164">
        <f t="shared" si="74"/>
        <v>3.5476126967191268E-2</v>
      </c>
      <c r="Q155" s="165">
        <f t="shared" si="70"/>
        <v>-0.46083333333333332</v>
      </c>
      <c r="R155" s="164">
        <f t="shared" si="75"/>
        <v>2.3175054042291789E-3</v>
      </c>
      <c r="S155" s="163">
        <v>16372</v>
      </c>
      <c r="T155" s="163">
        <v>4623</v>
      </c>
      <c r="U155" s="163">
        <v>8036</v>
      </c>
      <c r="V155" s="163">
        <v>9936</v>
      </c>
      <c r="W155" s="163">
        <v>10332</v>
      </c>
      <c r="X155" s="164">
        <f t="shared" si="76"/>
        <v>3.9855072463768071E-2</v>
      </c>
      <c r="Y155" s="165">
        <f t="shared" si="71"/>
        <v>-0.36892255069631075</v>
      </c>
      <c r="Z155" s="164">
        <f t="shared" si="69"/>
        <v>4.325008570901131E-3</v>
      </c>
    </row>
    <row r="156" spans="1:26" x14ac:dyDescent="0.25">
      <c r="A156" s="161" t="s">
        <v>116</v>
      </c>
      <c r="B156" s="162" t="s">
        <v>116</v>
      </c>
      <c r="C156" s="163">
        <v>1295</v>
      </c>
      <c r="D156" s="163">
        <v>563</v>
      </c>
      <c r="E156" s="163">
        <v>1370</v>
      </c>
      <c r="F156" s="163">
        <v>2211</v>
      </c>
      <c r="G156" s="163">
        <v>2245</v>
      </c>
      <c r="H156" s="164">
        <f t="shared" si="72"/>
        <v>1.5377657168701875E-2</v>
      </c>
      <c r="I156" s="165">
        <f t="shared" si="63"/>
        <v>0.73359073359073368</v>
      </c>
      <c r="J156" s="164">
        <f t="shared" si="73"/>
        <v>3.0403410599075843E-3</v>
      </c>
      <c r="K156" s="163">
        <v>8444</v>
      </c>
      <c r="L156" s="163">
        <v>1717</v>
      </c>
      <c r="M156" s="163">
        <v>3754</v>
      </c>
      <c r="N156" s="163">
        <v>4261</v>
      </c>
      <c r="O156" s="163">
        <v>7004</v>
      </c>
      <c r="P156" s="164">
        <f t="shared" si="74"/>
        <v>0.6437455996245014</v>
      </c>
      <c r="Q156" s="165">
        <f t="shared" si="70"/>
        <v>-0.17053529133112266</v>
      </c>
      <c r="R156" s="164">
        <f t="shared" si="75"/>
        <v>2.0906501611567705E-3</v>
      </c>
      <c r="S156" s="163">
        <v>9739</v>
      </c>
      <c r="T156" s="163">
        <v>2280</v>
      </c>
      <c r="U156" s="163">
        <v>5124</v>
      </c>
      <c r="V156" s="163">
        <v>6472</v>
      </c>
      <c r="W156" s="163">
        <v>9249</v>
      </c>
      <c r="X156" s="164">
        <f t="shared" si="76"/>
        <v>0.42907911001236099</v>
      </c>
      <c r="Y156" s="165">
        <f t="shared" si="71"/>
        <v>-5.0313173837149616E-2</v>
      </c>
      <c r="Z156" s="164">
        <f t="shared" si="69"/>
        <v>2.7577580783097804E-3</v>
      </c>
    </row>
    <row r="157" spans="1:26" x14ac:dyDescent="0.25">
      <c r="A157" s="161" t="s">
        <v>123</v>
      </c>
      <c r="B157" s="162" t="s">
        <v>123</v>
      </c>
      <c r="C157" s="163">
        <v>534</v>
      </c>
      <c r="D157" s="163">
        <v>250</v>
      </c>
      <c r="E157" s="163">
        <v>317</v>
      </c>
      <c r="F157" s="163">
        <v>761</v>
      </c>
      <c r="G157" s="163">
        <v>634</v>
      </c>
      <c r="H157" s="164">
        <f t="shared" si="72"/>
        <v>-0.16688567674113008</v>
      </c>
      <c r="I157" s="165">
        <f t="shared" si="63"/>
        <v>0.18726591760299627</v>
      </c>
      <c r="J157" s="164">
        <f t="shared" si="73"/>
        <v>8.5860856658414632E-4</v>
      </c>
      <c r="K157" s="163">
        <v>1018</v>
      </c>
      <c r="L157" s="163">
        <v>328</v>
      </c>
      <c r="M157" s="163">
        <v>589</v>
      </c>
      <c r="N157" s="163">
        <v>856</v>
      </c>
      <c r="O157" s="163">
        <v>868</v>
      </c>
      <c r="P157" s="164">
        <f t="shared" si="74"/>
        <v>1.4018691588784993E-2</v>
      </c>
      <c r="Q157" s="165">
        <f t="shared" si="70"/>
        <v>-0.1473477406679764</v>
      </c>
      <c r="R157" s="164">
        <f t="shared" si="75"/>
        <v>2.5909256708796073E-4</v>
      </c>
      <c r="S157" s="163">
        <v>1552</v>
      </c>
      <c r="T157" s="163">
        <v>578</v>
      </c>
      <c r="U157" s="163">
        <v>906</v>
      </c>
      <c r="V157" s="163">
        <v>1617</v>
      </c>
      <c r="W157" s="163">
        <v>1502</v>
      </c>
      <c r="X157" s="164">
        <f t="shared" si="76"/>
        <v>-7.1119356833642566E-2</v>
      </c>
      <c r="Y157" s="165">
        <f t="shared" si="71"/>
        <v>-3.2216494845360821E-2</v>
      </c>
      <c r="Z157" s="164">
        <f t="shared" si="69"/>
        <v>4.8761296232409471E-4</v>
      </c>
    </row>
    <row r="158" spans="1:26" x14ac:dyDescent="0.25">
      <c r="A158" s="161" t="s">
        <v>119</v>
      </c>
      <c r="B158" s="162" t="s">
        <v>119</v>
      </c>
      <c r="C158" s="163">
        <v>433</v>
      </c>
      <c r="D158" s="163">
        <v>236</v>
      </c>
      <c r="E158" s="163">
        <v>351</v>
      </c>
      <c r="F158" s="163">
        <v>597</v>
      </c>
      <c r="G158" s="163">
        <v>569</v>
      </c>
      <c r="H158" s="164">
        <f t="shared" si="72"/>
        <v>-4.6901172529313251E-2</v>
      </c>
      <c r="I158" s="165">
        <f t="shared" si="63"/>
        <v>0.31408775981524251</v>
      </c>
      <c r="J158" s="164">
        <f t="shared" si="73"/>
        <v>7.7058087442646568E-4</v>
      </c>
      <c r="K158" s="163">
        <v>2553</v>
      </c>
      <c r="L158" s="163">
        <v>1262</v>
      </c>
      <c r="M158" s="163">
        <v>1393</v>
      </c>
      <c r="N158" s="163">
        <v>2346</v>
      </c>
      <c r="O158" s="163">
        <v>2305</v>
      </c>
      <c r="P158" s="164">
        <f t="shared" si="74"/>
        <v>-1.7476555839727181E-2</v>
      </c>
      <c r="Q158" s="165">
        <f t="shared" si="70"/>
        <v>-9.7140618879749341E-2</v>
      </c>
      <c r="R158" s="164">
        <f t="shared" si="75"/>
        <v>6.8802807273934269E-4</v>
      </c>
      <c r="S158" s="163">
        <v>2986</v>
      </c>
      <c r="T158" s="163">
        <v>1498</v>
      </c>
      <c r="U158" s="163">
        <v>1744</v>
      </c>
      <c r="V158" s="163">
        <v>2943</v>
      </c>
      <c r="W158" s="163">
        <v>2874</v>
      </c>
      <c r="X158" s="164">
        <f t="shared" si="76"/>
        <v>-2.3445463812436285E-2</v>
      </c>
      <c r="Y158" s="165">
        <f t="shared" si="71"/>
        <v>-3.7508372404554624E-2</v>
      </c>
      <c r="Z158" s="164">
        <f t="shared" si="69"/>
        <v>9.386280422662485E-4</v>
      </c>
    </row>
    <row r="159" spans="1:26" x14ac:dyDescent="0.25">
      <c r="A159" s="161" t="s">
        <v>128</v>
      </c>
      <c r="B159" s="162" t="s">
        <v>128</v>
      </c>
      <c r="C159" s="163">
        <v>159</v>
      </c>
      <c r="D159" s="163">
        <v>58</v>
      </c>
      <c r="E159" s="163">
        <v>71</v>
      </c>
      <c r="F159" s="163">
        <v>195</v>
      </c>
      <c r="G159" s="163">
        <v>156</v>
      </c>
      <c r="H159" s="164">
        <f t="shared" si="72"/>
        <v>-0.19999999999999996</v>
      </c>
      <c r="I159" s="165">
        <f t="shared" si="63"/>
        <v>-1.8867924528301883E-2</v>
      </c>
      <c r="J159" s="164">
        <f t="shared" si="73"/>
        <v>2.1126646117843349E-4</v>
      </c>
      <c r="K159" s="163">
        <v>251</v>
      </c>
      <c r="L159" s="163">
        <v>174</v>
      </c>
      <c r="M159" s="163">
        <v>211</v>
      </c>
      <c r="N159" s="163">
        <v>277</v>
      </c>
      <c r="O159" s="163">
        <v>276</v>
      </c>
      <c r="P159" s="164">
        <f t="shared" si="74"/>
        <v>-3.6101083032491488E-3</v>
      </c>
      <c r="Q159" s="165">
        <f t="shared" si="70"/>
        <v>9.960159362549792E-2</v>
      </c>
      <c r="R159" s="164">
        <f t="shared" si="75"/>
        <v>8.2384272484190284E-5</v>
      </c>
      <c r="S159" s="163">
        <v>410</v>
      </c>
      <c r="T159" s="163">
        <v>232</v>
      </c>
      <c r="U159" s="163">
        <v>282</v>
      </c>
      <c r="V159" s="163">
        <v>472</v>
      </c>
      <c r="W159" s="163">
        <v>432</v>
      </c>
      <c r="X159" s="164">
        <f t="shared" si="76"/>
        <v>-8.4745762711864403E-2</v>
      </c>
      <c r="Y159" s="165">
        <f t="shared" si="71"/>
        <v>5.3658536585365901E-2</v>
      </c>
      <c r="Z159" s="164">
        <f t="shared" si="69"/>
        <v>1.5177357105451955E-4</v>
      </c>
    </row>
    <row r="160" spans="1:26" x14ac:dyDescent="0.25">
      <c r="A160" s="161" t="s">
        <v>131</v>
      </c>
      <c r="B160" s="162" t="s">
        <v>131</v>
      </c>
      <c r="C160" s="163">
        <v>218</v>
      </c>
      <c r="D160" s="163">
        <v>70</v>
      </c>
      <c r="E160" s="163">
        <v>84</v>
      </c>
      <c r="F160" s="163">
        <v>99</v>
      </c>
      <c r="G160" s="163">
        <v>155</v>
      </c>
      <c r="H160" s="164">
        <f t="shared" si="72"/>
        <v>0.56565656565656575</v>
      </c>
      <c r="I160" s="165">
        <f t="shared" si="63"/>
        <v>-0.28899082568807344</v>
      </c>
      <c r="J160" s="164">
        <f t="shared" si="73"/>
        <v>2.0991218899139226E-4</v>
      </c>
      <c r="K160" s="163">
        <v>755</v>
      </c>
      <c r="L160" s="163">
        <v>228</v>
      </c>
      <c r="M160" s="163">
        <v>362</v>
      </c>
      <c r="N160" s="163">
        <v>555</v>
      </c>
      <c r="O160" s="163">
        <v>677</v>
      </c>
      <c r="P160" s="164">
        <f t="shared" si="74"/>
        <v>0.2198198198198198</v>
      </c>
      <c r="Q160" s="165">
        <f t="shared" si="70"/>
        <v>-0.10331125827814569</v>
      </c>
      <c r="R160" s="164">
        <f t="shared" si="75"/>
        <v>2.0208026257897399E-4</v>
      </c>
      <c r="S160" s="163">
        <v>973</v>
      </c>
      <c r="T160" s="163">
        <v>298</v>
      </c>
      <c r="U160" s="163">
        <v>446</v>
      </c>
      <c r="V160" s="163">
        <v>654</v>
      </c>
      <c r="W160" s="163">
        <v>832</v>
      </c>
      <c r="X160" s="164">
        <f t="shared" si="76"/>
        <v>0.27217125382262997</v>
      </c>
      <c r="Y160" s="165">
        <f t="shared" si="71"/>
        <v>-0.14491264131551906</v>
      </c>
      <c r="Z160" s="164">
        <f t="shared" si="69"/>
        <v>2.4003905209331815E-4</v>
      </c>
    </row>
    <row r="161" spans="1:26" x14ac:dyDescent="0.25">
      <c r="A161" s="167" t="s">
        <v>145</v>
      </c>
      <c r="B161" s="168" t="s">
        <v>145</v>
      </c>
      <c r="C161" s="169">
        <f>C153-SUM(C154:C160)</f>
        <v>4422</v>
      </c>
      <c r="D161" s="169">
        <f>D153-SUM(D154:D160)</f>
        <v>1386</v>
      </c>
      <c r="E161" s="169">
        <f>E153-SUM(E154:E160)</f>
        <v>3056</v>
      </c>
      <c r="F161" s="169">
        <f>F153-SUM(F154:F160)</f>
        <v>5087</v>
      </c>
      <c r="G161" s="169">
        <f>G153-SUM(G154:G160)</f>
        <v>5702</v>
      </c>
      <c r="H161" s="170">
        <f t="shared" si="72"/>
        <v>0.12089640259484957</v>
      </c>
      <c r="I161" s="171">
        <f t="shared" si="63"/>
        <v>0.28946178199909545</v>
      </c>
      <c r="J161" s="170">
        <f t="shared" si="73"/>
        <v>7.7220600105091519E-3</v>
      </c>
      <c r="K161" s="169">
        <f>K153-SUM(K154:K160)</f>
        <v>10102</v>
      </c>
      <c r="L161" s="169">
        <f>L153-SUM(L154:L160)</f>
        <v>3542</v>
      </c>
      <c r="M161" s="169">
        <f>M153-SUM(M154:M160)</f>
        <v>5458</v>
      </c>
      <c r="N161" s="169">
        <f>N153-SUM(N154:N160)</f>
        <v>5084</v>
      </c>
      <c r="O161" s="169">
        <f>O153-SUM(O154:O160)</f>
        <v>7400</v>
      </c>
      <c r="P161" s="170">
        <f t="shared" si="74"/>
        <v>0.45554681353265147</v>
      </c>
      <c r="Q161" s="171">
        <f t="shared" si="70"/>
        <v>-0.26747178776479907</v>
      </c>
      <c r="R161" s="170">
        <f t="shared" si="75"/>
        <v>2.2088536825471306E-3</v>
      </c>
      <c r="S161" s="169">
        <f>S153-SUM(S154:S160)</f>
        <v>14524</v>
      </c>
      <c r="T161" s="169">
        <f>T153-SUM(T154:T160)</f>
        <v>4928</v>
      </c>
      <c r="U161" s="169">
        <f>U153-SUM(U154:U160)</f>
        <v>8514</v>
      </c>
      <c r="V161" s="169">
        <f>V153-SUM(V154:V160)</f>
        <v>10171</v>
      </c>
      <c r="W161" s="169">
        <f>W153-SUM(W154:W160)</f>
        <v>13102</v>
      </c>
      <c r="X161" s="170">
        <f t="shared" si="76"/>
        <v>0.28817225444892336</v>
      </c>
      <c r="Y161" s="171">
        <f t="shared" si="71"/>
        <v>-9.7906912696226978E-2</v>
      </c>
      <c r="Z161" s="170">
        <f t="shared" si="69"/>
        <v>4.5822701558800687E-3</v>
      </c>
    </row>
    <row r="162" spans="1:26" ht="6" customHeight="1" x14ac:dyDescent="0.25">
      <c r="C162" s="79"/>
      <c r="D162" s="79"/>
      <c r="E162" s="79"/>
      <c r="F162" s="79"/>
      <c r="G162" s="79"/>
      <c r="H162" s="79"/>
      <c r="K162" s="79"/>
      <c r="L162" s="79"/>
      <c r="M162" s="79"/>
      <c r="N162" s="79"/>
      <c r="O162" s="79"/>
      <c r="P162" s="79"/>
      <c r="S162" s="79"/>
      <c r="T162" s="79"/>
      <c r="U162" s="79"/>
      <c r="V162" s="79"/>
      <c r="W162" s="79"/>
      <c r="X162" s="79"/>
    </row>
    <row r="163" spans="1:26" ht="6" customHeight="1" x14ac:dyDescent="0.25">
      <c r="B163" s="125"/>
      <c r="C163" s="125"/>
      <c r="D163" s="125"/>
      <c r="E163" s="125"/>
      <c r="F163" s="125"/>
      <c r="G163" s="125"/>
      <c r="H163" s="125"/>
      <c r="I163" s="125"/>
      <c r="J163" s="125"/>
      <c r="K163" s="125"/>
      <c r="L163" s="125"/>
      <c r="M163" s="125"/>
      <c r="N163" s="125"/>
      <c r="O163" s="125"/>
      <c r="P163" s="125"/>
      <c r="Q163" s="125"/>
      <c r="R163" s="125"/>
      <c r="S163" s="125"/>
      <c r="T163" s="125"/>
      <c r="U163" s="125"/>
      <c r="V163" s="125"/>
      <c r="W163" s="125"/>
      <c r="X163" s="125"/>
      <c r="Y163" s="125"/>
      <c r="Z163" s="125"/>
    </row>
    <row r="164" spans="1:26" x14ac:dyDescent="0.25">
      <c r="B164" s="105" t="s">
        <v>55</v>
      </c>
      <c r="C164" s="105"/>
      <c r="D164" s="105"/>
      <c r="E164" s="105"/>
      <c r="F164" s="105"/>
      <c r="G164" s="105"/>
      <c r="H164" s="105"/>
      <c r="I164" s="105"/>
      <c r="J164" s="105"/>
      <c r="K164" s="105"/>
      <c r="L164" s="105"/>
      <c r="M164" s="105"/>
      <c r="N164" s="105"/>
      <c r="O164" s="105"/>
      <c r="P164" s="105"/>
      <c r="Q164" s="105"/>
      <c r="R164" s="105"/>
      <c r="S164" s="105"/>
      <c r="T164" s="105"/>
      <c r="U164" s="105"/>
      <c r="V164" s="105"/>
      <c r="W164" s="105"/>
      <c r="X164" s="105"/>
      <c r="Y164" s="105"/>
      <c r="Z164" s="105"/>
    </row>
  </sheetData>
  <mergeCells count="3">
    <mergeCell ref="C6:J6"/>
    <mergeCell ref="K6:R6"/>
    <mergeCell ref="S6:Z6"/>
  </mergeCells>
  <pageMargins left="0.7" right="0.7" top="0.75" bottom="0.75" header="0.3" footer="0.3"/>
  <pageSetup paperSize="9" scale="2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B99BBE-30FD-4557-9EC1-E96C7AACE6EA}">
  <sheetPr>
    <tabColor theme="8" tint="0.59999389629810485"/>
  </sheetPr>
  <dimension ref="A4:N76"/>
  <sheetViews>
    <sheetView showGridLines="0" zoomScaleNormal="100" workbookViewId="0"/>
  </sheetViews>
  <sheetFormatPr baseColWidth="10" defaultColWidth="11.42578125" defaultRowHeight="15" x14ac:dyDescent="0.25"/>
  <cols>
    <col min="3" max="3" width="16.85546875" customWidth="1"/>
    <col min="4" max="4" width="15.5703125" customWidth="1"/>
    <col min="5" max="9" width="12.7109375" customWidth="1"/>
    <col min="14" max="14" width="12" customWidth="1"/>
  </cols>
  <sheetData>
    <row r="4" spans="2:14" ht="21.75" thickBot="1" x14ac:dyDescent="0.3">
      <c r="B4" s="270" t="s">
        <v>223</v>
      </c>
      <c r="C4" s="270"/>
      <c r="D4" s="270"/>
      <c r="E4" s="270"/>
      <c r="F4" s="270"/>
      <c r="G4" s="270"/>
      <c r="H4" s="270"/>
      <c r="I4" s="270"/>
      <c r="J4" s="270"/>
      <c r="K4" s="270"/>
      <c r="L4" s="270"/>
      <c r="M4" s="270"/>
      <c r="N4" s="12"/>
    </row>
    <row r="5" spans="2:14" ht="7.5" customHeight="1" thickBot="1" x14ac:dyDescent="0.3"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</row>
    <row r="6" spans="2:14" ht="45" x14ac:dyDescent="0.25">
      <c r="B6" s="4"/>
      <c r="C6" s="4"/>
      <c r="D6" s="4"/>
      <c r="E6" s="13" t="s">
        <v>224</v>
      </c>
      <c r="F6" s="13" t="s">
        <v>225</v>
      </c>
      <c r="G6" s="13" t="s">
        <v>226</v>
      </c>
      <c r="H6" s="13" t="s">
        <v>227</v>
      </c>
      <c r="I6" s="13" t="s">
        <v>228</v>
      </c>
      <c r="J6" s="14" t="str">
        <f>CONCATENATE("var. ",RIGHT(I6,2),"/",RIGHT(H6,2))</f>
        <v>var. 24/23</v>
      </c>
      <c r="K6" s="14" t="str">
        <f>CONCATENATE("dif. ",RIGHT(I6,2),"/",RIGHT(H6,2))</f>
        <v>dif. 24/23</v>
      </c>
      <c r="L6" s="14" t="str">
        <f>CONCATENATE("var. ",RIGHT(I6,2),"/",RIGHT(E6,2))</f>
        <v>var. 24/19</v>
      </c>
      <c r="M6" s="14" t="str">
        <f>CONCATENATE("dif. ",RIGHT(I6,2),"/",RIGHT(E6,2))</f>
        <v>dif. 24/19</v>
      </c>
      <c r="N6" s="14" t="str">
        <f>CONCATENATE("cuota ",I6)</f>
        <v>cuota septiembre 2024</v>
      </c>
    </row>
    <row r="7" spans="2:14" x14ac:dyDescent="0.25">
      <c r="B7" s="271" t="s">
        <v>49</v>
      </c>
      <c r="C7" s="274" t="s">
        <v>8</v>
      </c>
      <c r="D7" s="15" t="s">
        <v>30</v>
      </c>
      <c r="E7" s="16">
        <v>3835</v>
      </c>
      <c r="F7" s="16">
        <v>3914</v>
      </c>
      <c r="G7" s="16">
        <v>4578</v>
      </c>
      <c r="H7" s="16">
        <v>4521</v>
      </c>
      <c r="I7" s="16">
        <v>5087</v>
      </c>
      <c r="J7" s="17">
        <f>I7/H7-1</f>
        <v>0.12519354125193538</v>
      </c>
      <c r="K7" s="16">
        <f>I7-H7</f>
        <v>566</v>
      </c>
      <c r="L7" s="17">
        <f>I7/E7-1</f>
        <v>0.32646675358539756</v>
      </c>
      <c r="M7" s="16">
        <f>I7-E7</f>
        <v>1252</v>
      </c>
      <c r="N7" s="18">
        <f>I7/$I$7</f>
        <v>1</v>
      </c>
    </row>
    <row r="8" spans="2:14" x14ac:dyDescent="0.25">
      <c r="B8" s="272"/>
      <c r="C8" s="275"/>
      <c r="D8" s="19" t="s">
        <v>31</v>
      </c>
      <c r="E8" s="20">
        <v>3835</v>
      </c>
      <c r="F8" s="20">
        <v>3914</v>
      </c>
      <c r="G8" s="20">
        <v>4578</v>
      </c>
      <c r="H8" s="20">
        <v>4521</v>
      </c>
      <c r="I8" s="20">
        <v>5087</v>
      </c>
      <c r="J8" s="21">
        <f t="shared" ref="J8:J20" si="0">I8/H8-1</f>
        <v>0.12519354125193538</v>
      </c>
      <c r="K8" s="20">
        <f t="shared" ref="K8:K17" si="1">I8-H8</f>
        <v>566</v>
      </c>
      <c r="L8" s="21">
        <f t="shared" ref="L8:L20" si="2">I8/E8-1</f>
        <v>0.32646675358539756</v>
      </c>
      <c r="M8" s="20">
        <f t="shared" ref="M8:M17" si="3">I8-E8</f>
        <v>1252</v>
      </c>
      <c r="N8" s="22">
        <f>I8/$I$7</f>
        <v>1</v>
      </c>
    </row>
    <row r="9" spans="2:14" x14ac:dyDescent="0.25">
      <c r="B9" s="272"/>
      <c r="C9" s="276"/>
      <c r="D9" s="23" t="s">
        <v>32</v>
      </c>
      <c r="E9" s="24" t="s">
        <v>229</v>
      </c>
      <c r="F9" s="24" t="s">
        <v>229</v>
      </c>
      <c r="G9" s="24" t="s">
        <v>229</v>
      </c>
      <c r="H9" s="24" t="s">
        <v>229</v>
      </c>
      <c r="I9" s="24" t="s">
        <v>229</v>
      </c>
      <c r="J9" s="25" t="str">
        <f>IFERROR(I9/H9-1,"-")</f>
        <v>-</v>
      </c>
      <c r="K9" s="24" t="str">
        <f>IFERROR(I9-H9,"-")</f>
        <v>-</v>
      </c>
      <c r="L9" s="25" t="str">
        <f>IFERROR(I9/E9-1,"-")</f>
        <v>-</v>
      </c>
      <c r="M9" s="24" t="str">
        <f>IFERROR(I9-E9,"-")</f>
        <v>-</v>
      </c>
      <c r="N9" s="25" t="str">
        <f>IFERROR(I9/$I$7,"-")</f>
        <v>-</v>
      </c>
    </row>
    <row r="10" spans="2:14" x14ac:dyDescent="0.25">
      <c r="B10" s="272"/>
      <c r="C10" s="277" t="s">
        <v>33</v>
      </c>
      <c r="D10" s="26" t="s">
        <v>30</v>
      </c>
      <c r="E10" s="27">
        <v>3949</v>
      </c>
      <c r="F10" s="27">
        <v>3996</v>
      </c>
      <c r="G10" s="27">
        <v>4766</v>
      </c>
      <c r="H10" s="27">
        <v>4736</v>
      </c>
      <c r="I10" s="27">
        <v>5250</v>
      </c>
      <c r="J10" s="28">
        <f t="shared" si="0"/>
        <v>0.10853040540540548</v>
      </c>
      <c r="K10" s="27">
        <f t="shared" si="1"/>
        <v>514</v>
      </c>
      <c r="L10" s="28">
        <f t="shared" si="2"/>
        <v>0.32945049379589775</v>
      </c>
      <c r="M10" s="27">
        <f t="shared" si="3"/>
        <v>1301</v>
      </c>
      <c r="N10" s="18">
        <f>I10/$I$10</f>
        <v>1</v>
      </c>
    </row>
    <row r="11" spans="2:14" x14ac:dyDescent="0.25">
      <c r="B11" s="272"/>
      <c r="C11" s="278"/>
      <c r="D11" s="4" t="s">
        <v>31</v>
      </c>
      <c r="E11" s="29">
        <v>3949</v>
      </c>
      <c r="F11" s="29">
        <v>3996</v>
      </c>
      <c r="G11" s="29">
        <v>4766</v>
      </c>
      <c r="H11" s="29">
        <v>4736</v>
      </c>
      <c r="I11" s="29">
        <v>5250</v>
      </c>
      <c r="J11" s="30">
        <f t="shared" si="0"/>
        <v>0.10853040540540548</v>
      </c>
      <c r="K11" s="29">
        <f t="shared" si="1"/>
        <v>514</v>
      </c>
      <c r="L11" s="30">
        <f t="shared" si="2"/>
        <v>0.32945049379589775</v>
      </c>
      <c r="M11" s="29">
        <f t="shared" si="3"/>
        <v>1301</v>
      </c>
      <c r="N11" s="31">
        <f>I11/$I$10</f>
        <v>1</v>
      </c>
    </row>
    <row r="12" spans="2:14" x14ac:dyDescent="0.25">
      <c r="B12" s="272"/>
      <c r="C12" s="279"/>
      <c r="D12" s="32" t="s">
        <v>32</v>
      </c>
      <c r="E12" s="33" t="s">
        <v>229</v>
      </c>
      <c r="F12" s="33" t="s">
        <v>229</v>
      </c>
      <c r="G12" s="33" t="s">
        <v>229</v>
      </c>
      <c r="H12" s="33" t="s">
        <v>229</v>
      </c>
      <c r="I12" s="33" t="s">
        <v>229</v>
      </c>
      <c r="J12" s="34" t="str">
        <f>IFERROR(I12/H12-1,"-")</f>
        <v>-</v>
      </c>
      <c r="K12" s="33" t="str">
        <f>IFERROR(I12-H12,"-")</f>
        <v>-</v>
      </c>
      <c r="L12" s="34" t="str">
        <f>IFERROR(I12/E12-1,"-")</f>
        <v>-</v>
      </c>
      <c r="M12" s="33" t="str">
        <f>IFERROR(I12-E12,"-")</f>
        <v>-</v>
      </c>
      <c r="N12" s="34" t="str">
        <f>IFERROR(I12/$I$10,"-")</f>
        <v>-</v>
      </c>
    </row>
    <row r="13" spans="2:14" x14ac:dyDescent="0.25">
      <c r="B13" s="272"/>
      <c r="C13" s="274" t="s">
        <v>21</v>
      </c>
      <c r="D13" s="15" t="s">
        <v>30</v>
      </c>
      <c r="E13" s="16">
        <v>8003</v>
      </c>
      <c r="F13" s="16">
        <v>9600</v>
      </c>
      <c r="G13" s="16">
        <v>10967</v>
      </c>
      <c r="H13" s="16">
        <v>10606</v>
      </c>
      <c r="I13" s="16">
        <v>11345</v>
      </c>
      <c r="J13" s="17">
        <f t="shared" si="0"/>
        <v>6.9677541014520061E-2</v>
      </c>
      <c r="K13" s="16">
        <f t="shared" si="1"/>
        <v>739</v>
      </c>
      <c r="L13" s="17">
        <f t="shared" si="2"/>
        <v>0.41759340247407217</v>
      </c>
      <c r="M13" s="16">
        <f t="shared" si="3"/>
        <v>3342</v>
      </c>
      <c r="N13" s="18">
        <f>I13/$I$13</f>
        <v>1</v>
      </c>
    </row>
    <row r="14" spans="2:14" x14ac:dyDescent="0.25">
      <c r="B14" s="272"/>
      <c r="C14" s="275"/>
      <c r="D14" s="19" t="s">
        <v>31</v>
      </c>
      <c r="E14" s="20">
        <v>8003</v>
      </c>
      <c r="F14" s="20">
        <v>9600</v>
      </c>
      <c r="G14" s="20">
        <v>10967</v>
      </c>
      <c r="H14" s="20">
        <v>10606</v>
      </c>
      <c r="I14" s="20">
        <v>11345</v>
      </c>
      <c r="J14" s="21">
        <f t="shared" si="0"/>
        <v>6.9677541014520061E-2</v>
      </c>
      <c r="K14" s="20">
        <f t="shared" si="1"/>
        <v>739</v>
      </c>
      <c r="L14" s="21">
        <f t="shared" si="2"/>
        <v>0.41759340247407217</v>
      </c>
      <c r="M14" s="20">
        <f t="shared" si="3"/>
        <v>3342</v>
      </c>
      <c r="N14" s="22">
        <f>I14/$I$13</f>
        <v>1</v>
      </c>
    </row>
    <row r="15" spans="2:14" x14ac:dyDescent="0.25">
      <c r="B15" s="272"/>
      <c r="C15" s="276"/>
      <c r="D15" s="23" t="s">
        <v>32</v>
      </c>
      <c r="E15" s="24" t="s">
        <v>229</v>
      </c>
      <c r="F15" s="24" t="s">
        <v>229</v>
      </c>
      <c r="G15" s="24" t="s">
        <v>229</v>
      </c>
      <c r="H15" s="24" t="s">
        <v>229</v>
      </c>
      <c r="I15" s="24" t="s">
        <v>229</v>
      </c>
      <c r="J15" s="25" t="str">
        <f>IFERROR(I15/H15-1,"-")</f>
        <v>-</v>
      </c>
      <c r="K15" s="24" t="str">
        <f>IFERROR(I15-H15,"-")</f>
        <v>-</v>
      </c>
      <c r="L15" s="25" t="str">
        <f>IFERROR(I15/E15-1,"-")</f>
        <v>-</v>
      </c>
      <c r="M15" s="24" t="str">
        <f>IFERROR(I15-E15,"-")</f>
        <v>-</v>
      </c>
      <c r="N15" s="25" t="str">
        <f>IFERROR(I15/$I$13,"-")</f>
        <v>-</v>
      </c>
    </row>
    <row r="16" spans="2:14" x14ac:dyDescent="0.25">
      <c r="B16" s="272"/>
      <c r="C16" s="277" t="s">
        <v>22</v>
      </c>
      <c r="D16" s="26" t="s">
        <v>30</v>
      </c>
      <c r="E16" s="35">
        <v>2.0868318122555412</v>
      </c>
      <c r="F16" s="35">
        <v>2.452733776188043</v>
      </c>
      <c r="G16" s="35">
        <v>2.3955875928352994</v>
      </c>
      <c r="H16" s="35">
        <v>2.3459411634594116</v>
      </c>
      <c r="I16" s="35">
        <v>2.2301946137212503</v>
      </c>
      <c r="J16" s="36">
        <f t="shared" si="0"/>
        <v>-4.9339067637773626E-2</v>
      </c>
      <c r="K16" s="37">
        <f t="shared" si="1"/>
        <v>-0.11574654973816134</v>
      </c>
      <c r="L16" s="36">
        <f t="shared" si="2"/>
        <v>6.8698780909783208E-2</v>
      </c>
      <c r="M16" s="37">
        <f t="shared" si="3"/>
        <v>0.14336280146570912</v>
      </c>
      <c r="N16" s="38"/>
    </row>
    <row r="17" spans="2:14" x14ac:dyDescent="0.25">
      <c r="B17" s="272"/>
      <c r="C17" s="278"/>
      <c r="D17" s="4" t="s">
        <v>31</v>
      </c>
      <c r="E17" s="39">
        <f>E14/E8</f>
        <v>2.0868318122555412</v>
      </c>
      <c r="F17" s="39">
        <f t="shared" ref="F17:I17" si="4">F14/F8</f>
        <v>2.452733776188043</v>
      </c>
      <c r="G17" s="39">
        <f t="shared" si="4"/>
        <v>2.3955875928352994</v>
      </c>
      <c r="H17" s="39">
        <f t="shared" si="4"/>
        <v>2.3459411634594116</v>
      </c>
      <c r="I17" s="39">
        <f t="shared" si="4"/>
        <v>2.2301946137212503</v>
      </c>
      <c r="J17" s="40">
        <f t="shared" si="0"/>
        <v>-4.9339067637773626E-2</v>
      </c>
      <c r="K17" s="41">
        <f t="shared" si="1"/>
        <v>-0.11574654973816134</v>
      </c>
      <c r="L17" s="40">
        <f t="shared" si="2"/>
        <v>6.8698780909783208E-2</v>
      </c>
      <c r="M17" s="41">
        <f t="shared" si="3"/>
        <v>0.14336280146570912</v>
      </c>
      <c r="N17" s="42"/>
    </row>
    <row r="18" spans="2:14" x14ac:dyDescent="0.25">
      <c r="B18" s="272"/>
      <c r="C18" s="279"/>
      <c r="D18" s="32" t="s">
        <v>32</v>
      </c>
      <c r="E18" s="43" t="str">
        <f>IFERROR(E15/E9,"-")</f>
        <v>-</v>
      </c>
      <c r="F18" s="43" t="str">
        <f t="shared" ref="F18:I18" si="5">IFERROR(F15/F9,"-")</f>
        <v>-</v>
      </c>
      <c r="G18" s="43" t="str">
        <f t="shared" si="5"/>
        <v>-</v>
      </c>
      <c r="H18" s="43" t="str">
        <f t="shared" si="5"/>
        <v>-</v>
      </c>
      <c r="I18" s="43" t="str">
        <f t="shared" si="5"/>
        <v>-</v>
      </c>
      <c r="J18" s="34" t="str">
        <f>IFERROR(I18/H18-1,"-")</f>
        <v>-</v>
      </c>
      <c r="K18" s="33" t="str">
        <f>IFERROR(I18-H18,"-")</f>
        <v>-</v>
      </c>
      <c r="L18" s="34" t="str">
        <f>IFERROR(I18/E18-1,"-")</f>
        <v>-</v>
      </c>
      <c r="M18" s="33" t="str">
        <f>IFERROR(I18-E18,"-")</f>
        <v>-</v>
      </c>
      <c r="N18" s="34"/>
    </row>
    <row r="19" spans="2:14" x14ac:dyDescent="0.25">
      <c r="B19" s="272"/>
      <c r="C19" s="280" t="s">
        <v>34</v>
      </c>
      <c r="D19" s="15" t="s">
        <v>30</v>
      </c>
      <c r="E19" s="18">
        <v>0.45679999999999998</v>
      </c>
      <c r="F19" s="18">
        <v>0.51200000000000001</v>
      </c>
      <c r="G19" s="18">
        <v>0.5514</v>
      </c>
      <c r="H19" s="18">
        <v>0.53320000000000001</v>
      </c>
      <c r="I19" s="18">
        <v>0.56189999999999996</v>
      </c>
      <c r="J19" s="17">
        <f t="shared" si="0"/>
        <v>5.382595648912214E-2</v>
      </c>
      <c r="K19" s="44">
        <f>(I19-H19)*100</f>
        <v>2.8699999999999948</v>
      </c>
      <c r="L19" s="17">
        <f t="shared" si="2"/>
        <v>0.23007880910682998</v>
      </c>
      <c r="M19" s="44">
        <f>(I19-E19)*100</f>
        <v>10.509999999999998</v>
      </c>
      <c r="N19" s="18"/>
    </row>
    <row r="20" spans="2:14" x14ac:dyDescent="0.25">
      <c r="B20" s="272"/>
      <c r="C20" s="281"/>
      <c r="D20" s="19" t="s">
        <v>31</v>
      </c>
      <c r="E20" s="22">
        <v>0.45679999999999998</v>
      </c>
      <c r="F20" s="22">
        <v>0.51200000000000001</v>
      </c>
      <c r="G20" s="22">
        <v>0.5514</v>
      </c>
      <c r="H20" s="22">
        <v>0.53320000000000001</v>
      </c>
      <c r="I20" s="22">
        <v>0.56189999999999996</v>
      </c>
      <c r="J20" s="21">
        <f t="shared" si="0"/>
        <v>5.382595648912214E-2</v>
      </c>
      <c r="K20" s="45">
        <f>(I20-H20)*100</f>
        <v>2.8699999999999948</v>
      </c>
      <c r="L20" s="21">
        <f t="shared" si="2"/>
        <v>0.23007880910682998</v>
      </c>
      <c r="M20" s="45">
        <f>(I20-E20)*100</f>
        <v>10.509999999999998</v>
      </c>
      <c r="N20" s="22"/>
    </row>
    <row r="21" spans="2:14" x14ac:dyDescent="0.25">
      <c r="B21" s="272"/>
      <c r="C21" s="282"/>
      <c r="D21" s="23" t="s">
        <v>32</v>
      </c>
      <c r="E21" s="25" t="s">
        <v>229</v>
      </c>
      <c r="F21" s="25" t="s">
        <v>229</v>
      </c>
      <c r="G21" s="25" t="s">
        <v>229</v>
      </c>
      <c r="H21" s="25" t="s">
        <v>229</v>
      </c>
      <c r="I21" s="25" t="s">
        <v>229</v>
      </c>
      <c r="J21" s="25" t="str">
        <f>IFERROR(I21/H21-1,"-")</f>
        <v>-</v>
      </c>
      <c r="K21" s="24" t="str">
        <f>IFERROR(I21-H21,"-")</f>
        <v>-</v>
      </c>
      <c r="L21" s="25" t="str">
        <f>IFERROR(I21/E21-1,"-")</f>
        <v>-</v>
      </c>
      <c r="M21" s="24" t="str">
        <f>IFERROR(I21-E21,"-")</f>
        <v>-</v>
      </c>
      <c r="N21" s="46"/>
    </row>
    <row r="22" spans="2:14" x14ac:dyDescent="0.25">
      <c r="B22" s="272"/>
      <c r="C22" s="283" t="s">
        <v>35</v>
      </c>
      <c r="D22" s="26" t="s">
        <v>30</v>
      </c>
      <c r="E22" s="27">
        <v>584</v>
      </c>
      <c r="F22" s="27">
        <v>625</v>
      </c>
      <c r="G22" s="27">
        <v>663</v>
      </c>
      <c r="H22" s="27">
        <v>663</v>
      </c>
      <c r="I22" s="27">
        <v>673</v>
      </c>
      <c r="J22" s="36">
        <f>I22/H22-1</f>
        <v>1.5082956259426794E-2</v>
      </c>
      <c r="K22" s="27">
        <f>I22-H22</f>
        <v>10</v>
      </c>
      <c r="L22" s="36">
        <f>I22/E22-1</f>
        <v>0.15239726027397271</v>
      </c>
      <c r="M22" s="27">
        <f>I22-E22</f>
        <v>89</v>
      </c>
      <c r="N22" s="38">
        <f>I22/$I$22</f>
        <v>1</v>
      </c>
    </row>
    <row r="23" spans="2:14" x14ac:dyDescent="0.25">
      <c r="B23" s="272"/>
      <c r="C23" s="284"/>
      <c r="D23" s="4" t="s">
        <v>31</v>
      </c>
      <c r="E23" s="29">
        <v>584</v>
      </c>
      <c r="F23" s="29">
        <v>625</v>
      </c>
      <c r="G23" s="29">
        <v>663</v>
      </c>
      <c r="H23" s="29">
        <v>663</v>
      </c>
      <c r="I23" s="29">
        <v>673</v>
      </c>
      <c r="J23" s="40">
        <f>I23/H23-1</f>
        <v>1.5082956259426794E-2</v>
      </c>
      <c r="K23" s="29">
        <f>I23-H23</f>
        <v>10</v>
      </c>
      <c r="L23" s="40">
        <f>I23/E23-1</f>
        <v>0.15239726027397271</v>
      </c>
      <c r="M23" s="29">
        <f>I23-E23</f>
        <v>89</v>
      </c>
      <c r="N23" s="42">
        <f>I23/$I$22</f>
        <v>1</v>
      </c>
    </row>
    <row r="24" spans="2:14" x14ac:dyDescent="0.25">
      <c r="B24" s="273"/>
      <c r="C24" s="285"/>
      <c r="D24" s="32" t="s">
        <v>32</v>
      </c>
      <c r="E24" s="33" t="s">
        <v>229</v>
      </c>
      <c r="F24" s="33" t="s">
        <v>229</v>
      </c>
      <c r="G24" s="33" t="s">
        <v>229</v>
      </c>
      <c r="H24" s="33" t="s">
        <v>229</v>
      </c>
      <c r="I24" s="33" t="s">
        <v>229</v>
      </c>
      <c r="J24" s="34" t="str">
        <f>IFERROR(I24/H24-1,"-")</f>
        <v>-</v>
      </c>
      <c r="K24" s="33" t="str">
        <f>IFERROR(I24-H24,"-")</f>
        <v>-</v>
      </c>
      <c r="L24" s="34" t="str">
        <f>IFERROR(I24/E24-1,"-")</f>
        <v>-</v>
      </c>
      <c r="M24" s="33" t="str">
        <f>IFERROR(I24-E24,"-")</f>
        <v>-</v>
      </c>
      <c r="N24" s="34" t="str">
        <f>IFERROR(I24/$I$22,"-")</f>
        <v>-</v>
      </c>
    </row>
    <row r="25" spans="2:14" ht="7.5" customHeight="1" x14ac:dyDescent="0.25">
      <c r="B25" s="267"/>
      <c r="C25" s="267"/>
      <c r="D25" s="267"/>
      <c r="E25" s="267"/>
      <c r="F25" s="267"/>
      <c r="G25" s="267"/>
      <c r="H25" s="267"/>
      <c r="I25" s="267"/>
      <c r="J25" s="267"/>
      <c r="K25" s="267"/>
      <c r="L25" s="267"/>
      <c r="M25" s="267"/>
      <c r="N25" s="47"/>
    </row>
    <row r="26" spans="2:14" ht="24.75" customHeight="1" x14ac:dyDescent="0.25">
      <c r="B26" s="268" t="s">
        <v>36</v>
      </c>
      <c r="C26" s="269"/>
      <c r="D26" s="269"/>
      <c r="E26" s="269"/>
      <c r="F26" s="269"/>
      <c r="G26" s="269"/>
      <c r="H26" s="269"/>
      <c r="I26" s="269"/>
      <c r="J26" s="269"/>
      <c r="K26" s="269"/>
      <c r="L26" s="269"/>
      <c r="M26" s="269"/>
    </row>
    <row r="29" spans="2:14" ht="21.75" customHeight="1" thickBot="1" x14ac:dyDescent="0.3">
      <c r="B29" s="270" t="s">
        <v>223</v>
      </c>
      <c r="C29" s="270"/>
      <c r="D29" s="270"/>
      <c r="E29" s="270"/>
      <c r="F29" s="270"/>
      <c r="G29" s="270"/>
      <c r="H29" s="270"/>
      <c r="I29" s="270"/>
      <c r="J29" s="270"/>
      <c r="K29" s="270"/>
      <c r="L29" s="270"/>
      <c r="M29" s="270"/>
      <c r="N29" s="12"/>
    </row>
    <row r="30" spans="2:14" ht="6" customHeight="1" thickBot="1" x14ac:dyDescent="0.3"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</row>
    <row r="31" spans="2:14" ht="75" x14ac:dyDescent="0.25">
      <c r="B31" s="4"/>
      <c r="C31" s="4"/>
      <c r="D31" s="4"/>
      <c r="E31" s="13" t="s">
        <v>230</v>
      </c>
      <c r="F31" s="13" t="s">
        <v>231</v>
      </c>
      <c r="G31" s="13" t="s">
        <v>232</v>
      </c>
      <c r="H31" s="13" t="s">
        <v>233</v>
      </c>
      <c r="I31" s="13" t="s">
        <v>234</v>
      </c>
      <c r="J31" s="14" t="str">
        <f>CONCATENATE("var. ",RIGHT(I31,2),"/",RIGHT(H31,2))</f>
        <v>var. 24/23</v>
      </c>
      <c r="K31" s="14" t="str">
        <f>CONCATENATE("dif. ",RIGHT(I31,2),"/",RIGHT(H31,2))</f>
        <v>dif. 24/23</v>
      </c>
      <c r="L31" s="14" t="str">
        <f>CONCATENATE("var. ",RIGHT(I31,2),"/",RIGHT(E31,2))</f>
        <v>var. 24/19</v>
      </c>
      <c r="M31" s="14" t="str">
        <f>CONCATENATE("dif. ",RIGHT(I31,2),"/",RIGHT(E31,2))</f>
        <v>dif. 24/19</v>
      </c>
      <c r="N31" s="14" t="str">
        <f>CONCATENATE("cuota ",I31)</f>
        <v>cuota acumulado a septiembre 2024</v>
      </c>
    </row>
    <row r="32" spans="2:14" ht="15" customHeight="1" x14ac:dyDescent="0.25">
      <c r="B32" s="271" t="s">
        <v>49</v>
      </c>
      <c r="C32" s="274" t="s">
        <v>8</v>
      </c>
      <c r="D32" s="15" t="s">
        <v>30</v>
      </c>
      <c r="E32" s="49">
        <v>39423</v>
      </c>
      <c r="F32" s="49">
        <v>21073</v>
      </c>
      <c r="G32" s="49">
        <v>37456</v>
      </c>
      <c r="H32" s="49">
        <v>44189</v>
      </c>
      <c r="I32" s="49">
        <v>41777</v>
      </c>
      <c r="J32" s="17">
        <f>I32/H32-1</f>
        <v>-5.4583719930299424E-2</v>
      </c>
      <c r="K32" s="16">
        <f>I32-H32</f>
        <v>-2412</v>
      </c>
      <c r="L32" s="17">
        <f>I32/E32-1</f>
        <v>5.9711336022119088E-2</v>
      </c>
      <c r="M32" s="16">
        <f>I32-E32</f>
        <v>2354</v>
      </c>
      <c r="N32" s="18">
        <f>I32/$I$32</f>
        <v>1</v>
      </c>
    </row>
    <row r="33" spans="1:14" x14ac:dyDescent="0.25">
      <c r="B33" s="272"/>
      <c r="C33" s="275"/>
      <c r="D33" s="19" t="s">
        <v>31</v>
      </c>
      <c r="E33" s="50">
        <v>39423</v>
      </c>
      <c r="F33" s="50">
        <v>21073</v>
      </c>
      <c r="G33" s="50">
        <v>37456</v>
      </c>
      <c r="H33" s="50">
        <v>44189</v>
      </c>
      <c r="I33" s="50">
        <v>41777</v>
      </c>
      <c r="J33" s="21">
        <f t="shared" ref="J33:J45" si="6">I33/H33-1</f>
        <v>-5.4583719930299424E-2</v>
      </c>
      <c r="K33" s="20">
        <f t="shared" ref="K33:K42" si="7">I33-H33</f>
        <v>-2412</v>
      </c>
      <c r="L33" s="21">
        <f t="shared" ref="L33:L45" si="8">I33/E33-1</f>
        <v>5.9711336022119088E-2</v>
      </c>
      <c r="M33" s="20">
        <f t="shared" ref="M33:M42" si="9">I33-E33</f>
        <v>2354</v>
      </c>
      <c r="N33" s="22">
        <f>I33/$I$32</f>
        <v>1</v>
      </c>
    </row>
    <row r="34" spans="1:14" x14ac:dyDescent="0.25">
      <c r="B34" s="272"/>
      <c r="C34" s="276"/>
      <c r="D34" s="23" t="s">
        <v>32</v>
      </c>
      <c r="E34" s="24" t="s">
        <v>229</v>
      </c>
      <c r="F34" s="24" t="s">
        <v>229</v>
      </c>
      <c r="G34" s="24" t="s">
        <v>229</v>
      </c>
      <c r="H34" s="24" t="s">
        <v>229</v>
      </c>
      <c r="I34" s="24" t="s">
        <v>229</v>
      </c>
      <c r="J34" s="25" t="str">
        <f>IFERROR(I34/H34-1,"-")</f>
        <v>-</v>
      </c>
      <c r="K34" s="24" t="str">
        <f>IFERROR(I34-H34,"-")</f>
        <v>-</v>
      </c>
      <c r="L34" s="25" t="str">
        <f>IFERROR(I34/E34-1,"-")</f>
        <v>-</v>
      </c>
      <c r="M34" s="24" t="str">
        <f>IFERROR(I34-E34,"-")</f>
        <v>-</v>
      </c>
      <c r="N34" s="25" t="str">
        <f>IFERROR(I34/I32,"-")</f>
        <v>-</v>
      </c>
    </row>
    <row r="35" spans="1:14" x14ac:dyDescent="0.25">
      <c r="B35" s="272"/>
      <c r="C35" s="277" t="s">
        <v>33</v>
      </c>
      <c r="D35" s="26" t="s">
        <v>30</v>
      </c>
      <c r="E35" s="51">
        <v>41336</v>
      </c>
      <c r="F35" s="51">
        <v>21851</v>
      </c>
      <c r="G35" s="51">
        <v>39143</v>
      </c>
      <c r="H35" s="51">
        <v>46340</v>
      </c>
      <c r="I35" s="51">
        <v>43855</v>
      </c>
      <c r="J35" s="28">
        <f t="shared" si="6"/>
        <v>-5.3625377643504502E-2</v>
      </c>
      <c r="K35" s="27">
        <f t="shared" si="7"/>
        <v>-2485</v>
      </c>
      <c r="L35" s="28">
        <f t="shared" si="8"/>
        <v>6.0939616798916241E-2</v>
      </c>
      <c r="M35" s="27">
        <f t="shared" si="9"/>
        <v>2519</v>
      </c>
      <c r="N35" s="18">
        <f>I35/$I$35</f>
        <v>1</v>
      </c>
    </row>
    <row r="36" spans="1:14" x14ac:dyDescent="0.25">
      <c r="B36" s="272"/>
      <c r="C36" s="278"/>
      <c r="D36" s="4" t="s">
        <v>31</v>
      </c>
      <c r="E36" s="52">
        <v>41336</v>
      </c>
      <c r="F36" s="52">
        <v>21851</v>
      </c>
      <c r="G36" s="52">
        <v>39143</v>
      </c>
      <c r="H36" s="52">
        <v>46340</v>
      </c>
      <c r="I36" s="52">
        <v>43855</v>
      </c>
      <c r="J36" s="30">
        <f t="shared" si="6"/>
        <v>-5.3625377643504502E-2</v>
      </c>
      <c r="K36" s="29">
        <f t="shared" si="7"/>
        <v>-2485</v>
      </c>
      <c r="L36" s="30">
        <f t="shared" si="8"/>
        <v>6.0939616798916241E-2</v>
      </c>
      <c r="M36" s="29">
        <f t="shared" si="9"/>
        <v>2519</v>
      </c>
      <c r="N36" s="31">
        <f>I36/$I$35</f>
        <v>1</v>
      </c>
    </row>
    <row r="37" spans="1:14" x14ac:dyDescent="0.25">
      <c r="B37" s="272"/>
      <c r="C37" s="279"/>
      <c r="D37" s="32" t="s">
        <v>32</v>
      </c>
      <c r="E37" s="33" t="s">
        <v>229</v>
      </c>
      <c r="F37" s="33" t="s">
        <v>229</v>
      </c>
      <c r="G37" s="33" t="s">
        <v>229</v>
      </c>
      <c r="H37" s="33" t="s">
        <v>229</v>
      </c>
      <c r="I37" s="33" t="s">
        <v>229</v>
      </c>
      <c r="J37" s="34" t="str">
        <f>IFERROR(I37/H37-1,"-")</f>
        <v>-</v>
      </c>
      <c r="K37" s="33" t="str">
        <f>IFERROR(I37-H37,"-")</f>
        <v>-</v>
      </c>
      <c r="L37" s="34" t="str">
        <f>IFERROR(I37/E37-1,"-")</f>
        <v>-</v>
      </c>
      <c r="M37" s="33" t="str">
        <f>IFERROR(I37-E37,"-")</f>
        <v>-</v>
      </c>
      <c r="N37" s="34" t="str">
        <f>IFERROR(I37/I35,"-")</f>
        <v>-</v>
      </c>
    </row>
    <row r="38" spans="1:14" x14ac:dyDescent="0.25">
      <c r="B38" s="272"/>
      <c r="C38" s="274" t="s">
        <v>21</v>
      </c>
      <c r="D38" s="15" t="s">
        <v>30</v>
      </c>
      <c r="E38" s="49">
        <v>98308</v>
      </c>
      <c r="F38" s="49">
        <v>49897</v>
      </c>
      <c r="G38" s="49">
        <v>100995</v>
      </c>
      <c r="H38" s="49">
        <v>112147</v>
      </c>
      <c r="I38" s="49">
        <v>111822</v>
      </c>
      <c r="J38" s="17">
        <f t="shared" si="6"/>
        <v>-2.8979821127627092E-3</v>
      </c>
      <c r="K38" s="16">
        <f t="shared" si="7"/>
        <v>-325</v>
      </c>
      <c r="L38" s="17">
        <f t="shared" si="8"/>
        <v>0.13746592342433983</v>
      </c>
      <c r="M38" s="16">
        <f t="shared" si="9"/>
        <v>13514</v>
      </c>
      <c r="N38" s="18">
        <f>I38/$I$38</f>
        <v>1</v>
      </c>
    </row>
    <row r="39" spans="1:14" x14ac:dyDescent="0.25">
      <c r="B39" s="272"/>
      <c r="C39" s="275"/>
      <c r="D39" s="19" t="s">
        <v>31</v>
      </c>
      <c r="E39" s="50">
        <v>98308</v>
      </c>
      <c r="F39" s="50">
        <v>49897</v>
      </c>
      <c r="G39" s="50">
        <v>100995</v>
      </c>
      <c r="H39" s="50">
        <v>112147</v>
      </c>
      <c r="I39" s="50">
        <v>111822</v>
      </c>
      <c r="J39" s="21">
        <f t="shared" si="6"/>
        <v>-2.8979821127627092E-3</v>
      </c>
      <c r="K39" s="20">
        <f t="shared" si="7"/>
        <v>-325</v>
      </c>
      <c r="L39" s="21">
        <f t="shared" si="8"/>
        <v>0.13746592342433983</v>
      </c>
      <c r="M39" s="20">
        <f t="shared" si="9"/>
        <v>13514</v>
      </c>
      <c r="N39" s="22">
        <f>I39/$I$38</f>
        <v>1</v>
      </c>
    </row>
    <row r="40" spans="1:14" x14ac:dyDescent="0.25">
      <c r="B40" s="272"/>
      <c r="C40" s="276"/>
      <c r="D40" s="23" t="s">
        <v>32</v>
      </c>
      <c r="E40" s="24" t="s">
        <v>229</v>
      </c>
      <c r="F40" s="24" t="s">
        <v>229</v>
      </c>
      <c r="G40" s="24" t="s">
        <v>229</v>
      </c>
      <c r="H40" s="24" t="s">
        <v>229</v>
      </c>
      <c r="I40" s="24" t="s">
        <v>229</v>
      </c>
      <c r="J40" s="25" t="str">
        <f>IFERROR(I40/H40-1,"-")</f>
        <v>-</v>
      </c>
      <c r="K40" s="24" t="str">
        <f>IFERROR(I40-H40,"-")</f>
        <v>-</v>
      </c>
      <c r="L40" s="25" t="str">
        <f>IFERROR(I40/E40-1,"-")</f>
        <v>-</v>
      </c>
      <c r="M40" s="24" t="str">
        <f>IFERROR(I40-E40,"-")</f>
        <v>-</v>
      </c>
      <c r="N40" s="25" t="str">
        <f>IFERROR(I40/I38,"-")</f>
        <v>-</v>
      </c>
    </row>
    <row r="41" spans="1:14" x14ac:dyDescent="0.25">
      <c r="B41" s="272"/>
      <c r="C41" s="277" t="s">
        <v>22</v>
      </c>
      <c r="D41" s="26" t="s">
        <v>30</v>
      </c>
      <c r="E41" s="53">
        <v>2.4936712071633309</v>
      </c>
      <c r="F41" s="53">
        <v>2.3678166374033123</v>
      </c>
      <c r="G41" s="53">
        <v>2.6963637334472446</v>
      </c>
      <c r="H41" s="53">
        <v>2.5378940460295549</v>
      </c>
      <c r="I41" s="53">
        <v>2.6766402566005216</v>
      </c>
      <c r="J41" s="36">
        <f t="shared" si="6"/>
        <v>5.4669819958808041E-2</v>
      </c>
      <c r="K41" s="37">
        <f t="shared" si="7"/>
        <v>0.1387462105709667</v>
      </c>
      <c r="L41" s="36">
        <f t="shared" si="8"/>
        <v>7.3373365707392724E-2</v>
      </c>
      <c r="M41" s="37">
        <f t="shared" si="9"/>
        <v>0.18296904943719072</v>
      </c>
      <c r="N41" s="38"/>
    </row>
    <row r="42" spans="1:14" x14ac:dyDescent="0.25">
      <c r="B42" s="272"/>
      <c r="C42" s="278"/>
      <c r="D42" s="4" t="s">
        <v>31</v>
      </c>
      <c r="E42" s="54">
        <f t="shared" ref="E42:I42" si="10">E39/E33</f>
        <v>2.4936712071633309</v>
      </c>
      <c r="F42" s="54">
        <f t="shared" si="10"/>
        <v>2.3678166374033123</v>
      </c>
      <c r="G42" s="54">
        <f t="shared" si="10"/>
        <v>2.6963637334472446</v>
      </c>
      <c r="H42" s="54">
        <f t="shared" si="10"/>
        <v>2.5378940460295549</v>
      </c>
      <c r="I42" s="54">
        <f t="shared" si="10"/>
        <v>2.6766402566005216</v>
      </c>
      <c r="J42" s="40">
        <f t="shared" si="6"/>
        <v>5.4669819958808041E-2</v>
      </c>
      <c r="K42" s="41">
        <f t="shared" si="7"/>
        <v>0.1387462105709667</v>
      </c>
      <c r="L42" s="40">
        <f t="shared" si="8"/>
        <v>7.3373365707392724E-2</v>
      </c>
      <c r="M42" s="41">
        <f t="shared" si="9"/>
        <v>0.18296904943719072</v>
      </c>
      <c r="N42" s="42"/>
    </row>
    <row r="43" spans="1:14" x14ac:dyDescent="0.25">
      <c r="B43" s="272"/>
      <c r="C43" s="279"/>
      <c r="D43" s="32" t="s">
        <v>32</v>
      </c>
      <c r="E43" s="43" t="str">
        <f>IFERROR(E40/E34,"-")</f>
        <v>-</v>
      </c>
      <c r="F43" s="43" t="str">
        <f t="shared" ref="F43:I43" si="11">IFERROR(F40/F34,"-")</f>
        <v>-</v>
      </c>
      <c r="G43" s="43" t="str">
        <f t="shared" si="11"/>
        <v>-</v>
      </c>
      <c r="H43" s="43" t="str">
        <f t="shared" si="11"/>
        <v>-</v>
      </c>
      <c r="I43" s="43" t="str">
        <f t="shared" si="11"/>
        <v>-</v>
      </c>
      <c r="J43" s="34" t="str">
        <f>IFERROR(I43/H43-1,"-")</f>
        <v>-</v>
      </c>
      <c r="K43" s="33" t="str">
        <f>IFERROR(I43-H43,"-")</f>
        <v>-</v>
      </c>
      <c r="L43" s="34" t="str">
        <f>IFERROR(I43/E43-1,"-")</f>
        <v>-</v>
      </c>
      <c r="M43" s="33" t="str">
        <f>IFERROR(I43-E43,"-")</f>
        <v>-</v>
      </c>
      <c r="N43" s="55"/>
    </row>
    <row r="44" spans="1:14" x14ac:dyDescent="0.25">
      <c r="A44" s="56"/>
      <c r="B44" s="272"/>
      <c r="C44" s="280" t="s">
        <v>34</v>
      </c>
      <c r="D44" s="15" t="s">
        <v>30</v>
      </c>
      <c r="E44" s="57">
        <v>0.52090332015726504</v>
      </c>
      <c r="F44" s="57">
        <v>0.36499762261804614</v>
      </c>
      <c r="G44" s="57">
        <v>0.56873278935009208</v>
      </c>
      <c r="H44" s="57">
        <v>0.62226451526988635</v>
      </c>
      <c r="I44" s="57">
        <v>0.60640340126462833</v>
      </c>
      <c r="J44" s="57">
        <f t="shared" si="6"/>
        <v>-2.5489343544487397E-2</v>
      </c>
      <c r="K44" s="44">
        <f>(I44-H44)*100</f>
        <v>-1.5861114005258026</v>
      </c>
      <c r="L44" s="17">
        <f t="shared" si="8"/>
        <v>0.16413809971790938</v>
      </c>
      <c r="M44" s="44">
        <f>(I44-E44)*100</f>
        <v>8.5500081107363286</v>
      </c>
      <c r="N44" s="18"/>
    </row>
    <row r="45" spans="1:14" x14ac:dyDescent="0.25">
      <c r="B45" s="272"/>
      <c r="C45" s="281"/>
      <c r="D45" s="19" t="s">
        <v>31</v>
      </c>
      <c r="E45" s="58">
        <v>0.52090332015726504</v>
      </c>
      <c r="F45" s="58">
        <v>0.36499762261804614</v>
      </c>
      <c r="G45" s="58">
        <v>0.56873278935009208</v>
      </c>
      <c r="H45" s="58">
        <v>0.62226451526988635</v>
      </c>
      <c r="I45" s="58">
        <v>0.60640340126462833</v>
      </c>
      <c r="J45" s="58">
        <f t="shared" si="6"/>
        <v>-2.5489343544487397E-2</v>
      </c>
      <c r="K45" s="45">
        <f>(I45-H45)*100</f>
        <v>-1.5861114005258026</v>
      </c>
      <c r="L45" s="21">
        <f t="shared" si="8"/>
        <v>0.16413809971790938</v>
      </c>
      <c r="M45" s="45">
        <f>(I45-E45)*100</f>
        <v>8.5500081107363286</v>
      </c>
      <c r="N45" s="22"/>
    </row>
    <row r="46" spans="1:14" x14ac:dyDescent="0.25">
      <c r="B46" s="272"/>
      <c r="C46" s="282"/>
      <c r="D46" s="23" t="s">
        <v>32</v>
      </c>
      <c r="E46" s="59" t="s">
        <v>229</v>
      </c>
      <c r="F46" s="59" t="s">
        <v>229</v>
      </c>
      <c r="G46" s="59" t="s">
        <v>229</v>
      </c>
      <c r="H46" s="59" t="s">
        <v>229</v>
      </c>
      <c r="I46" s="59" t="s">
        <v>229</v>
      </c>
      <c r="J46" s="25" t="str">
        <f>IFERROR(I46/H46-1,"-")</f>
        <v>-</v>
      </c>
      <c r="K46" s="24" t="str">
        <f>IFERROR(I46-H46,"-")</f>
        <v>-</v>
      </c>
      <c r="L46" s="25" t="str">
        <f>IFERROR(I46/E46-1,"-")</f>
        <v>-</v>
      </c>
      <c r="M46" s="24" t="str">
        <f>IFERROR(I46-E46,"-")</f>
        <v>-</v>
      </c>
      <c r="N46" s="46"/>
    </row>
    <row r="47" spans="1:14" x14ac:dyDescent="0.25">
      <c r="B47" s="272"/>
      <c r="C47" s="283" t="s">
        <v>37</v>
      </c>
      <c r="D47" s="26" t="s">
        <v>30</v>
      </c>
      <c r="E47" s="51">
        <v>691.77777777777783</v>
      </c>
      <c r="F47" s="51">
        <v>500.55555555555554</v>
      </c>
      <c r="G47" s="51">
        <v>650.33333333333337</v>
      </c>
      <c r="H47" s="51">
        <v>660.22222222222217</v>
      </c>
      <c r="I47" s="51">
        <v>673</v>
      </c>
      <c r="J47" s="36">
        <f>I47/H47-1</f>
        <v>1.9353752945136415E-2</v>
      </c>
      <c r="K47" s="27">
        <f>I47-H47</f>
        <v>12.777777777777828</v>
      </c>
      <c r="L47" s="36">
        <f>I47/E47-1</f>
        <v>-2.7144233858014899E-2</v>
      </c>
      <c r="M47" s="27">
        <f>I47-E47</f>
        <v>-18.777777777777828</v>
      </c>
      <c r="N47" s="38">
        <f>I47/$I$22</f>
        <v>1</v>
      </c>
    </row>
    <row r="48" spans="1:14" x14ac:dyDescent="0.25">
      <c r="B48" s="272"/>
      <c r="C48" s="278"/>
      <c r="D48" s="4" t="s">
        <v>31</v>
      </c>
      <c r="E48" s="52">
        <v>691.77777777777783</v>
      </c>
      <c r="F48" s="52">
        <v>500.55555555555554</v>
      </c>
      <c r="G48" s="52">
        <v>650.33333333333337</v>
      </c>
      <c r="H48" s="52">
        <v>660.22222222222217</v>
      </c>
      <c r="I48" s="52">
        <v>673</v>
      </c>
      <c r="J48" s="40">
        <f>I48/H48-1</f>
        <v>1.9353752945136415E-2</v>
      </c>
      <c r="K48" s="29">
        <f>I48-H48</f>
        <v>12.777777777777828</v>
      </c>
      <c r="L48" s="40">
        <f>I48/E48-1</f>
        <v>-2.7144233858014899E-2</v>
      </c>
      <c r="M48" s="29">
        <f>I48-E48</f>
        <v>-18.777777777777828</v>
      </c>
      <c r="N48" s="42">
        <f>I48/$I$22</f>
        <v>1</v>
      </c>
    </row>
    <row r="49" spans="2:14" x14ac:dyDescent="0.25">
      <c r="B49" s="273"/>
      <c r="C49" s="279"/>
      <c r="D49" s="32" t="s">
        <v>32</v>
      </c>
      <c r="E49" s="33" t="e">
        <v>#REF!</v>
      </c>
      <c r="F49" s="33" t="e">
        <v>#REF!</v>
      </c>
      <c r="G49" s="33" t="e">
        <v>#REF!</v>
      </c>
      <c r="H49" s="33" t="e">
        <v>#REF!</v>
      </c>
      <c r="I49" s="33" t="e">
        <v>#REF!</v>
      </c>
      <c r="J49" s="34" t="str">
        <f>IFERROR(I49/H49-1,"-")</f>
        <v>-</v>
      </c>
      <c r="K49" s="33" t="str">
        <f>IFERROR(I49-H49,"-")</f>
        <v>-</v>
      </c>
      <c r="L49" s="34" t="str">
        <f>IFERROR(I49/E49-1,"-")</f>
        <v>-</v>
      </c>
      <c r="M49" s="33" t="str">
        <f>IFERROR(I49-E49,"-")</f>
        <v>-</v>
      </c>
      <c r="N49" s="34" t="str">
        <f>IFERROR(I49/I47,"-")</f>
        <v>-</v>
      </c>
    </row>
    <row r="50" spans="2:14" ht="6" customHeight="1" x14ac:dyDescent="0.25">
      <c r="B50" s="267"/>
      <c r="C50" s="267"/>
      <c r="D50" s="267"/>
      <c r="E50" s="267"/>
      <c r="F50" s="267"/>
      <c r="G50" s="267"/>
      <c r="H50" s="267"/>
      <c r="I50" s="267"/>
      <c r="J50" s="267"/>
      <c r="K50" s="267"/>
      <c r="L50" s="267"/>
      <c r="M50" s="267"/>
      <c r="N50" s="47"/>
    </row>
    <row r="51" spans="2:14" ht="28.5" customHeight="1" x14ac:dyDescent="0.25">
      <c r="B51" s="268" t="s">
        <v>38</v>
      </c>
      <c r="C51" s="269"/>
      <c r="D51" s="269"/>
      <c r="E51" s="269"/>
      <c r="F51" s="269"/>
      <c r="G51" s="269"/>
      <c r="H51" s="269"/>
      <c r="I51" s="269"/>
      <c r="J51" s="269"/>
      <c r="K51" s="269"/>
      <c r="L51" s="269"/>
      <c r="M51" s="269"/>
    </row>
    <row r="52" spans="2:14" x14ac:dyDescent="0.25">
      <c r="B52" s="60"/>
    </row>
    <row r="54" spans="2:14" ht="21.75" thickBot="1" x14ac:dyDescent="0.3">
      <c r="B54" s="270" t="s">
        <v>223</v>
      </c>
      <c r="C54" s="270"/>
      <c r="D54" s="270"/>
      <c r="E54" s="270"/>
      <c r="F54" s="270"/>
      <c r="G54" s="270"/>
      <c r="H54" s="270"/>
      <c r="I54" s="270"/>
      <c r="J54" s="270"/>
      <c r="K54" s="270"/>
      <c r="L54" s="270"/>
      <c r="M54" s="270"/>
      <c r="N54" s="12"/>
    </row>
    <row r="55" spans="2:14" ht="15.75" thickBot="1" x14ac:dyDescent="0.3"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</row>
    <row r="56" spans="2:14" x14ac:dyDescent="0.25">
      <c r="B56" s="4"/>
      <c r="C56" s="4"/>
      <c r="D56" s="4"/>
      <c r="E56" s="14">
        <v>2019</v>
      </c>
      <c r="F56" s="14">
        <v>2020</v>
      </c>
      <c r="G56" s="14">
        <v>2021</v>
      </c>
      <c r="H56" s="14">
        <v>2022</v>
      </c>
      <c r="I56" s="14">
        <v>2023</v>
      </c>
      <c r="J56" s="14" t="str">
        <f>CONCATENATE("var. ",RIGHT(I56,2),"/",RIGHT(H56,2))</f>
        <v>var. 23/22</v>
      </c>
      <c r="K56" s="14" t="str">
        <f>CONCATENATE("dif. ",RIGHT(I56,2),"/",RIGHT(H56,2))</f>
        <v>dif. 23/22</v>
      </c>
      <c r="L56" s="14" t="str">
        <f>CONCATENATE("var. ",RIGHT(I56,2),"/",RIGHT(E56,2))</f>
        <v>var. 23/19</v>
      </c>
      <c r="M56" s="14" t="str">
        <f>CONCATENATE("dif. ",RIGHT(I56,2),"/",RIGHT(E56,2))</f>
        <v>dif. 23/19</v>
      </c>
      <c r="N56" s="14" t="str">
        <f>CONCATENATE("cuota ",I56)</f>
        <v>cuota 2023</v>
      </c>
    </row>
    <row r="57" spans="2:14" x14ac:dyDescent="0.25">
      <c r="B57" s="271" t="s">
        <v>49</v>
      </c>
      <c r="C57" s="274" t="s">
        <v>8</v>
      </c>
      <c r="D57" s="15" t="s">
        <v>30</v>
      </c>
      <c r="E57" s="49">
        <v>55887</v>
      </c>
      <c r="F57" s="49">
        <v>24221</v>
      </c>
      <c r="G57" s="49">
        <v>33444</v>
      </c>
      <c r="H57" s="49">
        <v>51485</v>
      </c>
      <c r="I57" s="49">
        <v>58157</v>
      </c>
      <c r="J57" s="17">
        <f t="shared" ref="J57:J73" si="12">I57/H57-1</f>
        <v>0.12959114305137409</v>
      </c>
      <c r="K57" s="16">
        <f t="shared" ref="K57:K73" si="13">I57-H57</f>
        <v>6672</v>
      </c>
      <c r="L57" s="17">
        <f t="shared" ref="L57:L73" si="14">I57/E57-1</f>
        <v>4.0617674951240801E-2</v>
      </c>
      <c r="M57" s="16">
        <f t="shared" ref="M57:M73" si="15">I57-E57</f>
        <v>2270</v>
      </c>
      <c r="N57" s="17">
        <f>I57/$I$57</f>
        <v>1</v>
      </c>
    </row>
    <row r="58" spans="2:14" x14ac:dyDescent="0.25">
      <c r="B58" s="272"/>
      <c r="C58" s="275"/>
      <c r="D58" s="19" t="s">
        <v>31</v>
      </c>
      <c r="E58" s="50">
        <v>55887</v>
      </c>
      <c r="F58" s="50">
        <v>24221</v>
      </c>
      <c r="G58" s="50">
        <v>33444</v>
      </c>
      <c r="H58" s="50">
        <v>51485</v>
      </c>
      <c r="I58" s="50">
        <v>58157</v>
      </c>
      <c r="J58" s="21">
        <f t="shared" si="12"/>
        <v>0.12959114305137409</v>
      </c>
      <c r="K58" s="20">
        <f t="shared" si="13"/>
        <v>6672</v>
      </c>
      <c r="L58" s="21">
        <f t="shared" si="14"/>
        <v>4.0617674951240801E-2</v>
      </c>
      <c r="M58" s="20">
        <f t="shared" si="15"/>
        <v>2270</v>
      </c>
      <c r="N58" s="21">
        <f t="shared" ref="N58" si="16">I58/$I$57</f>
        <v>1</v>
      </c>
    </row>
    <row r="59" spans="2:14" x14ac:dyDescent="0.25">
      <c r="B59" s="272"/>
      <c r="C59" s="276"/>
      <c r="D59" s="23" t="s">
        <v>32</v>
      </c>
      <c r="E59" s="24" t="s">
        <v>229</v>
      </c>
      <c r="F59" s="24" t="s">
        <v>229</v>
      </c>
      <c r="G59" s="24" t="s">
        <v>229</v>
      </c>
      <c r="H59" s="24" t="s">
        <v>229</v>
      </c>
      <c r="I59" s="24" t="s">
        <v>229</v>
      </c>
      <c r="J59" s="25" t="str">
        <f>IFERROR(I59/H59-1,"-")</f>
        <v>-</v>
      </c>
      <c r="K59" s="24" t="str">
        <f>IFERROR(I59-H59,"-")</f>
        <v>-</v>
      </c>
      <c r="L59" s="25" t="str">
        <f>IFERROR(I59/E59-1,"-")</f>
        <v>-</v>
      </c>
      <c r="M59" s="24" t="str">
        <f>IFERROR(I59-E59,"-")</f>
        <v>-</v>
      </c>
      <c r="N59" s="25" t="str">
        <f>IFERROR(I59/I57,"-")</f>
        <v>-</v>
      </c>
    </row>
    <row r="60" spans="2:14" x14ac:dyDescent="0.25">
      <c r="B60" s="272"/>
      <c r="C60" s="277" t="s">
        <v>33</v>
      </c>
      <c r="D60" s="26" t="s">
        <v>30</v>
      </c>
      <c r="E60" s="51">
        <v>55887</v>
      </c>
      <c r="F60" s="51">
        <v>24221</v>
      </c>
      <c r="G60" s="51">
        <v>33444</v>
      </c>
      <c r="H60" s="51">
        <v>51485</v>
      </c>
      <c r="I60" s="51">
        <v>58157</v>
      </c>
      <c r="J60" s="36">
        <f t="shared" si="12"/>
        <v>0.12959114305137409</v>
      </c>
      <c r="K60" s="51">
        <f t="shared" si="13"/>
        <v>6672</v>
      </c>
      <c r="L60" s="36">
        <f t="shared" si="14"/>
        <v>4.0617674951240801E-2</v>
      </c>
      <c r="M60" s="51">
        <f t="shared" si="15"/>
        <v>2270</v>
      </c>
      <c r="N60" s="36">
        <f>I60/$I$60</f>
        <v>1</v>
      </c>
    </row>
    <row r="61" spans="2:14" x14ac:dyDescent="0.25">
      <c r="B61" s="272"/>
      <c r="C61" s="278"/>
      <c r="D61" s="4" t="s">
        <v>31</v>
      </c>
      <c r="E61" s="52">
        <v>55887</v>
      </c>
      <c r="F61" s="52">
        <v>24221</v>
      </c>
      <c r="G61" s="52">
        <v>33444</v>
      </c>
      <c r="H61" s="52">
        <v>51485</v>
      </c>
      <c r="I61" s="52">
        <v>58157</v>
      </c>
      <c r="J61" s="40">
        <f t="shared" si="12"/>
        <v>0.12959114305137409</v>
      </c>
      <c r="K61" s="52">
        <f t="shared" si="13"/>
        <v>6672</v>
      </c>
      <c r="L61" s="40">
        <f t="shared" si="14"/>
        <v>4.0617674951240801E-2</v>
      </c>
      <c r="M61" s="52">
        <f t="shared" si="15"/>
        <v>2270</v>
      </c>
      <c r="N61" s="40">
        <f t="shared" ref="N61" si="17">I61/$I$60</f>
        <v>1</v>
      </c>
    </row>
    <row r="62" spans="2:14" x14ac:dyDescent="0.25">
      <c r="B62" s="272"/>
      <c r="C62" s="279"/>
      <c r="D62" s="32" t="s">
        <v>32</v>
      </c>
      <c r="E62" s="33" t="s">
        <v>229</v>
      </c>
      <c r="F62" s="33" t="s">
        <v>229</v>
      </c>
      <c r="G62" s="33" t="s">
        <v>229</v>
      </c>
      <c r="H62" s="33" t="s">
        <v>229</v>
      </c>
      <c r="I62" s="33" t="s">
        <v>229</v>
      </c>
      <c r="J62" s="34" t="str">
        <f>IFERROR(I62/H62-1,"-")</f>
        <v>-</v>
      </c>
      <c r="K62" s="33" t="str">
        <f>IFERROR(I62-H62,"-")</f>
        <v>-</v>
      </c>
      <c r="L62" s="34" t="str">
        <f>IFERROR(I62/E62-1,"-")</f>
        <v>-</v>
      </c>
      <c r="M62" s="33" t="str">
        <f>IFERROR(I62-E62,"-")</f>
        <v>-</v>
      </c>
      <c r="N62" s="61" t="str">
        <f>IFERROR(I62/I60,"-")</f>
        <v>-</v>
      </c>
    </row>
    <row r="63" spans="2:14" x14ac:dyDescent="0.25">
      <c r="B63" s="272"/>
      <c r="C63" s="274" t="s">
        <v>21</v>
      </c>
      <c r="D63" s="15" t="s">
        <v>30</v>
      </c>
      <c r="E63" s="49">
        <v>136126</v>
      </c>
      <c r="F63" s="49">
        <v>59047</v>
      </c>
      <c r="G63" s="49">
        <v>83402</v>
      </c>
      <c r="H63" s="49">
        <v>137757</v>
      </c>
      <c r="I63" s="49">
        <v>148334</v>
      </c>
      <c r="J63" s="17">
        <f t="shared" si="12"/>
        <v>7.6780127325653202E-2</v>
      </c>
      <c r="K63" s="16">
        <f t="shared" si="13"/>
        <v>10577</v>
      </c>
      <c r="L63" s="17">
        <f t="shared" si="14"/>
        <v>8.9681618500506932E-2</v>
      </c>
      <c r="M63" s="16">
        <f t="shared" si="15"/>
        <v>12208</v>
      </c>
      <c r="N63" s="17">
        <f>I63/$I$63</f>
        <v>1</v>
      </c>
    </row>
    <row r="64" spans="2:14" x14ac:dyDescent="0.25">
      <c r="B64" s="272"/>
      <c r="C64" s="275"/>
      <c r="D64" s="19" t="s">
        <v>31</v>
      </c>
      <c r="E64" s="50">
        <v>136126</v>
      </c>
      <c r="F64" s="50">
        <v>59047</v>
      </c>
      <c r="G64" s="50">
        <v>83402</v>
      </c>
      <c r="H64" s="50">
        <v>137757</v>
      </c>
      <c r="I64" s="50">
        <v>148334</v>
      </c>
      <c r="J64" s="21">
        <f t="shared" si="12"/>
        <v>7.6780127325653202E-2</v>
      </c>
      <c r="K64" s="20">
        <f t="shared" si="13"/>
        <v>10577</v>
      </c>
      <c r="L64" s="21">
        <f t="shared" si="14"/>
        <v>8.9681618500506932E-2</v>
      </c>
      <c r="M64" s="20">
        <f t="shared" si="15"/>
        <v>12208</v>
      </c>
      <c r="N64" s="21">
        <f t="shared" ref="N64" si="18">I64/$I$63</f>
        <v>1</v>
      </c>
    </row>
    <row r="65" spans="2:14" x14ac:dyDescent="0.25">
      <c r="B65" s="272"/>
      <c r="C65" s="276"/>
      <c r="D65" s="23" t="s">
        <v>32</v>
      </c>
      <c r="E65" s="24" t="s">
        <v>229</v>
      </c>
      <c r="F65" s="24" t="s">
        <v>229</v>
      </c>
      <c r="G65" s="24" t="s">
        <v>229</v>
      </c>
      <c r="H65" s="24" t="s">
        <v>229</v>
      </c>
      <c r="I65" s="24" t="s">
        <v>229</v>
      </c>
      <c r="J65" s="25" t="str">
        <f>IFERROR(I65/H65-1,"-")</f>
        <v>-</v>
      </c>
      <c r="K65" s="24" t="str">
        <f>IFERROR(I65-H65,"-")</f>
        <v>-</v>
      </c>
      <c r="L65" s="25" t="str">
        <f>IFERROR(I65/E65-1,"-")</f>
        <v>-</v>
      </c>
      <c r="M65" s="24" t="str">
        <f>IFERROR(I65-E65,"-")</f>
        <v>-</v>
      </c>
      <c r="N65" s="25" t="str">
        <f>IFERROR(I65/I63,"-")</f>
        <v>-</v>
      </c>
    </row>
    <row r="66" spans="2:14" x14ac:dyDescent="0.25">
      <c r="B66" s="272"/>
      <c r="C66" s="277" t="s">
        <v>22</v>
      </c>
      <c r="D66" s="26" t="s">
        <v>30</v>
      </c>
      <c r="E66" s="53">
        <v>2.4357363966575409</v>
      </c>
      <c r="F66" s="53">
        <v>2.437843193922629</v>
      </c>
      <c r="G66" s="53">
        <v>2.4937806482478173</v>
      </c>
      <c r="H66" s="53">
        <v>2.6756725259784404</v>
      </c>
      <c r="I66" s="53">
        <v>2.5505786061867015</v>
      </c>
      <c r="J66" s="36">
        <f t="shared" si="12"/>
        <v>-4.6752328088428774E-2</v>
      </c>
      <c r="K66" s="37">
        <f t="shared" si="13"/>
        <v>-0.12509391979173889</v>
      </c>
      <c r="L66" s="36">
        <f t="shared" si="14"/>
        <v>4.714886622655623E-2</v>
      </c>
      <c r="M66" s="37">
        <f t="shared" si="15"/>
        <v>0.11484220952916058</v>
      </c>
      <c r="N66" s="36"/>
    </row>
    <row r="67" spans="2:14" x14ac:dyDescent="0.25">
      <c r="B67" s="272"/>
      <c r="C67" s="278"/>
      <c r="D67" s="4" t="s">
        <v>31</v>
      </c>
      <c r="E67" s="54">
        <f t="shared" ref="E67:I67" si="19">E64/E58</f>
        <v>2.4357363966575409</v>
      </c>
      <c r="F67" s="54">
        <f t="shared" si="19"/>
        <v>2.437843193922629</v>
      </c>
      <c r="G67" s="54">
        <f t="shared" si="19"/>
        <v>2.4937806482478173</v>
      </c>
      <c r="H67" s="54">
        <f t="shared" si="19"/>
        <v>2.6756725259784404</v>
      </c>
      <c r="I67" s="54">
        <f t="shared" si="19"/>
        <v>2.5505786061867015</v>
      </c>
      <c r="J67" s="40">
        <f t="shared" si="12"/>
        <v>-4.6752328088428774E-2</v>
      </c>
      <c r="K67" s="41">
        <f t="shared" si="13"/>
        <v>-0.12509391979173889</v>
      </c>
      <c r="L67" s="40">
        <f t="shared" si="14"/>
        <v>4.714886622655623E-2</v>
      </c>
      <c r="M67" s="41">
        <f t="shared" si="15"/>
        <v>0.11484220952916058</v>
      </c>
      <c r="N67" s="40"/>
    </row>
    <row r="68" spans="2:14" x14ac:dyDescent="0.25">
      <c r="B68" s="272"/>
      <c r="C68" s="279"/>
      <c r="D68" s="32" t="s">
        <v>32</v>
      </c>
      <c r="E68" s="43" t="str">
        <f>IFERROR(E65/E59,"-")</f>
        <v>-</v>
      </c>
      <c r="F68" s="43" t="str">
        <f t="shared" ref="F68:I68" si="20">IFERROR(F65/F59,"-")</f>
        <v>-</v>
      </c>
      <c r="G68" s="43" t="str">
        <f t="shared" si="20"/>
        <v>-</v>
      </c>
      <c r="H68" s="43" t="str">
        <f t="shared" si="20"/>
        <v>-</v>
      </c>
      <c r="I68" s="43" t="str">
        <f t="shared" si="20"/>
        <v>-</v>
      </c>
      <c r="J68" s="34" t="str">
        <f>IFERROR(I68/H68-1,"-")</f>
        <v>-</v>
      </c>
      <c r="K68" s="33" t="str">
        <f>IFERROR(I68-H68,"-")</f>
        <v>-</v>
      </c>
      <c r="L68" s="34" t="str">
        <f>IFERROR(I68/E68-1,"-")</f>
        <v>-</v>
      </c>
      <c r="M68" s="33" t="str">
        <f>IFERROR(I68-E68,"-")</f>
        <v>-</v>
      </c>
      <c r="N68" s="61" t="str">
        <f>IFERROR(I68/I66,"-")</f>
        <v>-</v>
      </c>
    </row>
    <row r="69" spans="2:14" x14ac:dyDescent="0.25">
      <c r="B69" s="272"/>
      <c r="C69" s="280" t="s">
        <v>34</v>
      </c>
      <c r="D69" s="15" t="s">
        <v>30</v>
      </c>
      <c r="E69" s="57">
        <v>0.52295410715246138</v>
      </c>
      <c r="F69" s="57">
        <v>0.5147906295498732</v>
      </c>
      <c r="G69" s="57">
        <v>0.42945341263098274</v>
      </c>
      <c r="H69" s="57">
        <v>0.57741590694750078</v>
      </c>
      <c r="I69" s="57">
        <v>0.61259601883208059</v>
      </c>
      <c r="J69" s="57">
        <f t="shared" si="12"/>
        <v>6.0926814556528042E-2</v>
      </c>
      <c r="K69" s="44">
        <f t="shared" si="13"/>
        <v>3.5180111884579812E-2</v>
      </c>
      <c r="L69" s="17">
        <f t="shared" si="14"/>
        <v>0.17141449020780919</v>
      </c>
      <c r="M69" s="44">
        <f t="shared" si="15"/>
        <v>8.9641911679619213E-2</v>
      </c>
      <c r="N69" s="17"/>
    </row>
    <row r="70" spans="2:14" x14ac:dyDescent="0.25">
      <c r="B70" s="272"/>
      <c r="C70" s="281"/>
      <c r="D70" s="19" t="s">
        <v>31</v>
      </c>
      <c r="E70" s="58">
        <v>0.52295410715246138</v>
      </c>
      <c r="F70" s="58">
        <v>0.5147906295498732</v>
      </c>
      <c r="G70" s="58">
        <v>0.42945341263098274</v>
      </c>
      <c r="H70" s="58">
        <v>0.57741590694750078</v>
      </c>
      <c r="I70" s="58">
        <v>0.61259601883208059</v>
      </c>
      <c r="J70" s="58">
        <f t="shared" si="12"/>
        <v>6.0926814556528042E-2</v>
      </c>
      <c r="K70" s="45">
        <f t="shared" si="13"/>
        <v>3.5180111884579812E-2</v>
      </c>
      <c r="L70" s="21">
        <f t="shared" si="14"/>
        <v>0.17141449020780919</v>
      </c>
      <c r="M70" s="45">
        <f t="shared" si="15"/>
        <v>8.9641911679619213E-2</v>
      </c>
      <c r="N70" s="21"/>
    </row>
    <row r="71" spans="2:14" x14ac:dyDescent="0.25">
      <c r="B71" s="272"/>
      <c r="C71" s="282"/>
      <c r="D71" s="23" t="s">
        <v>32</v>
      </c>
      <c r="E71" s="59" t="s">
        <v>229</v>
      </c>
      <c r="F71" s="59" t="s">
        <v>229</v>
      </c>
      <c r="G71" s="59" t="s">
        <v>229</v>
      </c>
      <c r="H71" s="59" t="s">
        <v>229</v>
      </c>
      <c r="I71" s="59" t="s">
        <v>229</v>
      </c>
      <c r="J71" s="25" t="str">
        <f>IFERROR(I71/H71-1,"-")</f>
        <v>-</v>
      </c>
      <c r="K71" s="24" t="str">
        <f>IFERROR(I71-H71,"-")</f>
        <v>-</v>
      </c>
      <c r="L71" s="25" t="str">
        <f>IFERROR(I71/E71-1,"-")</f>
        <v>-</v>
      </c>
      <c r="M71" s="24" t="str">
        <f>IFERROR(I71-E71,"-")</f>
        <v>-</v>
      </c>
      <c r="N71" s="25" t="str">
        <f>IFERROR(I71/I69,"-")</f>
        <v>-</v>
      </c>
    </row>
    <row r="72" spans="2:14" x14ac:dyDescent="0.25">
      <c r="B72" s="272"/>
      <c r="C72" s="283" t="s">
        <v>39</v>
      </c>
      <c r="D72" s="26" t="s">
        <v>30</v>
      </c>
      <c r="E72" s="51">
        <v>713</v>
      </c>
      <c r="F72" s="51">
        <v>339</v>
      </c>
      <c r="G72" s="51">
        <v>532</v>
      </c>
      <c r="H72" s="51">
        <v>654</v>
      </c>
      <c r="I72" s="51">
        <v>663</v>
      </c>
      <c r="J72" s="36">
        <f t="shared" si="12"/>
        <v>1.3761467889908285E-2</v>
      </c>
      <c r="K72" s="27">
        <f t="shared" si="13"/>
        <v>9</v>
      </c>
      <c r="L72" s="36">
        <f t="shared" si="14"/>
        <v>-7.0126227208976211E-2</v>
      </c>
      <c r="M72" s="27">
        <f t="shared" si="15"/>
        <v>-50</v>
      </c>
      <c r="N72" s="36">
        <f>I72/$I$72</f>
        <v>1</v>
      </c>
    </row>
    <row r="73" spans="2:14" x14ac:dyDescent="0.25">
      <c r="B73" s="272"/>
      <c r="C73" s="278"/>
      <c r="D73" s="4" t="s">
        <v>31</v>
      </c>
      <c r="E73" s="52">
        <v>713</v>
      </c>
      <c r="F73" s="52">
        <v>339</v>
      </c>
      <c r="G73" s="52">
        <v>532</v>
      </c>
      <c r="H73" s="52">
        <v>654</v>
      </c>
      <c r="I73" s="52">
        <v>663</v>
      </c>
      <c r="J73" s="40">
        <f t="shared" si="12"/>
        <v>1.3761467889908285E-2</v>
      </c>
      <c r="K73" s="29">
        <f t="shared" si="13"/>
        <v>9</v>
      </c>
      <c r="L73" s="40">
        <f t="shared" si="14"/>
        <v>-7.0126227208976211E-2</v>
      </c>
      <c r="M73" s="29">
        <f t="shared" si="15"/>
        <v>-50</v>
      </c>
      <c r="N73" s="40">
        <f t="shared" ref="N73" si="21">I73/$I$72</f>
        <v>1</v>
      </c>
    </row>
    <row r="74" spans="2:14" x14ac:dyDescent="0.25">
      <c r="B74" s="273"/>
      <c r="C74" s="279"/>
      <c r="D74" s="32" t="s">
        <v>32</v>
      </c>
      <c r="E74" s="33">
        <v>0</v>
      </c>
      <c r="F74" s="33">
        <v>0</v>
      </c>
      <c r="G74" s="33">
        <v>0</v>
      </c>
      <c r="H74" s="33">
        <v>0</v>
      </c>
      <c r="I74" s="33">
        <v>0</v>
      </c>
      <c r="J74" s="34" t="str">
        <f>IFERROR(I74/H74-1,"-")</f>
        <v>-</v>
      </c>
      <c r="K74" s="33">
        <f>IFERROR(I74-H74,"-")</f>
        <v>0</v>
      </c>
      <c r="L74" s="34" t="str">
        <f>IFERROR(I74/E74-1,"-")</f>
        <v>-</v>
      </c>
      <c r="M74" s="33">
        <f>IFERROR(I74-E74,"-")</f>
        <v>0</v>
      </c>
      <c r="N74" s="61">
        <f>IFERROR(I74/I72,"-")</f>
        <v>0</v>
      </c>
    </row>
    <row r="75" spans="2:14" x14ac:dyDescent="0.25">
      <c r="B75" s="267"/>
      <c r="C75" s="267"/>
      <c r="D75" s="267"/>
      <c r="E75" s="267"/>
      <c r="F75" s="267"/>
      <c r="G75" s="267"/>
      <c r="H75" s="267"/>
      <c r="I75" s="267"/>
      <c r="J75" s="267"/>
      <c r="K75" s="267"/>
      <c r="L75" s="267"/>
      <c r="M75" s="267"/>
      <c r="N75" s="47"/>
    </row>
    <row r="76" spans="2:14" ht="27" customHeight="1" x14ac:dyDescent="0.25">
      <c r="B76" s="268" t="s">
        <v>36</v>
      </c>
      <c r="C76" s="269"/>
      <c r="D76" s="269"/>
      <c r="E76" s="269"/>
      <c r="F76" s="269"/>
      <c r="G76" s="269"/>
      <c r="H76" s="269"/>
      <c r="I76" s="269"/>
      <c r="J76" s="269"/>
      <c r="K76" s="269"/>
      <c r="L76" s="269"/>
      <c r="M76" s="269"/>
    </row>
  </sheetData>
  <mergeCells count="30">
    <mergeCell ref="B4:M4"/>
    <mergeCell ref="B7:B24"/>
    <mergeCell ref="C7:C9"/>
    <mergeCell ref="C10:C12"/>
    <mergeCell ref="C13:C15"/>
    <mergeCell ref="C16:C18"/>
    <mergeCell ref="C19:C21"/>
    <mergeCell ref="C22:C24"/>
    <mergeCell ref="B25:M25"/>
    <mergeCell ref="B26:M26"/>
    <mergeCell ref="B29:M29"/>
    <mergeCell ref="B32:B49"/>
    <mergeCell ref="C32:C34"/>
    <mergeCell ref="C35:C37"/>
    <mergeCell ref="C38:C40"/>
    <mergeCell ref="C41:C43"/>
    <mergeCell ref="C44:C46"/>
    <mergeCell ref="C47:C49"/>
    <mergeCell ref="B75:M75"/>
    <mergeCell ref="B76:M76"/>
    <mergeCell ref="B50:M50"/>
    <mergeCell ref="B51:M51"/>
    <mergeCell ref="B54:M54"/>
    <mergeCell ref="B57:B74"/>
    <mergeCell ref="C57:C59"/>
    <mergeCell ref="C60:C62"/>
    <mergeCell ref="C63:C65"/>
    <mergeCell ref="C66:C68"/>
    <mergeCell ref="C69:C71"/>
    <mergeCell ref="C72:C74"/>
  </mergeCells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720459-597A-4AC4-8844-31A98341574D}">
  <sheetPr>
    <tabColor rgb="FFFFC000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F82918-3E60-4F29-8FAC-7B72C58AC011}">
  <sheetPr>
    <tabColor rgb="FFFFC000"/>
  </sheetPr>
  <dimension ref="A1:X164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7" width="13.140625" customWidth="1"/>
    <col min="8" max="10" width="13.7109375" customWidth="1"/>
    <col min="12" max="20" width="0" hidden="1" customWidth="1"/>
  </cols>
  <sheetData>
    <row r="1" spans="1:20" ht="42.75" customHeight="1" x14ac:dyDescent="0.25"/>
    <row r="5" spans="1:20" ht="42" customHeight="1" thickBot="1" x14ac:dyDescent="0.3">
      <c r="B5" s="270" t="str">
        <f>CONCATENATE("Viajeros alojados en los establecimientos alojativos de según lugar de residencia y municipio de alojamiento (hotel + apartamento)")</f>
        <v>Viajeros alojados en los establecimientos alojativos de según lugar de residencia y municipio de alojamiento (hotel + apartamento)</v>
      </c>
      <c r="C5" s="270"/>
      <c r="D5" s="270"/>
      <c r="E5" s="270"/>
      <c r="F5" s="270"/>
      <c r="G5" s="270"/>
      <c r="H5" s="270"/>
      <c r="I5" s="270"/>
      <c r="J5" s="270"/>
      <c r="L5" s="270" t="s">
        <v>270</v>
      </c>
      <c r="M5" s="270"/>
      <c r="N5" s="270"/>
      <c r="O5" s="270"/>
      <c r="P5" s="270"/>
      <c r="Q5" s="270"/>
      <c r="R5" s="270"/>
      <c r="S5" s="270"/>
      <c r="T5" s="270"/>
    </row>
    <row r="6" spans="1:20" ht="6" customHeight="1" x14ac:dyDescent="0.25"/>
    <row r="7" spans="1:20" ht="15.75" x14ac:dyDescent="0.25">
      <c r="B7" s="143"/>
      <c r="C7" s="302" t="s">
        <v>43</v>
      </c>
      <c r="D7" s="303"/>
      <c r="E7" s="303"/>
      <c r="F7" s="303"/>
      <c r="G7" s="303"/>
      <c r="H7" s="303"/>
      <c r="I7" s="303"/>
      <c r="J7" s="303"/>
    </row>
    <row r="8" spans="1:20" s="144" customFormat="1" ht="72" customHeight="1" x14ac:dyDescent="0.25">
      <c r="A8"/>
      <c r="B8" s="183"/>
      <c r="C8" s="172" t="s">
        <v>224</v>
      </c>
      <c r="D8" s="172" t="s">
        <v>225</v>
      </c>
      <c r="E8" s="172" t="s">
        <v>226</v>
      </c>
      <c r="F8" s="172" t="s">
        <v>227</v>
      </c>
      <c r="G8" s="172" t="s">
        <v>228</v>
      </c>
      <c r="H8" s="173" t="str">
        <f>CONCATENATE("var. ",RIGHT(G8,2),"/",RIGHT(F8,2))</f>
        <v>var. 24/23</v>
      </c>
      <c r="I8" s="173" t="str">
        <f>CONCATENATE("var. ",RIGHT(G8,2),"/",RIGHT(C8,2))</f>
        <v>var. 24/19</v>
      </c>
      <c r="J8" s="173" t="str">
        <f>CONCATENATE("Cuota s/ total lugares de residencia ",RIGHT(G8,4))</f>
        <v>Cuota s/ total lugares de residencia 2024</v>
      </c>
      <c r="L8" s="183"/>
      <c r="M8" s="172" t="s">
        <v>224</v>
      </c>
      <c r="N8" s="172" t="s">
        <v>225</v>
      </c>
      <c r="O8" s="172" t="s">
        <v>226</v>
      </c>
      <c r="P8" s="172" t="s">
        <v>227</v>
      </c>
      <c r="Q8" s="172" t="s">
        <v>228</v>
      </c>
      <c r="R8" s="173" t="str">
        <f>CONCATENATE("var. ",RIGHT(Q8,2),"/",RIGHT(P8,2))</f>
        <v>var. 24/23</v>
      </c>
      <c r="S8" s="173" t="str">
        <f>CONCATENATE("var. ",RIGHT(Q8,2),"/",RIGHT(M8,2))</f>
        <v>var. 24/19</v>
      </c>
      <c r="T8" s="173" t="str">
        <f>CONCATENATE("Cuota s/ total lugares de residencia ",RIGHT(Q8,4))</f>
        <v>Cuota s/ total lugares de residencia 2024</v>
      </c>
    </row>
    <row r="9" spans="1:20" x14ac:dyDescent="0.25">
      <c r="B9" s="150" t="s">
        <v>43</v>
      </c>
      <c r="C9" s="151"/>
      <c r="D9" s="151"/>
      <c r="E9" s="151"/>
      <c r="F9" s="151"/>
      <c r="G9" s="151"/>
      <c r="H9" s="152"/>
      <c r="I9" s="152"/>
      <c r="J9" s="152"/>
      <c r="L9" s="153" t="s">
        <v>49</v>
      </c>
      <c r="M9" s="174"/>
      <c r="N9" s="174"/>
      <c r="O9" s="174"/>
      <c r="P9" s="174"/>
      <c r="Q9" s="174"/>
      <c r="R9" s="175"/>
      <c r="S9" s="175"/>
      <c r="T9" s="175"/>
    </row>
    <row r="10" spans="1:20" x14ac:dyDescent="0.25">
      <c r="B10" s="154" t="s">
        <v>68</v>
      </c>
      <c r="C10" s="176">
        <v>461475</v>
      </c>
      <c r="D10" s="176">
        <v>325738</v>
      </c>
      <c r="E10" s="176">
        <v>465229</v>
      </c>
      <c r="F10" s="176">
        <v>499749</v>
      </c>
      <c r="G10" s="176">
        <v>518511</v>
      </c>
      <c r="H10" s="177">
        <f t="shared" ref="H10:H22" si="0">IFERROR(G10/F10-1,"-")</f>
        <v>3.7542846508947569E-2</v>
      </c>
      <c r="I10" s="177">
        <f t="shared" ref="I10:I22" si="1">IFERROR(G10/C10-1,"-")</f>
        <v>0.12359499431171783</v>
      </c>
      <c r="J10" s="177">
        <f t="shared" ref="J10:J22" si="2">G10/G$10</f>
        <v>1</v>
      </c>
      <c r="L10" s="154" t="s">
        <v>68</v>
      </c>
      <c r="M10" s="176">
        <v>3949</v>
      </c>
      <c r="N10" s="176">
        <v>3996</v>
      </c>
      <c r="O10" s="176">
        <v>4766</v>
      </c>
      <c r="P10" s="176">
        <v>4736</v>
      </c>
      <c r="Q10" s="176">
        <v>5250</v>
      </c>
      <c r="R10" s="177">
        <f t="shared" ref="R10:R22" si="3">IFERROR(Q10/P10-1,"-")</f>
        <v>0.10853040540540548</v>
      </c>
      <c r="S10" s="177">
        <f t="shared" ref="S10:S22" si="4">IFERROR(Q10/M10-1,"-")</f>
        <v>0.32945049379589775</v>
      </c>
      <c r="T10" s="177">
        <f t="shared" ref="T10:T22" si="5">Q10/Q$10</f>
        <v>1</v>
      </c>
    </row>
    <row r="11" spans="1:20" x14ac:dyDescent="0.25">
      <c r="B11" s="157" t="s">
        <v>97</v>
      </c>
      <c r="C11" s="158">
        <v>107730</v>
      </c>
      <c r="D11" s="158">
        <v>107944</v>
      </c>
      <c r="E11" s="158">
        <v>106792</v>
      </c>
      <c r="F11" s="158">
        <v>113306</v>
      </c>
      <c r="G11" s="158">
        <v>112486</v>
      </c>
      <c r="H11" s="159">
        <f t="shared" si="0"/>
        <v>-7.2370395212962846E-3</v>
      </c>
      <c r="I11" s="160">
        <f t="shared" si="1"/>
        <v>4.4147405550914343E-2</v>
      </c>
      <c r="J11" s="159">
        <f t="shared" si="2"/>
        <v>0.21694043135054031</v>
      </c>
      <c r="K11" s="79"/>
      <c r="L11" s="157" t="s">
        <v>97</v>
      </c>
      <c r="M11" s="158">
        <v>2858</v>
      </c>
      <c r="N11" s="158">
        <v>3108</v>
      </c>
      <c r="O11" s="158">
        <v>3605</v>
      </c>
      <c r="P11" s="158">
        <v>3460</v>
      </c>
      <c r="Q11" s="158">
        <v>4146</v>
      </c>
      <c r="R11" s="159">
        <f t="shared" si="3"/>
        <v>0.19826589595375732</v>
      </c>
      <c r="S11" s="160">
        <f t="shared" si="4"/>
        <v>0.45066480055983216</v>
      </c>
      <c r="T11" s="159">
        <f t="shared" si="5"/>
        <v>0.7897142857142857</v>
      </c>
    </row>
    <row r="12" spans="1:20" x14ac:dyDescent="0.25">
      <c r="B12" s="162" t="s">
        <v>103</v>
      </c>
      <c r="C12" s="163">
        <v>40072</v>
      </c>
      <c r="D12" s="163">
        <v>46433</v>
      </c>
      <c r="E12" s="163">
        <v>39705</v>
      </c>
      <c r="F12" s="163">
        <v>48831</v>
      </c>
      <c r="G12" s="163">
        <v>44712</v>
      </c>
      <c r="H12" s="164">
        <f t="shared" si="0"/>
        <v>-8.4352153345211067E-2</v>
      </c>
      <c r="I12" s="165">
        <f t="shared" si="1"/>
        <v>0.11579157516470362</v>
      </c>
      <c r="J12" s="164">
        <f t="shared" si="2"/>
        <v>8.6231536071558756E-2</v>
      </c>
      <c r="K12" s="79"/>
      <c r="L12" s="162" t="s">
        <v>103</v>
      </c>
      <c r="M12" s="163">
        <v>1437</v>
      </c>
      <c r="N12" s="163">
        <v>1461</v>
      </c>
      <c r="O12" s="163">
        <v>1690</v>
      </c>
      <c r="P12" s="163">
        <v>945</v>
      </c>
      <c r="Q12" s="163">
        <v>1760</v>
      </c>
      <c r="R12" s="164">
        <f t="shared" si="3"/>
        <v>0.86243386243386233</v>
      </c>
      <c r="S12" s="165">
        <f t="shared" si="4"/>
        <v>0.22477383437717458</v>
      </c>
      <c r="T12" s="164">
        <f t="shared" si="5"/>
        <v>0.33523809523809522</v>
      </c>
    </row>
    <row r="13" spans="1:20" x14ac:dyDescent="0.25">
      <c r="B13" s="162" t="s">
        <v>100</v>
      </c>
      <c r="C13" s="163">
        <v>67658</v>
      </c>
      <c r="D13" s="163">
        <v>61511</v>
      </c>
      <c r="E13" s="163">
        <v>67087</v>
      </c>
      <c r="F13" s="163">
        <v>64475</v>
      </c>
      <c r="G13" s="163">
        <v>67774</v>
      </c>
      <c r="H13" s="164">
        <f t="shared" si="0"/>
        <v>5.1167119038386888E-2</v>
      </c>
      <c r="I13" s="165">
        <f t="shared" si="1"/>
        <v>1.7145053060982907E-3</v>
      </c>
      <c r="J13" s="164">
        <f t="shared" si="2"/>
        <v>0.13070889527898155</v>
      </c>
      <c r="K13" s="79"/>
      <c r="L13" s="162" t="s">
        <v>100</v>
      </c>
      <c r="M13" s="163">
        <v>1421</v>
      </c>
      <c r="N13" s="163">
        <v>1647</v>
      </c>
      <c r="O13" s="163">
        <v>1915</v>
      </c>
      <c r="P13" s="163">
        <v>2515</v>
      </c>
      <c r="Q13" s="163">
        <v>2386</v>
      </c>
      <c r="R13" s="164">
        <f t="shared" si="3"/>
        <v>-5.1292246520874718E-2</v>
      </c>
      <c r="S13" s="165">
        <f t="shared" si="4"/>
        <v>0.67909922589725547</v>
      </c>
      <c r="T13" s="164">
        <f>Q13/Q$10</f>
        <v>0.45447619047619048</v>
      </c>
    </row>
    <row r="14" spans="1:20" x14ac:dyDescent="0.25">
      <c r="B14" s="157" t="s">
        <v>107</v>
      </c>
      <c r="C14" s="158">
        <v>353745</v>
      </c>
      <c r="D14" s="158">
        <v>217794</v>
      </c>
      <c r="E14" s="158">
        <v>358437</v>
      </c>
      <c r="F14" s="158">
        <v>386443</v>
      </c>
      <c r="G14" s="158">
        <v>406025</v>
      </c>
      <c r="H14" s="159">
        <f t="shared" si="0"/>
        <v>5.067241481926188E-2</v>
      </c>
      <c r="I14" s="160">
        <f t="shared" si="1"/>
        <v>0.14779007477137496</v>
      </c>
      <c r="J14" s="159">
        <f t="shared" si="2"/>
        <v>0.78305956864945969</v>
      </c>
      <c r="K14" s="79"/>
      <c r="L14" s="157" t="s">
        <v>107</v>
      </c>
      <c r="M14" s="158">
        <v>1091</v>
      </c>
      <c r="N14" s="158">
        <v>888</v>
      </c>
      <c r="O14" s="158">
        <v>1161</v>
      </c>
      <c r="P14" s="158">
        <v>1276</v>
      </c>
      <c r="Q14" s="158">
        <v>1104</v>
      </c>
      <c r="R14" s="159">
        <f t="shared" si="3"/>
        <v>-0.13479623824451414</v>
      </c>
      <c r="S14" s="160">
        <f t="shared" si="4"/>
        <v>1.1915673693858819E-2</v>
      </c>
      <c r="T14" s="159">
        <f t="shared" si="5"/>
        <v>0.2102857142857143</v>
      </c>
    </row>
    <row r="15" spans="1:20" x14ac:dyDescent="0.25">
      <c r="B15" s="162" t="s">
        <v>110</v>
      </c>
      <c r="C15" s="163">
        <v>178903</v>
      </c>
      <c r="D15" s="163">
        <v>77013</v>
      </c>
      <c r="E15" s="163">
        <v>190060</v>
      </c>
      <c r="F15" s="163">
        <v>208939</v>
      </c>
      <c r="G15" s="163">
        <v>216324</v>
      </c>
      <c r="H15" s="164">
        <f t="shared" si="0"/>
        <v>3.5345244305754253E-2</v>
      </c>
      <c r="I15" s="165">
        <f t="shared" si="1"/>
        <v>0.20916921460232629</v>
      </c>
      <c r="J15" s="164">
        <f t="shared" si="2"/>
        <v>0.41720233514814536</v>
      </c>
      <c r="K15" s="79"/>
      <c r="L15" s="162" t="s">
        <v>110</v>
      </c>
      <c r="M15" s="163">
        <v>148</v>
      </c>
      <c r="N15" s="163">
        <v>81</v>
      </c>
      <c r="O15" s="163">
        <v>179</v>
      </c>
      <c r="P15" s="163">
        <v>167</v>
      </c>
      <c r="Q15" s="163">
        <v>134</v>
      </c>
      <c r="R15" s="164">
        <f t="shared" si="3"/>
        <v>-0.19760479041916168</v>
      </c>
      <c r="S15" s="165">
        <f t="shared" si="4"/>
        <v>-9.4594594594594628E-2</v>
      </c>
      <c r="T15" s="164">
        <f t="shared" si="5"/>
        <v>2.5523809523809525E-2</v>
      </c>
    </row>
    <row r="16" spans="1:20" x14ac:dyDescent="0.25">
      <c r="B16" s="162" t="s">
        <v>113</v>
      </c>
      <c r="C16" s="163">
        <v>49048</v>
      </c>
      <c r="D16" s="163">
        <v>35334</v>
      </c>
      <c r="E16" s="163">
        <v>35336</v>
      </c>
      <c r="F16" s="163">
        <v>38233</v>
      </c>
      <c r="G16" s="163">
        <v>37362</v>
      </c>
      <c r="H16" s="164">
        <f t="shared" si="0"/>
        <v>-2.2781366882012932E-2</v>
      </c>
      <c r="I16" s="165">
        <f t="shared" si="1"/>
        <v>-0.23825640189202413</v>
      </c>
      <c r="J16" s="164">
        <f t="shared" si="2"/>
        <v>7.2056330531078419E-2</v>
      </c>
      <c r="K16" s="79"/>
      <c r="L16" s="162" t="s">
        <v>113</v>
      </c>
      <c r="M16" s="163">
        <v>194</v>
      </c>
      <c r="N16" s="163">
        <v>227</v>
      </c>
      <c r="O16" s="163">
        <v>257</v>
      </c>
      <c r="P16" s="163">
        <v>257</v>
      </c>
      <c r="Q16" s="163">
        <v>258</v>
      </c>
      <c r="R16" s="164">
        <f t="shared" si="3"/>
        <v>3.8910505836575737E-3</v>
      </c>
      <c r="S16" s="165">
        <f t="shared" si="4"/>
        <v>0.32989690721649478</v>
      </c>
      <c r="T16" s="164">
        <f t="shared" si="5"/>
        <v>4.9142857142857141E-2</v>
      </c>
    </row>
    <row r="17" spans="2:24" x14ac:dyDescent="0.25">
      <c r="B17" s="162" t="s">
        <v>116</v>
      </c>
      <c r="C17" s="163">
        <v>14012</v>
      </c>
      <c r="D17" s="163">
        <v>11705</v>
      </c>
      <c r="E17" s="163">
        <v>16234</v>
      </c>
      <c r="F17" s="163">
        <v>18305</v>
      </c>
      <c r="G17" s="163">
        <v>17983</v>
      </c>
      <c r="H17" s="164">
        <f t="shared" si="0"/>
        <v>-1.7590822179732291E-2</v>
      </c>
      <c r="I17" s="165">
        <f t="shared" si="1"/>
        <v>0.2833999429060805</v>
      </c>
      <c r="J17" s="164">
        <f t="shared" si="2"/>
        <v>3.4682002889041892E-2</v>
      </c>
      <c r="K17" s="79"/>
      <c r="L17" s="162" t="s">
        <v>116</v>
      </c>
      <c r="M17" s="163">
        <v>217</v>
      </c>
      <c r="N17" s="163">
        <v>188</v>
      </c>
      <c r="O17" s="163">
        <v>162</v>
      </c>
      <c r="P17" s="163">
        <v>224</v>
      </c>
      <c r="Q17" s="163">
        <v>166</v>
      </c>
      <c r="R17" s="164">
        <f t="shared" si="3"/>
        <v>-0.2589285714285714</v>
      </c>
      <c r="S17" s="165">
        <f t="shared" si="4"/>
        <v>-0.23502304147465436</v>
      </c>
      <c r="T17" s="164">
        <f t="shared" si="5"/>
        <v>3.1619047619047616E-2</v>
      </c>
    </row>
    <row r="18" spans="2:24" x14ac:dyDescent="0.25">
      <c r="B18" s="162" t="s">
        <v>123</v>
      </c>
      <c r="C18" s="163">
        <v>12530</v>
      </c>
      <c r="D18" s="163">
        <v>16171</v>
      </c>
      <c r="E18" s="163">
        <v>17018</v>
      </c>
      <c r="F18" s="163">
        <v>17333</v>
      </c>
      <c r="G18" s="163">
        <v>16397</v>
      </c>
      <c r="H18" s="164">
        <f t="shared" si="0"/>
        <v>-5.4001038481509278E-2</v>
      </c>
      <c r="I18" s="165">
        <f t="shared" si="1"/>
        <v>0.3086193136472466</v>
      </c>
      <c r="J18" s="164">
        <f t="shared" si="2"/>
        <v>3.1623244251327357E-2</v>
      </c>
      <c r="K18" s="79"/>
      <c r="L18" s="162" t="s">
        <v>123</v>
      </c>
      <c r="M18" s="163">
        <v>44</v>
      </c>
      <c r="N18" s="163">
        <v>46</v>
      </c>
      <c r="O18" s="163">
        <v>73</v>
      </c>
      <c r="P18" s="163">
        <v>44</v>
      </c>
      <c r="Q18" s="163">
        <v>36</v>
      </c>
      <c r="R18" s="164">
        <f t="shared" si="3"/>
        <v>-0.18181818181818177</v>
      </c>
      <c r="S18" s="165">
        <f t="shared" si="4"/>
        <v>-0.18181818181818177</v>
      </c>
      <c r="T18" s="164">
        <f t="shared" si="5"/>
        <v>6.8571428571428568E-3</v>
      </c>
    </row>
    <row r="19" spans="2:24" x14ac:dyDescent="0.25">
      <c r="B19" s="162" t="s">
        <v>119</v>
      </c>
      <c r="C19" s="163">
        <v>12175</v>
      </c>
      <c r="D19" s="163">
        <v>14403</v>
      </c>
      <c r="E19" s="163">
        <v>12868</v>
      </c>
      <c r="F19" s="163">
        <v>13370</v>
      </c>
      <c r="G19" s="163">
        <v>13293</v>
      </c>
      <c r="H19" s="164">
        <f t="shared" si="0"/>
        <v>-5.7591623036649109E-3</v>
      </c>
      <c r="I19" s="165">
        <f t="shared" si="1"/>
        <v>9.1827515400410675E-2</v>
      </c>
      <c r="J19" s="164">
        <f t="shared" si="2"/>
        <v>2.5636871734640153E-2</v>
      </c>
      <c r="K19" s="79"/>
      <c r="L19" s="162" t="s">
        <v>119</v>
      </c>
      <c r="M19" s="163">
        <v>16</v>
      </c>
      <c r="N19" s="163">
        <v>37</v>
      </c>
      <c r="O19" s="163">
        <v>34</v>
      </c>
      <c r="P19" s="163">
        <v>45</v>
      </c>
      <c r="Q19" s="163">
        <v>46</v>
      </c>
      <c r="R19" s="164">
        <f t="shared" si="3"/>
        <v>2.2222222222222143E-2</v>
      </c>
      <c r="S19" s="165">
        <f t="shared" si="4"/>
        <v>1.875</v>
      </c>
      <c r="T19" s="164">
        <f t="shared" si="5"/>
        <v>8.7619047619047624E-3</v>
      </c>
    </row>
    <row r="20" spans="2:24" x14ac:dyDescent="0.25">
      <c r="B20" s="162" t="s">
        <v>128</v>
      </c>
      <c r="C20" s="163">
        <v>2171</v>
      </c>
      <c r="D20" s="163">
        <v>1052</v>
      </c>
      <c r="E20" s="163">
        <v>1557</v>
      </c>
      <c r="F20" s="163">
        <v>1535</v>
      </c>
      <c r="G20" s="163">
        <v>1846</v>
      </c>
      <c r="H20" s="164">
        <f t="shared" si="0"/>
        <v>0.20260586319218232</v>
      </c>
      <c r="I20" s="165">
        <f t="shared" si="1"/>
        <v>-0.14970059880239517</v>
      </c>
      <c r="J20" s="164">
        <f t="shared" si="2"/>
        <v>3.5601944799628165E-3</v>
      </c>
      <c r="K20" s="79"/>
      <c r="L20" s="162" t="s">
        <v>128</v>
      </c>
      <c r="M20" s="163">
        <v>2</v>
      </c>
      <c r="N20" s="163">
        <v>1</v>
      </c>
      <c r="O20" s="163">
        <v>9</v>
      </c>
      <c r="P20" s="163">
        <v>4</v>
      </c>
      <c r="Q20" s="163">
        <v>13</v>
      </c>
      <c r="R20" s="164">
        <f t="shared" si="3"/>
        <v>2.25</v>
      </c>
      <c r="S20" s="165">
        <f t="shared" si="4"/>
        <v>5.5</v>
      </c>
      <c r="T20" s="164">
        <f t="shared" si="5"/>
        <v>2.476190476190476E-3</v>
      </c>
    </row>
    <row r="21" spans="2:24" x14ac:dyDescent="0.25">
      <c r="B21" s="162" t="s">
        <v>131</v>
      </c>
      <c r="C21" s="163">
        <v>1515</v>
      </c>
      <c r="D21" s="163">
        <v>320</v>
      </c>
      <c r="E21" s="163">
        <v>821</v>
      </c>
      <c r="F21" s="163">
        <v>1131</v>
      </c>
      <c r="G21" s="163">
        <v>638</v>
      </c>
      <c r="H21" s="164">
        <f t="shared" si="0"/>
        <v>-0.4358974358974359</v>
      </c>
      <c r="I21" s="165">
        <f t="shared" si="1"/>
        <v>-0.5788778877887788</v>
      </c>
      <c r="J21" s="164">
        <f t="shared" si="2"/>
        <v>1.2304464129015585E-3</v>
      </c>
      <c r="K21" s="79"/>
      <c r="L21" s="162" t="s">
        <v>131</v>
      </c>
      <c r="M21" s="163">
        <v>0</v>
      </c>
      <c r="N21" s="163">
        <v>10</v>
      </c>
      <c r="O21" s="163">
        <v>6</v>
      </c>
      <c r="P21" s="163">
        <v>14</v>
      </c>
      <c r="Q21" s="163">
        <v>10</v>
      </c>
      <c r="R21" s="164">
        <f t="shared" si="3"/>
        <v>-0.2857142857142857</v>
      </c>
      <c r="S21" s="165" t="str">
        <f t="shared" si="4"/>
        <v>-</v>
      </c>
      <c r="T21" s="164">
        <f t="shared" si="5"/>
        <v>1.9047619047619048E-3</v>
      </c>
    </row>
    <row r="22" spans="2:24" x14ac:dyDescent="0.25">
      <c r="B22" s="168" t="s">
        <v>145</v>
      </c>
      <c r="C22" s="169">
        <f>C14-SUM(C15:C21)</f>
        <v>83391</v>
      </c>
      <c r="D22" s="169">
        <f>D14-SUM(D15:D21)</f>
        <v>61796</v>
      </c>
      <c r="E22" s="169">
        <f>E14-SUM(E15:E21)</f>
        <v>84543</v>
      </c>
      <c r="F22" s="169">
        <f>F14-SUM(F15:F21)</f>
        <v>87597</v>
      </c>
      <c r="G22" s="169">
        <f>G14-SUM(G15:G21)</f>
        <v>102182</v>
      </c>
      <c r="H22" s="170">
        <f t="shared" si="0"/>
        <v>0.16650113588364901</v>
      </c>
      <c r="I22" s="171">
        <f t="shared" si="1"/>
        <v>0.2253360674413305</v>
      </c>
      <c r="J22" s="170">
        <f t="shared" si="2"/>
        <v>0.19706814320236216</v>
      </c>
      <c r="K22" s="79"/>
      <c r="L22" s="168" t="s">
        <v>145</v>
      </c>
      <c r="M22" s="169">
        <f>M14-SUM(M15:M21)</f>
        <v>470</v>
      </c>
      <c r="N22" s="169">
        <f>N14-SUM(N15:N21)</f>
        <v>298</v>
      </c>
      <c r="O22" s="169">
        <f>O14-SUM(O15:O21)</f>
        <v>441</v>
      </c>
      <c r="P22" s="169">
        <f>P14-SUM(P15:P21)</f>
        <v>521</v>
      </c>
      <c r="Q22" s="169">
        <f>Q14-SUM(Q15:Q21)</f>
        <v>441</v>
      </c>
      <c r="R22" s="170">
        <f t="shared" si="3"/>
        <v>-0.15355086372360849</v>
      </c>
      <c r="S22" s="171">
        <f t="shared" si="4"/>
        <v>-6.1702127659574502E-2</v>
      </c>
      <c r="T22" s="170">
        <f t="shared" si="5"/>
        <v>8.4000000000000005E-2</v>
      </c>
    </row>
    <row r="23" spans="2:24" x14ac:dyDescent="0.25">
      <c r="B23" s="153" t="s">
        <v>44</v>
      </c>
      <c r="C23" s="174"/>
      <c r="D23" s="174"/>
      <c r="E23" s="174"/>
      <c r="F23" s="174"/>
      <c r="G23" s="174"/>
      <c r="H23" s="175"/>
      <c r="I23" s="175"/>
      <c r="J23" s="175"/>
      <c r="K23" s="79"/>
      <c r="L23" s="79"/>
      <c r="M23" s="79"/>
      <c r="N23" s="79"/>
      <c r="O23" s="79"/>
      <c r="P23" s="79"/>
      <c r="Q23" s="79"/>
      <c r="R23" s="79"/>
      <c r="S23" s="79"/>
      <c r="T23" s="79"/>
      <c r="U23" s="79"/>
      <c r="V23" s="79"/>
      <c r="W23" s="79"/>
      <c r="X23" s="79"/>
    </row>
    <row r="24" spans="2:24" x14ac:dyDescent="0.25">
      <c r="B24" s="154" t="s">
        <v>68</v>
      </c>
      <c r="C24" s="176">
        <v>168508</v>
      </c>
      <c r="D24" s="176">
        <v>126117</v>
      </c>
      <c r="E24" s="176">
        <v>171345</v>
      </c>
      <c r="F24" s="176">
        <v>183654</v>
      </c>
      <c r="G24" s="176">
        <v>181999</v>
      </c>
      <c r="H24" s="177">
        <f t="shared" ref="H24:H36" si="6">IFERROR(G24/F24-1,"-")</f>
        <v>-9.0115107756977286E-3</v>
      </c>
      <c r="I24" s="177">
        <f t="shared" ref="I24:I36" si="7">IFERROR(G24/C24-1,"-")</f>
        <v>8.0061480760557302E-2</v>
      </c>
      <c r="J24" s="177">
        <f t="shared" ref="J24:J36" si="8">G24/G$10</f>
        <v>0.35100316097440554</v>
      </c>
      <c r="K24" s="79"/>
      <c r="L24" s="79"/>
      <c r="M24" s="79"/>
      <c r="N24" s="79"/>
      <c r="O24" s="79"/>
      <c r="P24" s="79"/>
      <c r="Q24" s="79"/>
      <c r="R24" s="79"/>
      <c r="S24" s="79"/>
      <c r="T24" s="79"/>
      <c r="U24" s="79"/>
      <c r="V24" s="79"/>
      <c r="W24" s="79"/>
      <c r="X24" s="79"/>
    </row>
    <row r="25" spans="2:24" x14ac:dyDescent="0.25">
      <c r="B25" s="157" t="s">
        <v>97</v>
      </c>
      <c r="C25" s="158">
        <v>26790</v>
      </c>
      <c r="D25" s="158">
        <v>30586</v>
      </c>
      <c r="E25" s="158">
        <v>22949</v>
      </c>
      <c r="F25" s="158">
        <v>20260</v>
      </c>
      <c r="G25" s="158">
        <v>18598</v>
      </c>
      <c r="H25" s="159">
        <f t="shared" si="6"/>
        <v>-8.2033563672260557E-2</v>
      </c>
      <c r="I25" s="160">
        <f t="shared" si="7"/>
        <v>-0.30578574094811495</v>
      </c>
      <c r="J25" s="159">
        <f t="shared" si="8"/>
        <v>3.5868091515898412E-2</v>
      </c>
      <c r="K25" s="79"/>
      <c r="L25" s="79"/>
      <c r="M25" s="79"/>
      <c r="N25" s="79"/>
      <c r="O25" s="79"/>
      <c r="P25" s="79"/>
      <c r="Q25" s="79"/>
      <c r="R25" s="79"/>
      <c r="S25" s="79"/>
      <c r="T25" s="79"/>
      <c r="U25" s="79"/>
      <c r="V25" s="79"/>
      <c r="W25" s="79"/>
      <c r="X25" s="79"/>
    </row>
    <row r="26" spans="2:24" x14ac:dyDescent="0.25">
      <c r="B26" s="162" t="s">
        <v>103</v>
      </c>
      <c r="C26" s="163">
        <v>13995</v>
      </c>
      <c r="D26" s="163">
        <v>12846</v>
      </c>
      <c r="E26" s="163">
        <v>8758</v>
      </c>
      <c r="F26" s="163">
        <v>7870</v>
      </c>
      <c r="G26" s="163">
        <v>6503</v>
      </c>
      <c r="H26" s="164">
        <f t="shared" si="6"/>
        <v>-0.17369758576874206</v>
      </c>
      <c r="I26" s="165">
        <f t="shared" si="7"/>
        <v>-0.53533404787424077</v>
      </c>
      <c r="J26" s="164">
        <f t="shared" si="8"/>
        <v>1.2541681854386888E-2</v>
      </c>
    </row>
    <row r="27" spans="2:24" x14ac:dyDescent="0.25">
      <c r="B27" s="162" t="s">
        <v>100</v>
      </c>
      <c r="C27" s="163">
        <v>12795</v>
      </c>
      <c r="D27" s="163">
        <v>17740</v>
      </c>
      <c r="E27" s="163">
        <v>14191</v>
      </c>
      <c r="F27" s="163">
        <v>12390</v>
      </c>
      <c r="G27" s="163">
        <v>12095</v>
      </c>
      <c r="H27" s="164">
        <f t="shared" si="6"/>
        <v>-2.3809523809523836E-2</v>
      </c>
      <c r="I27" s="165">
        <f t="shared" si="7"/>
        <v>-5.4708870652598662E-2</v>
      </c>
      <c r="J27" s="164">
        <f t="shared" si="8"/>
        <v>2.3326409661511522E-2</v>
      </c>
    </row>
    <row r="28" spans="2:24" x14ac:dyDescent="0.25">
      <c r="B28" s="157" t="s">
        <v>107</v>
      </c>
      <c r="C28" s="158">
        <v>141718</v>
      </c>
      <c r="D28" s="158">
        <v>95531</v>
      </c>
      <c r="E28" s="158">
        <v>148396</v>
      </c>
      <c r="F28" s="158">
        <v>163394</v>
      </c>
      <c r="G28" s="158">
        <v>163401</v>
      </c>
      <c r="H28" s="159">
        <f t="shared" si="6"/>
        <v>4.2841230400103569E-5</v>
      </c>
      <c r="I28" s="160">
        <f t="shared" si="7"/>
        <v>0.15300103021493383</v>
      </c>
      <c r="J28" s="159">
        <f t="shared" si="8"/>
        <v>0.31513506945850717</v>
      </c>
    </row>
    <row r="29" spans="2:24" x14ac:dyDescent="0.25">
      <c r="B29" s="162" t="s">
        <v>110</v>
      </c>
      <c r="C29" s="163">
        <v>74067</v>
      </c>
      <c r="D29" s="163">
        <v>35490</v>
      </c>
      <c r="E29" s="163">
        <v>85087</v>
      </c>
      <c r="F29" s="163">
        <v>95823</v>
      </c>
      <c r="G29" s="163">
        <v>94224</v>
      </c>
      <c r="H29" s="164">
        <f t="shared" si="6"/>
        <v>-1.6687016687016665E-2</v>
      </c>
      <c r="I29" s="165">
        <f t="shared" si="7"/>
        <v>0.272145489894285</v>
      </c>
      <c r="J29" s="164">
        <f t="shared" si="8"/>
        <v>0.18172034923077812</v>
      </c>
    </row>
    <row r="30" spans="2:24" x14ac:dyDescent="0.25">
      <c r="B30" s="162" t="s">
        <v>113</v>
      </c>
      <c r="C30" s="163">
        <v>21292</v>
      </c>
      <c r="D30" s="163">
        <v>19804</v>
      </c>
      <c r="E30" s="163">
        <v>16493</v>
      </c>
      <c r="F30" s="163">
        <v>17384</v>
      </c>
      <c r="G30" s="163">
        <v>16729</v>
      </c>
      <c r="H30" s="164">
        <f t="shared" si="6"/>
        <v>-3.7678324896456505E-2</v>
      </c>
      <c r="I30" s="165">
        <f t="shared" si="7"/>
        <v>-0.21430584256997931</v>
      </c>
      <c r="J30" s="164">
        <f t="shared" si="8"/>
        <v>3.2263539249890553E-2</v>
      </c>
    </row>
    <row r="31" spans="2:24" x14ac:dyDescent="0.25">
      <c r="B31" s="162" t="s">
        <v>116</v>
      </c>
      <c r="C31" s="163">
        <v>4039</v>
      </c>
      <c r="D31" s="163">
        <v>3611</v>
      </c>
      <c r="E31" s="163">
        <v>5012</v>
      </c>
      <c r="F31" s="163">
        <v>5882</v>
      </c>
      <c r="G31" s="163">
        <v>3614</v>
      </c>
      <c r="H31" s="164">
        <f t="shared" si="6"/>
        <v>-0.38558313498809926</v>
      </c>
      <c r="I31" s="165">
        <f t="shared" si="7"/>
        <v>-0.10522406536271356</v>
      </c>
      <c r="J31" s="164">
        <f t="shared" si="8"/>
        <v>6.9699582072511477E-3</v>
      </c>
    </row>
    <row r="32" spans="2:24" x14ac:dyDescent="0.25">
      <c r="B32" s="162" t="s">
        <v>123</v>
      </c>
      <c r="C32" s="163">
        <v>5729</v>
      </c>
      <c r="D32" s="163">
        <v>7659</v>
      </c>
      <c r="E32" s="163">
        <v>7424</v>
      </c>
      <c r="F32" s="163">
        <v>7152</v>
      </c>
      <c r="G32" s="163">
        <v>6638</v>
      </c>
      <c r="H32" s="164">
        <f t="shared" si="6"/>
        <v>-7.1868008948545836E-2</v>
      </c>
      <c r="I32" s="165">
        <f t="shared" si="7"/>
        <v>0.15866643393262359</v>
      </c>
      <c r="J32" s="164">
        <f t="shared" si="8"/>
        <v>1.2802042772477344E-2</v>
      </c>
    </row>
    <row r="33" spans="2:10" x14ac:dyDescent="0.25">
      <c r="B33" s="162" t="s">
        <v>119</v>
      </c>
      <c r="C33" s="163">
        <v>5623</v>
      </c>
      <c r="D33" s="163">
        <v>7782</v>
      </c>
      <c r="E33" s="163">
        <v>6516</v>
      </c>
      <c r="F33" s="163">
        <v>6621</v>
      </c>
      <c r="G33" s="163">
        <v>6812</v>
      </c>
      <c r="H33" s="164">
        <f t="shared" si="6"/>
        <v>2.8847606101797263E-2</v>
      </c>
      <c r="I33" s="165">
        <f t="shared" si="7"/>
        <v>0.21145296105281886</v>
      </c>
      <c r="J33" s="164">
        <f t="shared" si="8"/>
        <v>1.3137619066905042E-2</v>
      </c>
    </row>
    <row r="34" spans="2:10" x14ac:dyDescent="0.25">
      <c r="B34" s="162" t="s">
        <v>128</v>
      </c>
      <c r="C34" s="163">
        <v>1033</v>
      </c>
      <c r="D34" s="163">
        <v>220</v>
      </c>
      <c r="E34" s="163">
        <v>564</v>
      </c>
      <c r="F34" s="163">
        <v>734</v>
      </c>
      <c r="G34" s="163">
        <v>961</v>
      </c>
      <c r="H34" s="164">
        <f t="shared" si="6"/>
        <v>0.30926430517711179</v>
      </c>
      <c r="I34" s="165">
        <f t="shared" si="7"/>
        <v>-6.9699903194578861E-2</v>
      </c>
      <c r="J34" s="164">
        <f t="shared" si="8"/>
        <v>1.8533840169253882E-3</v>
      </c>
    </row>
    <row r="35" spans="2:10" x14ac:dyDescent="0.25">
      <c r="B35" s="162" t="s">
        <v>131</v>
      </c>
      <c r="C35" s="163">
        <v>717</v>
      </c>
      <c r="D35" s="163">
        <v>65</v>
      </c>
      <c r="E35" s="163">
        <v>431</v>
      </c>
      <c r="F35" s="163">
        <v>464</v>
      </c>
      <c r="G35" s="163">
        <v>235</v>
      </c>
      <c r="H35" s="164">
        <f t="shared" si="6"/>
        <v>-0.49353448275862066</v>
      </c>
      <c r="I35" s="165">
        <f t="shared" si="7"/>
        <v>-0.6722454672245467</v>
      </c>
      <c r="J35" s="164">
        <f t="shared" si="8"/>
        <v>4.5322085741671825E-4</v>
      </c>
    </row>
    <row r="36" spans="2:10" x14ac:dyDescent="0.25">
      <c r="B36" s="168" t="s">
        <v>145</v>
      </c>
      <c r="C36" s="169">
        <f>C28-SUM(C29:C35)</f>
        <v>29218</v>
      </c>
      <c r="D36" s="169">
        <f>D28-SUM(D29:D35)</f>
        <v>20900</v>
      </c>
      <c r="E36" s="169">
        <f>E28-SUM(E29:E35)</f>
        <v>26869</v>
      </c>
      <c r="F36" s="169">
        <f>F28-SUM(F29:F35)</f>
        <v>29334</v>
      </c>
      <c r="G36" s="169">
        <f>G28-SUM(G29:G35)</f>
        <v>34188</v>
      </c>
      <c r="H36" s="170">
        <f t="shared" si="6"/>
        <v>0.1654735119656372</v>
      </c>
      <c r="I36" s="171">
        <f t="shared" si="7"/>
        <v>0.17010062290368944</v>
      </c>
      <c r="J36" s="170">
        <f t="shared" si="8"/>
        <v>6.5934956056862823E-2</v>
      </c>
    </row>
    <row r="37" spans="2:10" x14ac:dyDescent="0.25">
      <c r="B37" s="153" t="s">
        <v>45</v>
      </c>
      <c r="C37" s="174"/>
      <c r="D37" s="174"/>
      <c r="E37" s="174"/>
      <c r="F37" s="174"/>
      <c r="G37" s="174"/>
      <c r="H37" s="175"/>
      <c r="I37" s="175"/>
      <c r="J37" s="175"/>
    </row>
    <row r="38" spans="2:10" x14ac:dyDescent="0.25">
      <c r="B38" s="154" t="s">
        <v>68</v>
      </c>
      <c r="C38" s="176">
        <v>122832</v>
      </c>
      <c r="D38" s="176">
        <v>68931</v>
      </c>
      <c r="E38" s="176">
        <v>125170</v>
      </c>
      <c r="F38" s="176">
        <v>128953</v>
      </c>
      <c r="G38" s="176">
        <v>134918</v>
      </c>
      <c r="H38" s="177">
        <f t="shared" ref="H38:H50" si="9">IFERROR(G38/F38-1,"-")</f>
        <v>4.6257163462656958E-2</v>
      </c>
      <c r="I38" s="177">
        <f t="shared" ref="I38:I50" si="10">IFERROR(G38/C38-1,"-")</f>
        <v>9.8394555164777797E-2</v>
      </c>
      <c r="J38" s="177">
        <f t="shared" ref="J38:J50" si="11">G38/G$10</f>
        <v>0.26020277294020766</v>
      </c>
    </row>
    <row r="39" spans="2:10" x14ac:dyDescent="0.25">
      <c r="B39" s="157" t="s">
        <v>97</v>
      </c>
      <c r="C39" s="158">
        <v>10774</v>
      </c>
      <c r="D39" s="158">
        <v>9669</v>
      </c>
      <c r="E39" s="158">
        <v>12300</v>
      </c>
      <c r="F39" s="158">
        <v>12391</v>
      </c>
      <c r="G39" s="158">
        <v>12285</v>
      </c>
      <c r="H39" s="159">
        <f t="shared" si="9"/>
        <v>-8.5545960777984043E-3</v>
      </c>
      <c r="I39" s="160">
        <f t="shared" si="10"/>
        <v>0.14024503434193436</v>
      </c>
      <c r="J39" s="159">
        <f t="shared" si="11"/>
        <v>2.3692843546231419E-2</v>
      </c>
    </row>
    <row r="40" spans="2:10" x14ac:dyDescent="0.25">
      <c r="B40" s="162" t="s">
        <v>103</v>
      </c>
      <c r="C40" s="163">
        <v>3385</v>
      </c>
      <c r="D40" s="163">
        <v>2943</v>
      </c>
      <c r="E40" s="163">
        <v>4194</v>
      </c>
      <c r="F40" s="163">
        <v>5378</v>
      </c>
      <c r="G40" s="163">
        <v>5410</v>
      </c>
      <c r="H40" s="164">
        <f t="shared" si="9"/>
        <v>5.9501673484567696E-3</v>
      </c>
      <c r="I40" s="165">
        <f t="shared" si="10"/>
        <v>0.5982274741506648</v>
      </c>
      <c r="J40" s="164">
        <f t="shared" si="11"/>
        <v>1.0433722717550832E-2</v>
      </c>
    </row>
    <row r="41" spans="2:10" x14ac:dyDescent="0.25">
      <c r="B41" s="162" t="s">
        <v>100</v>
      </c>
      <c r="C41" s="163">
        <v>7389</v>
      </c>
      <c r="D41" s="163">
        <v>6726</v>
      </c>
      <c r="E41" s="163">
        <v>8106</v>
      </c>
      <c r="F41" s="163">
        <v>7013</v>
      </c>
      <c r="G41" s="163">
        <v>6875</v>
      </c>
      <c r="H41" s="164">
        <f t="shared" si="9"/>
        <v>-1.9677741337516097E-2</v>
      </c>
      <c r="I41" s="165">
        <f t="shared" si="10"/>
        <v>-6.9562863716335133E-2</v>
      </c>
      <c r="J41" s="164">
        <f t="shared" si="11"/>
        <v>1.3259120828680587E-2</v>
      </c>
    </row>
    <row r="42" spans="2:10" x14ac:dyDescent="0.25">
      <c r="B42" s="157" t="s">
        <v>107</v>
      </c>
      <c r="C42" s="158">
        <v>112058</v>
      </c>
      <c r="D42" s="158">
        <v>59262</v>
      </c>
      <c r="E42" s="158">
        <v>112870</v>
      </c>
      <c r="F42" s="158">
        <v>116562</v>
      </c>
      <c r="G42" s="158">
        <v>122633</v>
      </c>
      <c r="H42" s="159">
        <f t="shared" si="9"/>
        <v>5.2083869528662952E-2</v>
      </c>
      <c r="I42" s="160">
        <f t="shared" si="10"/>
        <v>9.4370772278641324E-2</v>
      </c>
      <c r="J42" s="159">
        <f t="shared" si="11"/>
        <v>0.23650992939397622</v>
      </c>
    </row>
    <row r="43" spans="2:10" x14ac:dyDescent="0.25">
      <c r="B43" s="162" t="s">
        <v>110</v>
      </c>
      <c r="C43" s="163">
        <v>72039</v>
      </c>
      <c r="D43" s="163">
        <v>27108</v>
      </c>
      <c r="E43" s="163">
        <v>68258</v>
      </c>
      <c r="F43" s="163">
        <v>72064</v>
      </c>
      <c r="G43" s="163">
        <v>76519</v>
      </c>
      <c r="H43" s="164">
        <f t="shared" si="9"/>
        <v>6.1820048845470765E-2</v>
      </c>
      <c r="I43" s="165">
        <f t="shared" si="10"/>
        <v>6.2188536764807845E-2</v>
      </c>
      <c r="J43" s="164">
        <f t="shared" si="11"/>
        <v>0.14757449697306324</v>
      </c>
    </row>
    <row r="44" spans="2:10" x14ac:dyDescent="0.25">
      <c r="B44" s="162" t="s">
        <v>113</v>
      </c>
      <c r="C44" s="163">
        <v>4749</v>
      </c>
      <c r="D44" s="163">
        <v>3104</v>
      </c>
      <c r="E44" s="163">
        <v>3215</v>
      </c>
      <c r="F44" s="163">
        <v>3854</v>
      </c>
      <c r="G44" s="163">
        <v>3441</v>
      </c>
      <c r="H44" s="164">
        <f t="shared" si="9"/>
        <v>-0.10716139076284381</v>
      </c>
      <c r="I44" s="165">
        <f t="shared" si="10"/>
        <v>-0.27542640555906506</v>
      </c>
      <c r="J44" s="164">
        <f t="shared" si="11"/>
        <v>6.6363105122167129E-3</v>
      </c>
    </row>
    <row r="45" spans="2:10" x14ac:dyDescent="0.25">
      <c r="B45" s="162" t="s">
        <v>116</v>
      </c>
      <c r="C45" s="163">
        <v>1883</v>
      </c>
      <c r="D45" s="163">
        <v>1620</v>
      </c>
      <c r="E45" s="163">
        <v>2240</v>
      </c>
      <c r="F45" s="163">
        <v>2611</v>
      </c>
      <c r="G45" s="163">
        <v>2354</v>
      </c>
      <c r="H45" s="164">
        <f t="shared" si="9"/>
        <v>-9.8429720413634625E-2</v>
      </c>
      <c r="I45" s="165">
        <f t="shared" si="10"/>
        <v>0.2501327668613913</v>
      </c>
      <c r="J45" s="164">
        <f t="shared" si="11"/>
        <v>4.5399229717402335E-3</v>
      </c>
    </row>
    <row r="46" spans="2:10" x14ac:dyDescent="0.25">
      <c r="B46" s="162" t="s">
        <v>123</v>
      </c>
      <c r="C46" s="163">
        <v>4925</v>
      </c>
      <c r="D46" s="163">
        <v>5580</v>
      </c>
      <c r="E46" s="163">
        <v>6502</v>
      </c>
      <c r="F46" s="163">
        <v>6405</v>
      </c>
      <c r="G46" s="163">
        <v>5630</v>
      </c>
      <c r="H46" s="164">
        <f t="shared" si="9"/>
        <v>-0.12099921935987512</v>
      </c>
      <c r="I46" s="165">
        <f t="shared" si="10"/>
        <v>0.14314720812182746</v>
      </c>
      <c r="J46" s="164">
        <f t="shared" si="11"/>
        <v>1.0858014584068612E-2</v>
      </c>
    </row>
    <row r="47" spans="2:10" x14ac:dyDescent="0.25">
      <c r="B47" s="162" t="s">
        <v>119</v>
      </c>
      <c r="C47" s="163">
        <v>4362</v>
      </c>
      <c r="D47" s="163">
        <v>3905</v>
      </c>
      <c r="E47" s="163">
        <v>4026</v>
      </c>
      <c r="F47" s="163">
        <v>4643</v>
      </c>
      <c r="G47" s="163">
        <v>3835</v>
      </c>
      <c r="H47" s="164">
        <f t="shared" si="9"/>
        <v>-0.17402541460262766</v>
      </c>
      <c r="I47" s="165">
        <f t="shared" si="10"/>
        <v>-0.12081613938560298</v>
      </c>
      <c r="J47" s="164">
        <f t="shared" si="11"/>
        <v>7.3961786731621898E-3</v>
      </c>
    </row>
    <row r="48" spans="2:10" x14ac:dyDescent="0.25">
      <c r="B48" s="162" t="s">
        <v>128</v>
      </c>
      <c r="C48" s="163">
        <v>730</v>
      </c>
      <c r="D48" s="163">
        <v>646</v>
      </c>
      <c r="E48" s="163">
        <v>625</v>
      </c>
      <c r="F48" s="163">
        <v>539</v>
      </c>
      <c r="G48" s="163">
        <v>547</v>
      </c>
      <c r="H48" s="164">
        <f t="shared" si="9"/>
        <v>1.4842300556586308E-2</v>
      </c>
      <c r="I48" s="165">
        <f t="shared" si="10"/>
        <v>-0.25068493150684934</v>
      </c>
      <c r="J48" s="164">
        <f t="shared" si="11"/>
        <v>1.0549438681146592E-3</v>
      </c>
    </row>
    <row r="49" spans="2:10" x14ac:dyDescent="0.25">
      <c r="B49" s="162" t="s">
        <v>131</v>
      </c>
      <c r="C49" s="163">
        <v>454</v>
      </c>
      <c r="D49" s="163">
        <v>92</v>
      </c>
      <c r="E49" s="163">
        <v>134</v>
      </c>
      <c r="F49" s="163">
        <v>422</v>
      </c>
      <c r="G49" s="163">
        <v>113</v>
      </c>
      <c r="H49" s="164">
        <f t="shared" si="9"/>
        <v>-0.73222748815165883</v>
      </c>
      <c r="I49" s="165">
        <f t="shared" si="10"/>
        <v>-0.75110132158590304</v>
      </c>
      <c r="J49" s="164">
        <f t="shared" si="11"/>
        <v>2.179317314386773E-4</v>
      </c>
    </row>
    <row r="50" spans="2:10" x14ac:dyDescent="0.25">
      <c r="B50" s="168" t="s">
        <v>145</v>
      </c>
      <c r="C50" s="169">
        <f>C42-SUM(C43:C49)</f>
        <v>22916</v>
      </c>
      <c r="D50" s="169">
        <f>D42-SUM(D43:D49)</f>
        <v>17207</v>
      </c>
      <c r="E50" s="169">
        <f>E42-SUM(E43:E49)</f>
        <v>27870</v>
      </c>
      <c r="F50" s="169">
        <f>F42-SUM(F43:F49)</f>
        <v>26024</v>
      </c>
      <c r="G50" s="169">
        <f>G42-SUM(G43:G49)</f>
        <v>30194</v>
      </c>
      <c r="H50" s="170">
        <f t="shared" si="9"/>
        <v>0.16023670458038741</v>
      </c>
      <c r="I50" s="171">
        <f t="shared" si="10"/>
        <v>0.31759469366381565</v>
      </c>
      <c r="J50" s="170">
        <f t="shared" si="11"/>
        <v>5.8232130080171876E-2</v>
      </c>
    </row>
    <row r="51" spans="2:10" x14ac:dyDescent="0.25">
      <c r="B51" s="153" t="s">
        <v>46</v>
      </c>
      <c r="C51" s="174"/>
      <c r="D51" s="174"/>
      <c r="E51" s="174"/>
      <c r="F51" s="174"/>
      <c r="G51" s="174"/>
      <c r="H51" s="175"/>
      <c r="I51" s="175"/>
      <c r="J51" s="175"/>
    </row>
    <row r="52" spans="2:10" x14ac:dyDescent="0.25">
      <c r="B52" s="154" t="s">
        <v>68</v>
      </c>
      <c r="C52" s="176">
        <v>3964</v>
      </c>
      <c r="D52" s="176">
        <v>2558</v>
      </c>
      <c r="E52" s="176">
        <v>3499</v>
      </c>
      <c r="F52" s="176">
        <v>4023</v>
      </c>
      <c r="G52" s="176">
        <v>3471</v>
      </c>
      <c r="H52" s="177">
        <f t="shared" ref="H52:H64" si="12">IFERROR(G52/F52-1,"-")</f>
        <v>-0.13721103653989564</v>
      </c>
      <c r="I52" s="177">
        <f t="shared" ref="I52:I64" si="13">IFERROR(G52/C52-1,"-")</f>
        <v>-0.12436932391523714</v>
      </c>
      <c r="J52" s="177">
        <f t="shared" ref="J52:J64" si="14">G52/G$10</f>
        <v>6.6941684940145917E-3</v>
      </c>
    </row>
    <row r="53" spans="2:10" x14ac:dyDescent="0.25">
      <c r="B53" s="157" t="s">
        <v>97</v>
      </c>
      <c r="C53" s="158">
        <v>1162</v>
      </c>
      <c r="D53" s="158">
        <v>695</v>
      </c>
      <c r="E53" s="158">
        <v>563</v>
      </c>
      <c r="F53" s="158">
        <v>1757</v>
      </c>
      <c r="G53" s="158">
        <v>908</v>
      </c>
      <c r="H53" s="159">
        <f t="shared" si="12"/>
        <v>-0.48321001707455891</v>
      </c>
      <c r="I53" s="160">
        <f t="shared" si="13"/>
        <v>-0.21858864027538727</v>
      </c>
      <c r="J53" s="159">
        <f t="shared" si="14"/>
        <v>1.7511682490824688E-3</v>
      </c>
    </row>
    <row r="54" spans="2:10" x14ac:dyDescent="0.25">
      <c r="B54" s="162" t="s">
        <v>103</v>
      </c>
      <c r="C54" s="163">
        <v>757</v>
      </c>
      <c r="D54" s="163">
        <v>333</v>
      </c>
      <c r="E54" s="163">
        <v>284</v>
      </c>
      <c r="F54" s="163">
        <v>1401</v>
      </c>
      <c r="G54" s="163">
        <v>691</v>
      </c>
      <c r="H54" s="164">
        <f t="shared" si="12"/>
        <v>-0.50678087080656675</v>
      </c>
      <c r="I54" s="165">
        <f t="shared" si="13"/>
        <v>-8.7186261558784728E-2</v>
      </c>
      <c r="J54" s="164">
        <f t="shared" si="14"/>
        <v>1.3326621807444778E-3</v>
      </c>
    </row>
    <row r="55" spans="2:10" x14ac:dyDescent="0.25">
      <c r="B55" s="162" t="s">
        <v>100</v>
      </c>
      <c r="C55" s="163">
        <v>405</v>
      </c>
      <c r="D55" s="163">
        <v>362</v>
      </c>
      <c r="E55" s="163">
        <v>279</v>
      </c>
      <c r="F55" s="163">
        <v>356</v>
      </c>
      <c r="G55" s="163">
        <v>217</v>
      </c>
      <c r="H55" s="164">
        <f t="shared" si="12"/>
        <v>-0.3904494382022472</v>
      </c>
      <c r="I55" s="165">
        <f t="shared" si="13"/>
        <v>-0.46419753086419757</v>
      </c>
      <c r="J55" s="164">
        <f t="shared" si="14"/>
        <v>4.1850606833799089E-4</v>
      </c>
    </row>
    <row r="56" spans="2:10" x14ac:dyDescent="0.25">
      <c r="B56" s="157" t="s">
        <v>107</v>
      </c>
      <c r="C56" s="158">
        <v>2802</v>
      </c>
      <c r="D56" s="158">
        <v>1863</v>
      </c>
      <c r="E56" s="158">
        <v>2936</v>
      </c>
      <c r="F56" s="158">
        <v>2266</v>
      </c>
      <c r="G56" s="158">
        <v>2563</v>
      </c>
      <c r="H56" s="159">
        <f t="shared" si="12"/>
        <v>0.13106796116504849</v>
      </c>
      <c r="I56" s="160">
        <f t="shared" si="13"/>
        <v>-8.5296216987865825E-2</v>
      </c>
      <c r="J56" s="159">
        <f t="shared" si="14"/>
        <v>4.9430002449321227E-3</v>
      </c>
    </row>
    <row r="57" spans="2:10" x14ac:dyDescent="0.25">
      <c r="B57" s="162" t="s">
        <v>110</v>
      </c>
      <c r="C57" s="163">
        <v>1100</v>
      </c>
      <c r="D57" s="163">
        <v>696</v>
      </c>
      <c r="E57" s="163">
        <v>956</v>
      </c>
      <c r="F57" s="163">
        <v>940</v>
      </c>
      <c r="G57" s="163">
        <v>1013</v>
      </c>
      <c r="H57" s="164">
        <f t="shared" si="12"/>
        <v>7.7659574468085024E-2</v>
      </c>
      <c r="I57" s="165">
        <f t="shared" si="13"/>
        <v>-7.9090909090909101E-2</v>
      </c>
      <c r="J57" s="164">
        <f t="shared" si="14"/>
        <v>1.9536711853750449E-3</v>
      </c>
    </row>
    <row r="58" spans="2:10" x14ac:dyDescent="0.25">
      <c r="B58" s="162" t="s">
        <v>113</v>
      </c>
      <c r="C58" s="163">
        <v>791</v>
      </c>
      <c r="D58" s="163">
        <v>488</v>
      </c>
      <c r="E58" s="163">
        <v>525</v>
      </c>
      <c r="F58" s="163">
        <v>404</v>
      </c>
      <c r="G58" s="163">
        <v>401</v>
      </c>
      <c r="H58" s="164">
        <f t="shared" si="12"/>
        <v>-7.4257425742574323E-3</v>
      </c>
      <c r="I58" s="165">
        <f t="shared" si="13"/>
        <v>-0.49304677623261695</v>
      </c>
      <c r="J58" s="164">
        <f t="shared" si="14"/>
        <v>7.7336835669831495E-4</v>
      </c>
    </row>
    <row r="59" spans="2:10" x14ac:dyDescent="0.25">
      <c r="B59" s="162" t="s">
        <v>116</v>
      </c>
      <c r="C59" s="163">
        <v>110</v>
      </c>
      <c r="D59" s="163">
        <v>106</v>
      </c>
      <c r="E59" s="163">
        <v>307</v>
      </c>
      <c r="F59" s="163">
        <v>177</v>
      </c>
      <c r="G59" s="163">
        <v>210</v>
      </c>
      <c r="H59" s="164">
        <f t="shared" si="12"/>
        <v>0.18644067796610164</v>
      </c>
      <c r="I59" s="165">
        <f t="shared" si="13"/>
        <v>0.90909090909090917</v>
      </c>
      <c r="J59" s="164">
        <f t="shared" si="14"/>
        <v>4.0500587258515247E-4</v>
      </c>
    </row>
    <row r="60" spans="2:10" x14ac:dyDescent="0.25">
      <c r="B60" s="162" t="s">
        <v>123</v>
      </c>
      <c r="C60" s="163">
        <v>45</v>
      </c>
      <c r="D60" s="163">
        <v>58</v>
      </c>
      <c r="E60" s="163">
        <v>52</v>
      </c>
      <c r="F60" s="163">
        <v>36</v>
      </c>
      <c r="G60" s="163">
        <v>88</v>
      </c>
      <c r="H60" s="164">
        <f t="shared" si="12"/>
        <v>1.4444444444444446</v>
      </c>
      <c r="I60" s="165">
        <f t="shared" si="13"/>
        <v>0.95555555555555549</v>
      </c>
      <c r="J60" s="164">
        <f t="shared" si="14"/>
        <v>1.6971674660711152E-4</v>
      </c>
    </row>
    <row r="61" spans="2:10" x14ac:dyDescent="0.25">
      <c r="B61" s="162" t="s">
        <v>119</v>
      </c>
      <c r="C61" s="163">
        <v>48</v>
      </c>
      <c r="D61" s="163">
        <v>25</v>
      </c>
      <c r="E61" s="163">
        <v>57</v>
      </c>
      <c r="F61" s="163">
        <v>18</v>
      </c>
      <c r="G61" s="163">
        <v>70</v>
      </c>
      <c r="H61" s="164">
        <f t="shared" si="12"/>
        <v>2.8888888888888888</v>
      </c>
      <c r="I61" s="165">
        <f t="shared" si="13"/>
        <v>0.45833333333333326</v>
      </c>
      <c r="J61" s="164">
        <f t="shared" si="14"/>
        <v>1.3500195752838416E-4</v>
      </c>
    </row>
    <row r="62" spans="2:10" x14ac:dyDescent="0.25">
      <c r="B62" s="162" t="s">
        <v>128</v>
      </c>
      <c r="C62" s="163">
        <v>2</v>
      </c>
      <c r="D62" s="163">
        <v>0</v>
      </c>
      <c r="E62" s="163">
        <v>3</v>
      </c>
      <c r="F62" s="163">
        <v>7</v>
      </c>
      <c r="G62" s="163">
        <v>4</v>
      </c>
      <c r="H62" s="164">
        <f t="shared" si="12"/>
        <v>-0.4285714285714286</v>
      </c>
      <c r="I62" s="165">
        <f t="shared" si="13"/>
        <v>1</v>
      </c>
      <c r="J62" s="164">
        <f t="shared" si="14"/>
        <v>7.7143975730505236E-6</v>
      </c>
    </row>
    <row r="63" spans="2:10" x14ac:dyDescent="0.25">
      <c r="B63" s="162" t="s">
        <v>131</v>
      </c>
      <c r="C63" s="163">
        <v>11</v>
      </c>
      <c r="D63" s="163">
        <v>2</v>
      </c>
      <c r="E63" s="163">
        <v>0</v>
      </c>
      <c r="F63" s="163">
        <v>0</v>
      </c>
      <c r="G63" s="163">
        <v>4</v>
      </c>
      <c r="H63" s="164" t="str">
        <f t="shared" si="12"/>
        <v>-</v>
      </c>
      <c r="I63" s="165">
        <f t="shared" si="13"/>
        <v>-0.63636363636363635</v>
      </c>
      <c r="J63" s="164">
        <f t="shared" si="14"/>
        <v>7.7143975730505236E-6</v>
      </c>
    </row>
    <row r="64" spans="2:10" x14ac:dyDescent="0.25">
      <c r="B64" s="168" t="s">
        <v>145</v>
      </c>
      <c r="C64" s="169">
        <f>C56-SUM(C57:C63)</f>
        <v>695</v>
      </c>
      <c r="D64" s="169">
        <f>D56-SUM(D57:D63)</f>
        <v>488</v>
      </c>
      <c r="E64" s="169">
        <f>E56-SUM(E57:E63)</f>
        <v>1036</v>
      </c>
      <c r="F64" s="169">
        <f>F56-SUM(F57:F63)</f>
        <v>684</v>
      </c>
      <c r="G64" s="169">
        <f>G56-SUM(G57:G63)</f>
        <v>773</v>
      </c>
      <c r="H64" s="170">
        <f t="shared" si="12"/>
        <v>0.13011695906432741</v>
      </c>
      <c r="I64" s="171">
        <f t="shared" si="13"/>
        <v>0.11223021582733805</v>
      </c>
      <c r="J64" s="170">
        <f t="shared" si="14"/>
        <v>1.4908073309920138E-3</v>
      </c>
    </row>
    <row r="65" spans="2:10" x14ac:dyDescent="0.25">
      <c r="B65" s="153" t="s">
        <v>47</v>
      </c>
      <c r="C65" s="174"/>
      <c r="D65" s="174"/>
      <c r="E65" s="174"/>
      <c r="F65" s="174"/>
      <c r="G65" s="174"/>
      <c r="H65" s="175"/>
      <c r="I65" s="175"/>
      <c r="J65" s="175"/>
    </row>
    <row r="66" spans="2:10" x14ac:dyDescent="0.25">
      <c r="B66" s="154" t="s">
        <v>68</v>
      </c>
      <c r="C66" s="176">
        <v>14155</v>
      </c>
      <c r="D66" s="176">
        <v>9924</v>
      </c>
      <c r="E66" s="176">
        <v>13134</v>
      </c>
      <c r="F66" s="176">
        <v>18421</v>
      </c>
      <c r="G66" s="176">
        <v>19553</v>
      </c>
      <c r="H66" s="177">
        <f t="shared" ref="H66:H78" si="15">IFERROR(G66/F66-1,"-")</f>
        <v>6.1451604147440442E-2</v>
      </c>
      <c r="I66" s="177">
        <f t="shared" ref="I66:I78" si="16">IFERROR(G66/C66-1,"-")</f>
        <v>0.3813493465206641</v>
      </c>
      <c r="J66" s="177">
        <f t="shared" ref="J66:J78" si="17">G66/G$10</f>
        <v>3.7709903936464222E-2</v>
      </c>
    </row>
    <row r="67" spans="2:10" x14ac:dyDescent="0.25">
      <c r="B67" s="157" t="s">
        <v>97</v>
      </c>
      <c r="C67" s="158">
        <v>6768</v>
      </c>
      <c r="D67" s="158">
        <v>5017</v>
      </c>
      <c r="E67" s="158">
        <v>1381</v>
      </c>
      <c r="F67" s="158">
        <v>9816</v>
      </c>
      <c r="G67" s="158">
        <v>7884</v>
      </c>
      <c r="H67" s="159">
        <f t="shared" si="15"/>
        <v>-0.19682151589242058</v>
      </c>
      <c r="I67" s="160">
        <f t="shared" si="16"/>
        <v>0.16489361702127669</v>
      </c>
      <c r="J67" s="159">
        <f t="shared" si="17"/>
        <v>1.5205077616482581E-2</v>
      </c>
    </row>
    <row r="68" spans="2:10" x14ac:dyDescent="0.25">
      <c r="B68" s="162" t="s">
        <v>103</v>
      </c>
      <c r="C68" s="163">
        <v>3707</v>
      </c>
      <c r="D68" s="163">
        <v>3373</v>
      </c>
      <c r="E68" s="163">
        <v>286</v>
      </c>
      <c r="F68" s="163">
        <v>7748</v>
      </c>
      <c r="G68" s="163">
        <v>5350</v>
      </c>
      <c r="H68" s="164">
        <f t="shared" si="15"/>
        <v>-0.30949922560660814</v>
      </c>
      <c r="I68" s="165">
        <f t="shared" si="16"/>
        <v>0.44321553817102788</v>
      </c>
      <c r="J68" s="164">
        <f t="shared" si="17"/>
        <v>1.0318006753955075E-2</v>
      </c>
    </row>
    <row r="69" spans="2:10" x14ac:dyDescent="0.25">
      <c r="B69" s="162" t="s">
        <v>100</v>
      </c>
      <c r="C69" s="163">
        <v>3061</v>
      </c>
      <c r="D69" s="163">
        <v>1644</v>
      </c>
      <c r="E69" s="163">
        <v>1095</v>
      </c>
      <c r="F69" s="163">
        <v>2068</v>
      </c>
      <c r="G69" s="163">
        <v>2534</v>
      </c>
      <c r="H69" s="164">
        <f t="shared" si="15"/>
        <v>0.22533849129593819</v>
      </c>
      <c r="I69" s="165">
        <f t="shared" si="16"/>
        <v>-0.17216595883698138</v>
      </c>
      <c r="J69" s="164">
        <f t="shared" si="17"/>
        <v>4.8870708625275063E-3</v>
      </c>
    </row>
    <row r="70" spans="2:10" x14ac:dyDescent="0.25">
      <c r="B70" s="157" t="s">
        <v>107</v>
      </c>
      <c r="C70" s="158">
        <v>7387</v>
      </c>
      <c r="D70" s="158">
        <v>4907</v>
      </c>
      <c r="E70" s="158">
        <v>11753</v>
      </c>
      <c r="F70" s="158">
        <v>8605</v>
      </c>
      <c r="G70" s="158">
        <v>11669</v>
      </c>
      <c r="H70" s="159">
        <f t="shared" si="15"/>
        <v>0.35607205113306217</v>
      </c>
      <c r="I70" s="160">
        <f t="shared" si="16"/>
        <v>0.5796669825368892</v>
      </c>
      <c r="J70" s="159">
        <f t="shared" si="17"/>
        <v>2.250482631998164E-2</v>
      </c>
    </row>
    <row r="71" spans="2:10" x14ac:dyDescent="0.25">
      <c r="B71" s="162" t="s">
        <v>110</v>
      </c>
      <c r="C71" s="163">
        <v>2707</v>
      </c>
      <c r="D71" s="163">
        <v>2258</v>
      </c>
      <c r="E71" s="163">
        <v>5708</v>
      </c>
      <c r="F71" s="163">
        <v>3480</v>
      </c>
      <c r="G71" s="163">
        <v>5692</v>
      </c>
      <c r="H71" s="164">
        <f t="shared" si="15"/>
        <v>0.63563218390804588</v>
      </c>
      <c r="I71" s="165">
        <f t="shared" si="16"/>
        <v>1.1026967122275582</v>
      </c>
      <c r="J71" s="164">
        <f t="shared" si="17"/>
        <v>1.0977587746450895E-2</v>
      </c>
    </row>
    <row r="72" spans="2:10" x14ac:dyDescent="0.25">
      <c r="B72" s="162" t="s">
        <v>113</v>
      </c>
      <c r="C72" s="163">
        <v>1326</v>
      </c>
      <c r="D72" s="163">
        <v>578</v>
      </c>
      <c r="E72" s="163">
        <v>289</v>
      </c>
      <c r="F72" s="163">
        <v>835</v>
      </c>
      <c r="G72" s="163">
        <v>580</v>
      </c>
      <c r="H72" s="164">
        <f t="shared" si="15"/>
        <v>-0.30538922155688619</v>
      </c>
      <c r="I72" s="165">
        <f t="shared" si="16"/>
        <v>-0.56259426847662142</v>
      </c>
      <c r="J72" s="164">
        <f t="shared" si="17"/>
        <v>1.118587648092326E-3</v>
      </c>
    </row>
    <row r="73" spans="2:10" x14ac:dyDescent="0.25">
      <c r="B73" s="162" t="s">
        <v>116</v>
      </c>
      <c r="C73" s="163">
        <v>762</v>
      </c>
      <c r="D73" s="163">
        <v>438</v>
      </c>
      <c r="E73" s="163">
        <v>1556</v>
      </c>
      <c r="F73" s="163">
        <v>323</v>
      </c>
      <c r="G73" s="163">
        <v>1041</v>
      </c>
      <c r="H73" s="164">
        <f t="shared" si="15"/>
        <v>2.2229102167182662</v>
      </c>
      <c r="I73" s="165">
        <f t="shared" si="16"/>
        <v>0.36614173228346458</v>
      </c>
      <c r="J73" s="164">
        <f t="shared" si="17"/>
        <v>2.0076719683863988E-3</v>
      </c>
    </row>
    <row r="74" spans="2:10" x14ac:dyDescent="0.25">
      <c r="B74" s="162" t="s">
        <v>123</v>
      </c>
      <c r="C74" s="163">
        <v>64</v>
      </c>
      <c r="D74" s="163">
        <v>432</v>
      </c>
      <c r="E74" s="163">
        <v>194</v>
      </c>
      <c r="F74" s="163">
        <v>319</v>
      </c>
      <c r="G74" s="163">
        <v>527</v>
      </c>
      <c r="H74" s="164">
        <f t="shared" si="15"/>
        <v>0.65203761755485901</v>
      </c>
      <c r="I74" s="165">
        <f t="shared" si="16"/>
        <v>7.234375</v>
      </c>
      <c r="J74" s="164">
        <f t="shared" si="17"/>
        <v>1.0163718802494064E-3</v>
      </c>
    </row>
    <row r="75" spans="2:10" x14ac:dyDescent="0.25">
      <c r="B75" s="162" t="s">
        <v>119</v>
      </c>
      <c r="C75" s="163">
        <v>125</v>
      </c>
      <c r="D75" s="163">
        <v>108</v>
      </c>
      <c r="E75" s="163">
        <v>393</v>
      </c>
      <c r="F75" s="163">
        <v>58</v>
      </c>
      <c r="G75" s="163">
        <v>290</v>
      </c>
      <c r="H75" s="164">
        <f t="shared" si="15"/>
        <v>4</v>
      </c>
      <c r="I75" s="165">
        <f t="shared" si="16"/>
        <v>1.3199999999999998</v>
      </c>
      <c r="J75" s="164">
        <f t="shared" si="17"/>
        <v>5.59293824046163E-4</v>
      </c>
    </row>
    <row r="76" spans="2:10" x14ac:dyDescent="0.25">
      <c r="B76" s="162" t="s">
        <v>128</v>
      </c>
      <c r="C76" s="163">
        <v>6</v>
      </c>
      <c r="D76" s="163">
        <v>22</v>
      </c>
      <c r="E76" s="163">
        <v>14</v>
      </c>
      <c r="F76" s="163">
        <v>6</v>
      </c>
      <c r="G76" s="163">
        <v>33</v>
      </c>
      <c r="H76" s="164">
        <f t="shared" si="15"/>
        <v>4.5</v>
      </c>
      <c r="I76" s="165">
        <f t="shared" si="16"/>
        <v>4.5</v>
      </c>
      <c r="J76" s="164">
        <f t="shared" si="17"/>
        <v>6.3643779977666818E-5</v>
      </c>
    </row>
    <row r="77" spans="2:10" x14ac:dyDescent="0.25">
      <c r="B77" s="162" t="s">
        <v>131</v>
      </c>
      <c r="C77" s="163">
        <v>15</v>
      </c>
      <c r="D77" s="163">
        <v>7</v>
      </c>
      <c r="E77" s="163">
        <v>13</v>
      </c>
      <c r="F77" s="163">
        <v>8</v>
      </c>
      <c r="G77" s="163">
        <v>47</v>
      </c>
      <c r="H77" s="164">
        <f t="shared" si="15"/>
        <v>4.875</v>
      </c>
      <c r="I77" s="165">
        <f t="shared" si="16"/>
        <v>2.1333333333333333</v>
      </c>
      <c r="J77" s="164">
        <f t="shared" si="17"/>
        <v>9.0644171483343647E-5</v>
      </c>
    </row>
    <row r="78" spans="2:10" x14ac:dyDescent="0.25">
      <c r="B78" s="168" t="s">
        <v>145</v>
      </c>
      <c r="C78" s="169">
        <f>C70-SUM(C71:C77)</f>
        <v>2382</v>
      </c>
      <c r="D78" s="169">
        <f>D70-SUM(D71:D77)</f>
        <v>1064</v>
      </c>
      <c r="E78" s="169">
        <f>E70-SUM(E71:E77)</f>
        <v>3586</v>
      </c>
      <c r="F78" s="169">
        <f>F70-SUM(F71:F77)</f>
        <v>3576</v>
      </c>
      <c r="G78" s="169">
        <f>G70-SUM(G71:G77)</f>
        <v>3459</v>
      </c>
      <c r="H78" s="170">
        <f t="shared" si="15"/>
        <v>-3.2718120805369177E-2</v>
      </c>
      <c r="I78" s="171">
        <f t="shared" si="16"/>
        <v>0.45214105793450887</v>
      </c>
      <c r="J78" s="170">
        <f t="shared" si="17"/>
        <v>6.6710253012954406E-3</v>
      </c>
    </row>
    <row r="79" spans="2:10" x14ac:dyDescent="0.25">
      <c r="B79" s="153" t="s">
        <v>48</v>
      </c>
      <c r="C79" s="174"/>
      <c r="D79" s="174"/>
      <c r="E79" s="174"/>
      <c r="F79" s="174"/>
      <c r="G79" s="174"/>
      <c r="H79" s="175"/>
      <c r="I79" s="175"/>
      <c r="J79" s="175"/>
    </row>
    <row r="80" spans="2:10" x14ac:dyDescent="0.25">
      <c r="B80" s="154" t="s">
        <v>68</v>
      </c>
      <c r="C80" s="176">
        <v>81941</v>
      </c>
      <c r="D80" s="176">
        <v>55397</v>
      </c>
      <c r="E80" s="176">
        <v>71676</v>
      </c>
      <c r="F80" s="176">
        <v>83171</v>
      </c>
      <c r="G80" s="176">
        <v>91131</v>
      </c>
      <c r="H80" s="177">
        <f t="shared" ref="H80:H92" si="18">IFERROR(G80/F80-1,"-")</f>
        <v>9.5706436137596107E-2</v>
      </c>
      <c r="I80" s="177">
        <f t="shared" ref="I80:I92" si="19">IFERROR(G80/C80-1,"-")</f>
        <v>0.11215386680660466</v>
      </c>
      <c r="J80" s="177">
        <f t="shared" ref="J80:J92" si="20">G80/G$10</f>
        <v>0.17575519130741682</v>
      </c>
    </row>
    <row r="81" spans="2:10" x14ac:dyDescent="0.25">
      <c r="B81" s="157" t="s">
        <v>97</v>
      </c>
      <c r="C81" s="158">
        <v>36909</v>
      </c>
      <c r="D81" s="158">
        <v>30530</v>
      </c>
      <c r="E81" s="158">
        <v>36680</v>
      </c>
      <c r="F81" s="158">
        <v>38459</v>
      </c>
      <c r="G81" s="158">
        <v>38667</v>
      </c>
      <c r="H81" s="159">
        <f t="shared" si="18"/>
        <v>5.4083569515588348E-3</v>
      </c>
      <c r="I81" s="160">
        <f t="shared" si="19"/>
        <v>4.7630659188815816E-2</v>
      </c>
      <c r="J81" s="159">
        <f t="shared" si="20"/>
        <v>7.457315273928615E-2</v>
      </c>
    </row>
    <row r="82" spans="2:10" x14ac:dyDescent="0.25">
      <c r="B82" s="162" t="s">
        <v>103</v>
      </c>
      <c r="C82" s="163">
        <v>7517</v>
      </c>
      <c r="D82" s="163">
        <v>8973</v>
      </c>
      <c r="E82" s="163">
        <v>8316</v>
      </c>
      <c r="F82" s="163">
        <v>11755</v>
      </c>
      <c r="G82" s="163">
        <v>8535</v>
      </c>
      <c r="H82" s="164">
        <f t="shared" si="18"/>
        <v>-0.27392598894087627</v>
      </c>
      <c r="I82" s="165">
        <f t="shared" si="19"/>
        <v>0.13542636690168952</v>
      </c>
      <c r="J82" s="164">
        <f t="shared" si="20"/>
        <v>1.6460595821496556E-2</v>
      </c>
    </row>
    <row r="83" spans="2:10" x14ac:dyDescent="0.25">
      <c r="B83" s="162" t="s">
        <v>100</v>
      </c>
      <c r="C83" s="163">
        <v>29392</v>
      </c>
      <c r="D83" s="163">
        <v>21557</v>
      </c>
      <c r="E83" s="163">
        <v>28364</v>
      </c>
      <c r="F83" s="163">
        <v>26704</v>
      </c>
      <c r="G83" s="163">
        <v>30132</v>
      </c>
      <c r="H83" s="164">
        <f t="shared" si="18"/>
        <v>0.12837028160575192</v>
      </c>
      <c r="I83" s="165">
        <f t="shared" si="19"/>
        <v>2.5176918889493693E-2</v>
      </c>
      <c r="J83" s="164">
        <f t="shared" si="20"/>
        <v>5.8112556917789597E-2</v>
      </c>
    </row>
    <row r="84" spans="2:10" x14ac:dyDescent="0.25">
      <c r="B84" s="157" t="s">
        <v>107</v>
      </c>
      <c r="C84" s="158">
        <v>45032</v>
      </c>
      <c r="D84" s="158">
        <v>24867</v>
      </c>
      <c r="E84" s="158">
        <v>34996</v>
      </c>
      <c r="F84" s="158">
        <v>44712</v>
      </c>
      <c r="G84" s="158">
        <v>52464</v>
      </c>
      <c r="H84" s="159">
        <f t="shared" si="18"/>
        <v>0.17337627482555029</v>
      </c>
      <c r="I84" s="160">
        <f t="shared" si="19"/>
        <v>0.16503819506128981</v>
      </c>
      <c r="J84" s="159">
        <f t="shared" si="20"/>
        <v>0.10118203856813067</v>
      </c>
    </row>
    <row r="85" spans="2:10" x14ac:dyDescent="0.25">
      <c r="B85" s="162" t="s">
        <v>110</v>
      </c>
      <c r="C85" s="163">
        <v>9366</v>
      </c>
      <c r="D85" s="163">
        <v>2422</v>
      </c>
      <c r="E85" s="163">
        <v>7553</v>
      </c>
      <c r="F85" s="163">
        <v>11321</v>
      </c>
      <c r="G85" s="163">
        <v>13030</v>
      </c>
      <c r="H85" s="164">
        <f t="shared" si="18"/>
        <v>0.15095839590142224</v>
      </c>
      <c r="I85" s="165">
        <f t="shared" si="19"/>
        <v>0.39120222079863343</v>
      </c>
      <c r="J85" s="164">
        <f t="shared" si="20"/>
        <v>2.5129650094212079E-2</v>
      </c>
    </row>
    <row r="86" spans="2:10" x14ac:dyDescent="0.25">
      <c r="B86" s="162" t="s">
        <v>113</v>
      </c>
      <c r="C86" s="163">
        <v>15897</v>
      </c>
      <c r="D86" s="163">
        <v>8104</v>
      </c>
      <c r="E86" s="163">
        <v>11169</v>
      </c>
      <c r="F86" s="163">
        <v>11398</v>
      </c>
      <c r="G86" s="163">
        <v>12402</v>
      </c>
      <c r="H86" s="164">
        <f t="shared" si="18"/>
        <v>8.8085629057729431E-2</v>
      </c>
      <c r="I86" s="165">
        <f t="shared" si="19"/>
        <v>-0.21985280241555005</v>
      </c>
      <c r="J86" s="164">
        <f t="shared" si="20"/>
        <v>2.3918489675243147E-2</v>
      </c>
    </row>
    <row r="87" spans="2:10" x14ac:dyDescent="0.25">
      <c r="B87" s="162" t="s">
        <v>116</v>
      </c>
      <c r="C87" s="163">
        <v>2657</v>
      </c>
      <c r="D87" s="163">
        <v>2405</v>
      </c>
      <c r="E87" s="163">
        <v>2802</v>
      </c>
      <c r="F87" s="163">
        <v>4299</v>
      </c>
      <c r="G87" s="163">
        <v>5249</v>
      </c>
      <c r="H87" s="164">
        <f t="shared" si="18"/>
        <v>0.22098162363340301</v>
      </c>
      <c r="I87" s="165">
        <f t="shared" si="19"/>
        <v>0.97553631915694394</v>
      </c>
      <c r="J87" s="164">
        <f t="shared" si="20"/>
        <v>1.012321821523555E-2</v>
      </c>
    </row>
    <row r="88" spans="2:10" x14ac:dyDescent="0.25">
      <c r="B88" s="162" t="s">
        <v>123</v>
      </c>
      <c r="C88" s="163">
        <v>974</v>
      </c>
      <c r="D88" s="163">
        <v>825</v>
      </c>
      <c r="E88" s="163">
        <v>1068</v>
      </c>
      <c r="F88" s="163">
        <v>1572</v>
      </c>
      <c r="G88" s="163">
        <v>2152</v>
      </c>
      <c r="H88" s="164">
        <f t="shared" si="18"/>
        <v>0.36895674300254444</v>
      </c>
      <c r="I88" s="165">
        <f t="shared" si="19"/>
        <v>1.2094455852156059</v>
      </c>
      <c r="J88" s="164">
        <f t="shared" si="20"/>
        <v>4.1503458943011814E-3</v>
      </c>
    </row>
    <row r="89" spans="2:10" x14ac:dyDescent="0.25">
      <c r="B89" s="162" t="s">
        <v>119</v>
      </c>
      <c r="C89" s="163">
        <v>691</v>
      </c>
      <c r="D89" s="163">
        <v>961</v>
      </c>
      <c r="E89" s="163">
        <v>552</v>
      </c>
      <c r="F89" s="163">
        <v>787</v>
      </c>
      <c r="G89" s="163">
        <v>972</v>
      </c>
      <c r="H89" s="164">
        <f t="shared" si="18"/>
        <v>0.2350698856416773</v>
      </c>
      <c r="I89" s="165">
        <f t="shared" si="19"/>
        <v>0.40665701881331406</v>
      </c>
      <c r="J89" s="164">
        <f t="shared" si="20"/>
        <v>1.8745986102512771E-3</v>
      </c>
    </row>
    <row r="90" spans="2:10" x14ac:dyDescent="0.25">
      <c r="B90" s="162" t="s">
        <v>128</v>
      </c>
      <c r="C90" s="163">
        <v>294</v>
      </c>
      <c r="D90" s="163">
        <v>123</v>
      </c>
      <c r="E90" s="163">
        <v>258</v>
      </c>
      <c r="F90" s="163">
        <v>141</v>
      </c>
      <c r="G90" s="163">
        <v>224</v>
      </c>
      <c r="H90" s="164">
        <f t="shared" si="18"/>
        <v>0.58865248226950362</v>
      </c>
      <c r="I90" s="165">
        <f t="shared" si="19"/>
        <v>-0.23809523809523814</v>
      </c>
      <c r="J90" s="164">
        <f t="shared" si="20"/>
        <v>4.3200626409082931E-4</v>
      </c>
    </row>
    <row r="91" spans="2:10" x14ac:dyDescent="0.25">
      <c r="B91" s="162" t="s">
        <v>131</v>
      </c>
      <c r="C91" s="163">
        <v>215</v>
      </c>
      <c r="D91" s="163">
        <v>85</v>
      </c>
      <c r="E91" s="163">
        <v>186</v>
      </c>
      <c r="F91" s="163">
        <v>123</v>
      </c>
      <c r="G91" s="163">
        <v>182</v>
      </c>
      <c r="H91" s="164">
        <f t="shared" si="18"/>
        <v>0.47967479674796754</v>
      </c>
      <c r="I91" s="165">
        <f t="shared" si="19"/>
        <v>-0.15348837209302324</v>
      </c>
      <c r="J91" s="164">
        <f t="shared" si="20"/>
        <v>3.5100508957379884E-4</v>
      </c>
    </row>
    <row r="92" spans="2:10" x14ac:dyDescent="0.25">
      <c r="B92" s="168" t="s">
        <v>145</v>
      </c>
      <c r="C92" s="169">
        <f>C84-SUM(C85:C91)</f>
        <v>14938</v>
      </c>
      <c r="D92" s="169">
        <f>D84-SUM(D85:D91)</f>
        <v>9942</v>
      </c>
      <c r="E92" s="169">
        <f>E84-SUM(E85:E91)</f>
        <v>11408</v>
      </c>
      <c r="F92" s="169">
        <f>F84-SUM(F85:F91)</f>
        <v>15071</v>
      </c>
      <c r="G92" s="169">
        <f>G84-SUM(G85:G91)</f>
        <v>18253</v>
      </c>
      <c r="H92" s="170">
        <f t="shared" si="18"/>
        <v>0.21113396589476485</v>
      </c>
      <c r="I92" s="171">
        <f t="shared" si="19"/>
        <v>0.22191725799973216</v>
      </c>
      <c r="J92" s="170">
        <f t="shared" si="20"/>
        <v>3.5202724725222803E-2</v>
      </c>
    </row>
    <row r="93" spans="2:10" x14ac:dyDescent="0.25">
      <c r="B93" s="153" t="s">
        <v>49</v>
      </c>
      <c r="C93" s="174"/>
      <c r="D93" s="174"/>
      <c r="E93" s="174"/>
      <c r="F93" s="174"/>
      <c r="G93" s="174"/>
      <c r="H93" s="175"/>
      <c r="I93" s="175"/>
      <c r="J93" s="175"/>
    </row>
    <row r="94" spans="2:10" x14ac:dyDescent="0.25">
      <c r="B94" s="154" t="s">
        <v>68</v>
      </c>
      <c r="C94" s="176">
        <v>3949</v>
      </c>
      <c r="D94" s="176">
        <v>3996</v>
      </c>
      <c r="E94" s="176">
        <v>4766</v>
      </c>
      <c r="F94" s="176">
        <v>4736</v>
      </c>
      <c r="G94" s="176">
        <v>5250</v>
      </c>
      <c r="H94" s="177">
        <f t="shared" ref="H94:H106" si="21">IFERROR(G94/F94-1,"-")</f>
        <v>0.10853040540540548</v>
      </c>
      <c r="I94" s="177">
        <f t="shared" ref="I94:I106" si="22">IFERROR(G94/C94-1,"-")</f>
        <v>0.32945049379589775</v>
      </c>
      <c r="J94" s="177">
        <f t="shared" ref="J94:J106" si="23">G94/G$10</f>
        <v>1.0125146814628812E-2</v>
      </c>
    </row>
    <row r="95" spans="2:10" x14ac:dyDescent="0.25">
      <c r="B95" s="157" t="s">
        <v>97</v>
      </c>
      <c r="C95" s="158">
        <v>2858</v>
      </c>
      <c r="D95" s="158">
        <v>3108</v>
      </c>
      <c r="E95" s="158">
        <v>3605</v>
      </c>
      <c r="F95" s="158">
        <v>3460</v>
      </c>
      <c r="G95" s="158">
        <v>4146</v>
      </c>
      <c r="H95" s="159">
        <f t="shared" si="21"/>
        <v>0.19826589595375732</v>
      </c>
      <c r="I95" s="160">
        <f t="shared" si="22"/>
        <v>0.45066480055983216</v>
      </c>
      <c r="J95" s="159">
        <f t="shared" si="23"/>
        <v>7.9959730844668675E-3</v>
      </c>
    </row>
    <row r="96" spans="2:10" x14ac:dyDescent="0.25">
      <c r="B96" s="162" t="s">
        <v>103</v>
      </c>
      <c r="C96" s="163">
        <v>1437</v>
      </c>
      <c r="D96" s="163">
        <v>1461</v>
      </c>
      <c r="E96" s="163">
        <v>1690</v>
      </c>
      <c r="F96" s="163">
        <v>945</v>
      </c>
      <c r="G96" s="163">
        <v>1760</v>
      </c>
      <c r="H96" s="164">
        <f t="shared" si="21"/>
        <v>0.86243386243386233</v>
      </c>
      <c r="I96" s="165">
        <f t="shared" si="22"/>
        <v>0.22477383437717458</v>
      </c>
      <c r="J96" s="164">
        <f t="shared" si="23"/>
        <v>3.3943349321422303E-3</v>
      </c>
    </row>
    <row r="97" spans="2:10" x14ac:dyDescent="0.25">
      <c r="B97" s="162" t="s">
        <v>100</v>
      </c>
      <c r="C97" s="163">
        <v>1421</v>
      </c>
      <c r="D97" s="163">
        <v>1647</v>
      </c>
      <c r="E97" s="163">
        <v>1915</v>
      </c>
      <c r="F97" s="163">
        <v>2515</v>
      </c>
      <c r="G97" s="163">
        <v>2386</v>
      </c>
      <c r="H97" s="164">
        <f t="shared" si="21"/>
        <v>-5.1292246520874718E-2</v>
      </c>
      <c r="I97" s="165">
        <f t="shared" si="22"/>
        <v>0.67909922589725547</v>
      </c>
      <c r="J97" s="164">
        <f t="shared" si="23"/>
        <v>4.6016381523246372E-3</v>
      </c>
    </row>
    <row r="98" spans="2:10" x14ac:dyDescent="0.25">
      <c r="B98" s="157" t="s">
        <v>107</v>
      </c>
      <c r="C98" s="158">
        <v>1091</v>
      </c>
      <c r="D98" s="158">
        <v>888</v>
      </c>
      <c r="E98" s="158">
        <v>1161</v>
      </c>
      <c r="F98" s="158">
        <v>1276</v>
      </c>
      <c r="G98" s="158">
        <v>1104</v>
      </c>
      <c r="H98" s="159">
        <f t="shared" si="21"/>
        <v>-0.13479623824451414</v>
      </c>
      <c r="I98" s="160">
        <f t="shared" si="22"/>
        <v>1.1915673693858819E-2</v>
      </c>
      <c r="J98" s="159">
        <f t="shared" si="23"/>
        <v>2.1291737301619446E-3</v>
      </c>
    </row>
    <row r="99" spans="2:10" x14ac:dyDescent="0.25">
      <c r="B99" s="162" t="s">
        <v>110</v>
      </c>
      <c r="C99" s="163">
        <v>148</v>
      </c>
      <c r="D99" s="163">
        <v>81</v>
      </c>
      <c r="E99" s="163">
        <v>179</v>
      </c>
      <c r="F99" s="163">
        <v>167</v>
      </c>
      <c r="G99" s="163">
        <v>134</v>
      </c>
      <c r="H99" s="164">
        <f t="shared" si="21"/>
        <v>-0.19760479041916168</v>
      </c>
      <c r="I99" s="165">
        <f t="shared" si="22"/>
        <v>-9.4594594594594628E-2</v>
      </c>
      <c r="J99" s="164">
        <f t="shared" si="23"/>
        <v>2.5843231869719256E-4</v>
      </c>
    </row>
    <row r="100" spans="2:10" x14ac:dyDescent="0.25">
      <c r="B100" s="162" t="s">
        <v>113</v>
      </c>
      <c r="C100" s="163">
        <v>194</v>
      </c>
      <c r="D100" s="163">
        <v>227</v>
      </c>
      <c r="E100" s="163">
        <v>257</v>
      </c>
      <c r="F100" s="163">
        <v>257</v>
      </c>
      <c r="G100" s="163">
        <v>258</v>
      </c>
      <c r="H100" s="164">
        <f t="shared" si="21"/>
        <v>3.8910505836575737E-3</v>
      </c>
      <c r="I100" s="165">
        <f t="shared" si="22"/>
        <v>0.32989690721649478</v>
      </c>
      <c r="J100" s="164">
        <f t="shared" si="23"/>
        <v>4.9757864346175874E-4</v>
      </c>
    </row>
    <row r="101" spans="2:10" x14ac:dyDescent="0.25">
      <c r="B101" s="162" t="s">
        <v>116</v>
      </c>
      <c r="C101" s="163">
        <v>217</v>
      </c>
      <c r="D101" s="163">
        <v>188</v>
      </c>
      <c r="E101" s="163">
        <v>162</v>
      </c>
      <c r="F101" s="163">
        <v>224</v>
      </c>
      <c r="G101" s="163">
        <v>166</v>
      </c>
      <c r="H101" s="164">
        <f t="shared" si="21"/>
        <v>-0.2589285714285714</v>
      </c>
      <c r="I101" s="165">
        <f t="shared" si="22"/>
        <v>-0.23502304147465436</v>
      </c>
      <c r="J101" s="164">
        <f t="shared" si="23"/>
        <v>3.2014749928159671E-4</v>
      </c>
    </row>
    <row r="102" spans="2:10" x14ac:dyDescent="0.25">
      <c r="B102" s="162" t="s">
        <v>123</v>
      </c>
      <c r="C102" s="163">
        <v>44</v>
      </c>
      <c r="D102" s="163">
        <v>46</v>
      </c>
      <c r="E102" s="163">
        <v>73</v>
      </c>
      <c r="F102" s="163">
        <v>44</v>
      </c>
      <c r="G102" s="163">
        <v>36</v>
      </c>
      <c r="H102" s="164">
        <f t="shared" si="21"/>
        <v>-0.18181818181818177</v>
      </c>
      <c r="I102" s="165">
        <f t="shared" si="22"/>
        <v>-0.18181818181818177</v>
      </c>
      <c r="J102" s="164">
        <f t="shared" si="23"/>
        <v>6.9429578157454707E-5</v>
      </c>
    </row>
    <row r="103" spans="2:10" x14ac:dyDescent="0.25">
      <c r="B103" s="162" t="s">
        <v>119</v>
      </c>
      <c r="C103" s="163">
        <v>16</v>
      </c>
      <c r="D103" s="163">
        <v>37</v>
      </c>
      <c r="E103" s="163">
        <v>34</v>
      </c>
      <c r="F103" s="163">
        <v>45</v>
      </c>
      <c r="G103" s="163">
        <v>46</v>
      </c>
      <c r="H103" s="164">
        <f t="shared" si="21"/>
        <v>2.2222222222222143E-2</v>
      </c>
      <c r="I103" s="165">
        <f t="shared" si="22"/>
        <v>1.875</v>
      </c>
      <c r="J103" s="164">
        <f t="shared" si="23"/>
        <v>8.8715572090081017E-5</v>
      </c>
    </row>
    <row r="104" spans="2:10" x14ac:dyDescent="0.25">
      <c r="B104" s="162" t="s">
        <v>128</v>
      </c>
      <c r="C104" s="163">
        <v>2</v>
      </c>
      <c r="D104" s="163">
        <v>1</v>
      </c>
      <c r="E104" s="163">
        <v>9</v>
      </c>
      <c r="F104" s="163">
        <v>4</v>
      </c>
      <c r="G104" s="163">
        <v>13</v>
      </c>
      <c r="H104" s="164">
        <f t="shared" si="21"/>
        <v>2.25</v>
      </c>
      <c r="I104" s="165">
        <f t="shared" si="22"/>
        <v>5.5</v>
      </c>
      <c r="J104" s="164">
        <f t="shared" si="23"/>
        <v>2.5071792112414202E-5</v>
      </c>
    </row>
    <row r="105" spans="2:10" x14ac:dyDescent="0.25">
      <c r="B105" s="162" t="s">
        <v>131</v>
      </c>
      <c r="C105" s="163">
        <v>0</v>
      </c>
      <c r="D105" s="163">
        <v>10</v>
      </c>
      <c r="E105" s="163">
        <v>6</v>
      </c>
      <c r="F105" s="163">
        <v>14</v>
      </c>
      <c r="G105" s="163">
        <v>10</v>
      </c>
      <c r="H105" s="164">
        <f t="shared" si="21"/>
        <v>-0.2857142857142857</v>
      </c>
      <c r="I105" s="165" t="str">
        <f t="shared" si="22"/>
        <v>-</v>
      </c>
      <c r="J105" s="164">
        <f t="shared" si="23"/>
        <v>1.928599393262631E-5</v>
      </c>
    </row>
    <row r="106" spans="2:10" x14ac:dyDescent="0.25">
      <c r="B106" s="168" t="s">
        <v>145</v>
      </c>
      <c r="C106" s="169">
        <f>C98-SUM(C99:C105)</f>
        <v>470</v>
      </c>
      <c r="D106" s="169">
        <f>D98-SUM(D99:D105)</f>
        <v>298</v>
      </c>
      <c r="E106" s="169">
        <f>E98-SUM(E99:E105)</f>
        <v>441</v>
      </c>
      <c r="F106" s="169">
        <f>F98-SUM(F99:F105)</f>
        <v>521</v>
      </c>
      <c r="G106" s="169">
        <f>G98-SUM(G99:G105)</f>
        <v>441</v>
      </c>
      <c r="H106" s="170">
        <f t="shared" si="21"/>
        <v>-0.15355086372360849</v>
      </c>
      <c r="I106" s="171">
        <f t="shared" si="22"/>
        <v>-6.1702127659574502E-2</v>
      </c>
      <c r="J106" s="170">
        <f t="shared" si="23"/>
        <v>8.5051233242882025E-4</v>
      </c>
    </row>
    <row r="107" spans="2:10" x14ac:dyDescent="0.25">
      <c r="B107" s="153" t="s">
        <v>50</v>
      </c>
      <c r="C107" s="174"/>
      <c r="D107" s="174"/>
      <c r="E107" s="174"/>
      <c r="F107" s="174"/>
      <c r="G107" s="174"/>
      <c r="H107" s="175"/>
      <c r="I107" s="175"/>
      <c r="J107" s="175"/>
    </row>
    <row r="108" spans="2:10" x14ac:dyDescent="0.25">
      <c r="B108" s="154" t="s">
        <v>68</v>
      </c>
      <c r="C108" s="176">
        <v>14009</v>
      </c>
      <c r="D108" s="176">
        <v>15344</v>
      </c>
      <c r="E108" s="176">
        <v>20526</v>
      </c>
      <c r="F108" s="176">
        <v>22179</v>
      </c>
      <c r="G108" s="176">
        <v>24127</v>
      </c>
      <c r="H108" s="177">
        <f t="shared" ref="H108:H120" si="24">IFERROR(G108/F108-1,"-")</f>
        <v>8.7830830966229234E-2</v>
      </c>
      <c r="I108" s="177">
        <f t="shared" ref="I108:I120" si="25">IFERROR(G108/C108-1,"-")</f>
        <v>0.72224998215432934</v>
      </c>
      <c r="J108" s="177">
        <f t="shared" ref="J108:J120" si="26">G108/G$10</f>
        <v>4.6531317561247496E-2</v>
      </c>
    </row>
    <row r="109" spans="2:10" x14ac:dyDescent="0.25">
      <c r="B109" s="157" t="s">
        <v>97</v>
      </c>
      <c r="C109" s="158">
        <v>3421</v>
      </c>
      <c r="D109" s="158">
        <v>6535</v>
      </c>
      <c r="E109" s="158">
        <v>6601</v>
      </c>
      <c r="F109" s="158">
        <v>5808</v>
      </c>
      <c r="G109" s="158">
        <v>6215</v>
      </c>
      <c r="H109" s="159">
        <f t="shared" si="24"/>
        <v>7.0075757575757569E-2</v>
      </c>
      <c r="I109" s="160">
        <f t="shared" si="25"/>
        <v>0.81672025723472674</v>
      </c>
      <c r="J109" s="159">
        <f t="shared" si="26"/>
        <v>1.1986245229127251E-2</v>
      </c>
    </row>
    <row r="110" spans="2:10" x14ac:dyDescent="0.25">
      <c r="B110" s="162" t="s">
        <v>103</v>
      </c>
      <c r="C110" s="163">
        <v>1412</v>
      </c>
      <c r="D110" s="163">
        <v>3410</v>
      </c>
      <c r="E110" s="163">
        <v>2043</v>
      </c>
      <c r="F110" s="163">
        <v>1628</v>
      </c>
      <c r="G110" s="163">
        <v>2250</v>
      </c>
      <c r="H110" s="164">
        <f t="shared" si="24"/>
        <v>0.38206388206388198</v>
      </c>
      <c r="I110" s="165">
        <f t="shared" si="25"/>
        <v>0.59348441926345608</v>
      </c>
      <c r="J110" s="164">
        <f t="shared" si="26"/>
        <v>4.3393486348409192E-3</v>
      </c>
    </row>
    <row r="111" spans="2:10" x14ac:dyDescent="0.25">
      <c r="B111" s="162" t="s">
        <v>100</v>
      </c>
      <c r="C111" s="163">
        <v>2009</v>
      </c>
      <c r="D111" s="163">
        <v>3125</v>
      </c>
      <c r="E111" s="163">
        <v>4558</v>
      </c>
      <c r="F111" s="163">
        <v>4180</v>
      </c>
      <c r="G111" s="163">
        <v>3965</v>
      </c>
      <c r="H111" s="164">
        <f t="shared" si="24"/>
        <v>-5.1435406698564612E-2</v>
      </c>
      <c r="I111" s="165">
        <f t="shared" si="25"/>
        <v>0.97361871577899461</v>
      </c>
      <c r="J111" s="164">
        <f t="shared" si="26"/>
        <v>7.6468965942863313E-3</v>
      </c>
    </row>
    <row r="112" spans="2:10" x14ac:dyDescent="0.25">
      <c r="B112" s="157" t="s">
        <v>107</v>
      </c>
      <c r="C112" s="158">
        <v>10588</v>
      </c>
      <c r="D112" s="158">
        <v>8809</v>
      </c>
      <c r="E112" s="158">
        <v>13925</v>
      </c>
      <c r="F112" s="158">
        <v>16371</v>
      </c>
      <c r="G112" s="158">
        <v>17912</v>
      </c>
      <c r="H112" s="159">
        <f t="shared" si="24"/>
        <v>9.4129863783519729E-2</v>
      </c>
      <c r="I112" s="160">
        <f t="shared" si="25"/>
        <v>0.69172648281072924</v>
      </c>
      <c r="J112" s="159">
        <f t="shared" si="26"/>
        <v>3.4545072332120244E-2</v>
      </c>
    </row>
    <row r="113" spans="2:10" x14ac:dyDescent="0.25">
      <c r="B113" s="162" t="s">
        <v>110</v>
      </c>
      <c r="C113" s="163">
        <v>5926</v>
      </c>
      <c r="D113" s="163">
        <v>4493</v>
      </c>
      <c r="E113" s="163">
        <v>9251</v>
      </c>
      <c r="F113" s="163">
        <v>11562</v>
      </c>
      <c r="G113" s="163">
        <v>12021</v>
      </c>
      <c r="H113" s="164">
        <f t="shared" si="24"/>
        <v>3.9699014011416622E-2</v>
      </c>
      <c r="I113" s="165">
        <f t="shared" si="25"/>
        <v>1.028518393520081</v>
      </c>
      <c r="J113" s="164">
        <f t="shared" si="26"/>
        <v>2.3183693306410087E-2</v>
      </c>
    </row>
    <row r="114" spans="2:10" x14ac:dyDescent="0.25">
      <c r="B114" s="162" t="s">
        <v>113</v>
      </c>
      <c r="C114" s="163">
        <v>1144</v>
      </c>
      <c r="D114" s="163">
        <v>620</v>
      </c>
      <c r="E114" s="163">
        <v>491</v>
      </c>
      <c r="F114" s="163">
        <v>659</v>
      </c>
      <c r="G114" s="163">
        <v>606</v>
      </c>
      <c r="H114" s="164">
        <f t="shared" si="24"/>
        <v>-8.0424886191198808E-2</v>
      </c>
      <c r="I114" s="165">
        <f t="shared" si="25"/>
        <v>-0.47027972027972031</v>
      </c>
      <c r="J114" s="164">
        <f t="shared" si="26"/>
        <v>1.1687312323171543E-3</v>
      </c>
    </row>
    <row r="115" spans="2:10" x14ac:dyDescent="0.25">
      <c r="B115" s="162" t="s">
        <v>116</v>
      </c>
      <c r="C115" s="163">
        <v>1191</v>
      </c>
      <c r="D115" s="163">
        <v>809</v>
      </c>
      <c r="E115" s="163">
        <v>997</v>
      </c>
      <c r="F115" s="163">
        <v>767</v>
      </c>
      <c r="G115" s="163">
        <v>1443</v>
      </c>
      <c r="H115" s="164">
        <f t="shared" si="24"/>
        <v>0.88135593220338992</v>
      </c>
      <c r="I115" s="165">
        <f t="shared" si="25"/>
        <v>0.21158690176322414</v>
      </c>
      <c r="J115" s="164">
        <f t="shared" si="26"/>
        <v>2.7829689244779762E-3</v>
      </c>
    </row>
    <row r="116" spans="2:10" x14ac:dyDescent="0.25">
      <c r="B116" s="162" t="s">
        <v>123</v>
      </c>
      <c r="C116" s="163">
        <v>128</v>
      </c>
      <c r="D116" s="163">
        <v>633</v>
      </c>
      <c r="E116" s="163">
        <v>421</v>
      </c>
      <c r="F116" s="163">
        <v>453</v>
      </c>
      <c r="G116" s="163">
        <v>436</v>
      </c>
      <c r="H116" s="164">
        <f t="shared" si="24"/>
        <v>-3.7527593818984517E-2</v>
      </c>
      <c r="I116" s="165">
        <f t="shared" si="25"/>
        <v>2.40625</v>
      </c>
      <c r="J116" s="164">
        <f t="shared" si="26"/>
        <v>8.4086933546250711E-4</v>
      </c>
    </row>
    <row r="117" spans="2:10" x14ac:dyDescent="0.25">
      <c r="B117" s="162" t="s">
        <v>119</v>
      </c>
      <c r="C117" s="163">
        <v>322</v>
      </c>
      <c r="D117" s="163">
        <v>676</v>
      </c>
      <c r="E117" s="163">
        <v>518</v>
      </c>
      <c r="F117" s="163">
        <v>406</v>
      </c>
      <c r="G117" s="163">
        <v>400</v>
      </c>
      <c r="H117" s="164">
        <f t="shared" si="24"/>
        <v>-1.4778325123152691E-2</v>
      </c>
      <c r="I117" s="165">
        <f t="shared" si="25"/>
        <v>0.2422360248447204</v>
      </c>
      <c r="J117" s="164">
        <f t="shared" si="26"/>
        <v>7.7143975730505239E-4</v>
      </c>
    </row>
    <row r="118" spans="2:10" x14ac:dyDescent="0.25">
      <c r="B118" s="162" t="s">
        <v>128</v>
      </c>
      <c r="C118" s="163">
        <v>19</v>
      </c>
      <c r="D118" s="163">
        <v>10</v>
      </c>
      <c r="E118" s="163">
        <v>19</v>
      </c>
      <c r="F118" s="163">
        <v>47</v>
      </c>
      <c r="G118" s="163">
        <v>13</v>
      </c>
      <c r="H118" s="164">
        <f t="shared" si="24"/>
        <v>-0.72340425531914887</v>
      </c>
      <c r="I118" s="165">
        <f t="shared" si="25"/>
        <v>-0.31578947368421051</v>
      </c>
      <c r="J118" s="164">
        <f t="shared" si="26"/>
        <v>2.5071792112414202E-5</v>
      </c>
    </row>
    <row r="119" spans="2:10" x14ac:dyDescent="0.25">
      <c r="B119" s="162" t="s">
        <v>131</v>
      </c>
      <c r="C119" s="163">
        <v>24</v>
      </c>
      <c r="D119" s="163">
        <v>13</v>
      </c>
      <c r="E119" s="163">
        <v>8</v>
      </c>
      <c r="F119" s="163">
        <v>22</v>
      </c>
      <c r="G119" s="163">
        <v>4</v>
      </c>
      <c r="H119" s="164">
        <f t="shared" si="24"/>
        <v>-0.81818181818181812</v>
      </c>
      <c r="I119" s="165">
        <f t="shared" si="25"/>
        <v>-0.83333333333333337</v>
      </c>
      <c r="J119" s="164">
        <f t="shared" si="26"/>
        <v>7.7143975730505236E-6</v>
      </c>
    </row>
    <row r="120" spans="2:10" x14ac:dyDescent="0.25">
      <c r="B120" s="168" t="s">
        <v>145</v>
      </c>
      <c r="C120" s="169">
        <f>C112-SUM(C113:C119)</f>
        <v>1834</v>
      </c>
      <c r="D120" s="169">
        <f>D112-SUM(D113:D119)</f>
        <v>1555</v>
      </c>
      <c r="E120" s="169">
        <f>E112-SUM(E113:E119)</f>
        <v>2220</v>
      </c>
      <c r="F120" s="169">
        <f>F112-SUM(F113:F119)</f>
        <v>2455</v>
      </c>
      <c r="G120" s="169">
        <f>G112-SUM(G113:G119)</f>
        <v>2989</v>
      </c>
      <c r="H120" s="170">
        <f t="shared" si="24"/>
        <v>0.2175152749490834</v>
      </c>
      <c r="I120" s="171">
        <f t="shared" si="25"/>
        <v>0.62977099236641232</v>
      </c>
      <c r="J120" s="170">
        <f t="shared" si="26"/>
        <v>5.7645835864620033E-3</v>
      </c>
    </row>
    <row r="121" spans="2:10" x14ac:dyDescent="0.25">
      <c r="B121" s="153" t="s">
        <v>51</v>
      </c>
      <c r="C121" s="174"/>
      <c r="D121" s="174"/>
      <c r="E121" s="174"/>
      <c r="F121" s="174"/>
      <c r="G121" s="174"/>
      <c r="H121" s="175"/>
      <c r="I121" s="175"/>
      <c r="J121" s="175"/>
    </row>
    <row r="122" spans="2:10" x14ac:dyDescent="0.25">
      <c r="B122" s="154" t="s">
        <v>68</v>
      </c>
      <c r="C122" s="176">
        <v>16545</v>
      </c>
      <c r="D122" s="176">
        <v>16992</v>
      </c>
      <c r="E122" s="176">
        <v>20549</v>
      </c>
      <c r="F122" s="176">
        <v>16671</v>
      </c>
      <c r="G122" s="176">
        <v>20174</v>
      </c>
      <c r="H122" s="177">
        <f t="shared" ref="H122:H134" si="27">IFERROR(G122/F122-1,"-")</f>
        <v>0.21012536740447474</v>
      </c>
      <c r="I122" s="177">
        <f t="shared" ref="I122:I134" si="28">IFERROR(G122/C122-1,"-")</f>
        <v>0.21934119069205193</v>
      </c>
      <c r="J122" s="177">
        <f t="shared" ref="J122:J134" si="29">G122/G$10</f>
        <v>3.8907564159680316E-2</v>
      </c>
    </row>
    <row r="123" spans="2:10" x14ac:dyDescent="0.25">
      <c r="B123" s="157" t="s">
        <v>97</v>
      </c>
      <c r="C123" s="158">
        <v>9542</v>
      </c>
      <c r="D123" s="158">
        <v>11386</v>
      </c>
      <c r="E123" s="158">
        <v>13102</v>
      </c>
      <c r="F123" s="158">
        <v>11658</v>
      </c>
      <c r="G123" s="158">
        <v>14592</v>
      </c>
      <c r="H123" s="159">
        <f t="shared" si="27"/>
        <v>0.2516726711271231</v>
      </c>
      <c r="I123" s="160">
        <f t="shared" si="28"/>
        <v>0.52923915321735482</v>
      </c>
      <c r="J123" s="159">
        <f t="shared" si="29"/>
        <v>2.8142122346488309E-2</v>
      </c>
    </row>
    <row r="124" spans="2:10" x14ac:dyDescent="0.25">
      <c r="B124" s="162" t="s">
        <v>103</v>
      </c>
      <c r="C124" s="163">
        <v>4702</v>
      </c>
      <c r="D124" s="163">
        <v>5443</v>
      </c>
      <c r="E124" s="163">
        <v>6791</v>
      </c>
      <c r="F124" s="163">
        <v>4887</v>
      </c>
      <c r="G124" s="163">
        <v>8256</v>
      </c>
      <c r="H124" s="164">
        <f t="shared" si="27"/>
        <v>0.68937998772252906</v>
      </c>
      <c r="I124" s="165">
        <f t="shared" si="28"/>
        <v>0.75584857507443637</v>
      </c>
      <c r="J124" s="164">
        <f t="shared" si="29"/>
        <v>1.592251659077628E-2</v>
      </c>
    </row>
    <row r="125" spans="2:10" x14ac:dyDescent="0.25">
      <c r="B125" s="162" t="s">
        <v>100</v>
      </c>
      <c r="C125" s="163">
        <v>4840</v>
      </c>
      <c r="D125" s="163">
        <v>5943</v>
      </c>
      <c r="E125" s="163">
        <v>6311</v>
      </c>
      <c r="F125" s="163">
        <v>6771</v>
      </c>
      <c r="G125" s="163">
        <v>6336</v>
      </c>
      <c r="H125" s="164">
        <f t="shared" si="27"/>
        <v>-6.4244572441293779E-2</v>
      </c>
      <c r="I125" s="165">
        <f t="shared" si="28"/>
        <v>0.30909090909090908</v>
      </c>
      <c r="J125" s="164">
        <f t="shared" si="29"/>
        <v>1.2219605755712029E-2</v>
      </c>
    </row>
    <row r="126" spans="2:10" x14ac:dyDescent="0.25">
      <c r="B126" s="157" t="s">
        <v>107</v>
      </c>
      <c r="C126" s="158">
        <v>7003</v>
      </c>
      <c r="D126" s="158">
        <v>5606</v>
      </c>
      <c r="E126" s="158">
        <v>7447</v>
      </c>
      <c r="F126" s="158">
        <v>5013</v>
      </c>
      <c r="G126" s="158">
        <v>5582</v>
      </c>
      <c r="H126" s="159">
        <f t="shared" si="27"/>
        <v>0.1135048872930382</v>
      </c>
      <c r="I126" s="160">
        <f t="shared" si="28"/>
        <v>-0.20291303726974153</v>
      </c>
      <c r="J126" s="159">
        <f t="shared" si="29"/>
        <v>1.0765441813192006E-2</v>
      </c>
    </row>
    <row r="127" spans="2:10" x14ac:dyDescent="0.25">
      <c r="B127" s="162" t="s">
        <v>110</v>
      </c>
      <c r="C127" s="163">
        <v>969</v>
      </c>
      <c r="D127" s="163">
        <v>315</v>
      </c>
      <c r="E127" s="163">
        <v>1108</v>
      </c>
      <c r="F127" s="163">
        <v>640</v>
      </c>
      <c r="G127" s="163">
        <v>666</v>
      </c>
      <c r="H127" s="164">
        <f t="shared" si="27"/>
        <v>4.0624999999999911E-2</v>
      </c>
      <c r="I127" s="165">
        <f t="shared" si="28"/>
        <v>-0.31269349845201233</v>
      </c>
      <c r="J127" s="164">
        <f t="shared" si="29"/>
        <v>1.2844471959129122E-3</v>
      </c>
    </row>
    <row r="128" spans="2:10" x14ac:dyDescent="0.25">
      <c r="B128" s="162" t="s">
        <v>113</v>
      </c>
      <c r="C128" s="163">
        <v>415</v>
      </c>
      <c r="D128" s="163">
        <v>516</v>
      </c>
      <c r="E128" s="163">
        <v>741</v>
      </c>
      <c r="F128" s="163">
        <v>618</v>
      </c>
      <c r="G128" s="163">
        <v>600</v>
      </c>
      <c r="H128" s="164">
        <f t="shared" si="27"/>
        <v>-2.9126213592232997E-2</v>
      </c>
      <c r="I128" s="165">
        <f t="shared" si="28"/>
        <v>0.44578313253012047</v>
      </c>
      <c r="J128" s="164">
        <f t="shared" si="29"/>
        <v>1.1571596359575785E-3</v>
      </c>
    </row>
    <row r="129" spans="2:10" x14ac:dyDescent="0.25">
      <c r="B129" s="162" t="s">
        <v>116</v>
      </c>
      <c r="C129" s="163">
        <v>513</v>
      </c>
      <c r="D129" s="163">
        <v>582</v>
      </c>
      <c r="E129" s="163">
        <v>608</v>
      </c>
      <c r="F129" s="163">
        <v>584</v>
      </c>
      <c r="G129" s="163">
        <v>657</v>
      </c>
      <c r="H129" s="164">
        <f t="shared" si="27"/>
        <v>0.125</v>
      </c>
      <c r="I129" s="165">
        <f t="shared" si="28"/>
        <v>0.2807017543859649</v>
      </c>
      <c r="J129" s="164">
        <f t="shared" si="29"/>
        <v>1.2670898013735486E-3</v>
      </c>
    </row>
    <row r="130" spans="2:10" x14ac:dyDescent="0.25">
      <c r="B130" s="162" t="s">
        <v>123</v>
      </c>
      <c r="C130" s="163">
        <v>127</v>
      </c>
      <c r="D130" s="163">
        <v>124</v>
      </c>
      <c r="E130" s="163">
        <v>212</v>
      </c>
      <c r="F130" s="163">
        <v>163</v>
      </c>
      <c r="G130" s="163">
        <v>112</v>
      </c>
      <c r="H130" s="164">
        <f t="shared" si="27"/>
        <v>-0.31288343558282206</v>
      </c>
      <c r="I130" s="165">
        <f t="shared" si="28"/>
        <v>-0.11811023622047245</v>
      </c>
      <c r="J130" s="164">
        <f t="shared" si="29"/>
        <v>2.1600313204541465E-4</v>
      </c>
    </row>
    <row r="131" spans="2:10" x14ac:dyDescent="0.25">
      <c r="B131" s="162" t="s">
        <v>119</v>
      </c>
      <c r="C131" s="163">
        <v>114</v>
      </c>
      <c r="D131" s="163">
        <v>100</v>
      </c>
      <c r="E131" s="163">
        <v>107</v>
      </c>
      <c r="F131" s="163">
        <v>105</v>
      </c>
      <c r="G131" s="163">
        <v>147</v>
      </c>
      <c r="H131" s="164">
        <f t="shared" si="27"/>
        <v>0.39999999999999991</v>
      </c>
      <c r="I131" s="165">
        <f t="shared" si="28"/>
        <v>0.28947368421052633</v>
      </c>
      <c r="J131" s="164">
        <f t="shared" si="29"/>
        <v>2.8350411080960673E-4</v>
      </c>
    </row>
    <row r="132" spans="2:10" x14ac:dyDescent="0.25">
      <c r="B132" s="162" t="s">
        <v>128</v>
      </c>
      <c r="C132" s="163">
        <v>62</v>
      </c>
      <c r="D132" s="163">
        <v>20</v>
      </c>
      <c r="E132" s="163">
        <v>32</v>
      </c>
      <c r="F132" s="163">
        <v>32</v>
      </c>
      <c r="G132" s="163">
        <v>24</v>
      </c>
      <c r="H132" s="164">
        <f t="shared" si="27"/>
        <v>-0.25</v>
      </c>
      <c r="I132" s="165">
        <f t="shared" si="28"/>
        <v>-0.61290322580645162</v>
      </c>
      <c r="J132" s="164">
        <f t="shared" si="29"/>
        <v>4.6286385438303138E-5</v>
      </c>
    </row>
    <row r="133" spans="2:10" x14ac:dyDescent="0.25">
      <c r="B133" s="162" t="s">
        <v>131</v>
      </c>
      <c r="C133" s="163">
        <v>39</v>
      </c>
      <c r="D133" s="163">
        <v>36</v>
      </c>
      <c r="E133" s="163">
        <v>34</v>
      </c>
      <c r="F133" s="163">
        <v>44</v>
      </c>
      <c r="G133" s="163">
        <v>24</v>
      </c>
      <c r="H133" s="164">
        <f t="shared" si="27"/>
        <v>-0.45454545454545459</v>
      </c>
      <c r="I133" s="165">
        <f t="shared" si="28"/>
        <v>-0.38461538461538458</v>
      </c>
      <c r="J133" s="164">
        <f t="shared" si="29"/>
        <v>4.6286385438303138E-5</v>
      </c>
    </row>
    <row r="134" spans="2:10" x14ac:dyDescent="0.25">
      <c r="B134" s="168" t="s">
        <v>145</v>
      </c>
      <c r="C134" s="169">
        <f>C126-SUM(C127:C133)</f>
        <v>4764</v>
      </c>
      <c r="D134" s="169">
        <f>D126-SUM(D127:D133)</f>
        <v>3913</v>
      </c>
      <c r="E134" s="169">
        <f>E126-SUM(E127:E133)</f>
        <v>4605</v>
      </c>
      <c r="F134" s="169">
        <f>F126-SUM(F127:F133)</f>
        <v>2827</v>
      </c>
      <c r="G134" s="169">
        <f>G126-SUM(G127:G133)</f>
        <v>3352</v>
      </c>
      <c r="H134" s="170">
        <f t="shared" si="27"/>
        <v>0.18570923240183945</v>
      </c>
      <c r="I134" s="171">
        <f t="shared" si="28"/>
        <v>-0.29638958858102438</v>
      </c>
      <c r="J134" s="170">
        <f t="shared" si="29"/>
        <v>6.464665166216339E-3</v>
      </c>
    </row>
    <row r="135" spans="2:10" x14ac:dyDescent="0.25">
      <c r="B135" s="153" t="s">
        <v>52</v>
      </c>
      <c r="C135" s="174"/>
      <c r="D135" s="174"/>
      <c r="E135" s="174"/>
      <c r="F135" s="174"/>
      <c r="G135" s="174"/>
      <c r="H135" s="175"/>
      <c r="I135" s="175"/>
      <c r="J135" s="175"/>
    </row>
    <row r="136" spans="2:10" x14ac:dyDescent="0.25">
      <c r="B136" s="154" t="s">
        <v>68</v>
      </c>
      <c r="C136" s="176">
        <v>26444</v>
      </c>
      <c r="D136" s="176">
        <v>17890</v>
      </c>
      <c r="E136" s="176">
        <v>24264</v>
      </c>
      <c r="F136" s="176">
        <v>26447</v>
      </c>
      <c r="G136" s="176">
        <v>25421</v>
      </c>
      <c r="H136" s="177">
        <f t="shared" ref="H136:H148" si="30">IFERROR(G136/F136-1,"-")</f>
        <v>-3.8794570272620676E-2</v>
      </c>
      <c r="I136" s="177">
        <f t="shared" ref="I136:I148" si="31">IFERROR(G136/C136-1,"-")</f>
        <v>-3.8685524126455872E-2</v>
      </c>
      <c r="J136" s="177">
        <f t="shared" ref="J136:J148" si="32">G136/G$10</f>
        <v>4.9026925176129339E-2</v>
      </c>
    </row>
    <row r="137" spans="2:10" x14ac:dyDescent="0.25">
      <c r="B137" s="157" t="s">
        <v>97</v>
      </c>
      <c r="C137" s="158">
        <v>6360</v>
      </c>
      <c r="D137" s="158">
        <v>5654</v>
      </c>
      <c r="E137" s="158">
        <v>3786</v>
      </c>
      <c r="F137" s="158">
        <v>3753</v>
      </c>
      <c r="G137" s="158">
        <v>3212</v>
      </c>
      <c r="H137" s="159">
        <f t="shared" si="30"/>
        <v>-0.14415134559019449</v>
      </c>
      <c r="I137" s="160">
        <f t="shared" si="31"/>
        <v>-0.4949685534591195</v>
      </c>
      <c r="J137" s="159">
        <f t="shared" si="32"/>
        <v>6.1946612511595703E-3</v>
      </c>
    </row>
    <row r="138" spans="2:10" x14ac:dyDescent="0.25">
      <c r="B138" s="162" t="s">
        <v>103</v>
      </c>
      <c r="C138" s="163">
        <v>2001</v>
      </c>
      <c r="D138" s="163">
        <v>4018</v>
      </c>
      <c r="E138" s="163">
        <v>2710</v>
      </c>
      <c r="F138" s="163">
        <v>2511</v>
      </c>
      <c r="G138" s="163">
        <v>1803</v>
      </c>
      <c r="H138" s="164">
        <f t="shared" si="30"/>
        <v>-0.28195937873357224</v>
      </c>
      <c r="I138" s="165">
        <f t="shared" si="31"/>
        <v>-9.8950524737631218E-2</v>
      </c>
      <c r="J138" s="164">
        <f t="shared" si="32"/>
        <v>3.4772647060525236E-3</v>
      </c>
    </row>
    <row r="139" spans="2:10" x14ac:dyDescent="0.25">
      <c r="B139" s="162" t="s">
        <v>100</v>
      </c>
      <c r="C139" s="163">
        <v>4359</v>
      </c>
      <c r="D139" s="163">
        <v>1636</v>
      </c>
      <c r="E139" s="163">
        <v>1076</v>
      </c>
      <c r="F139" s="163">
        <v>1242</v>
      </c>
      <c r="G139" s="163">
        <v>1409</v>
      </c>
      <c r="H139" s="164">
        <f t="shared" si="30"/>
        <v>0.1344605475040257</v>
      </c>
      <c r="I139" s="165">
        <f t="shared" si="31"/>
        <v>-0.67676072493691208</v>
      </c>
      <c r="J139" s="164">
        <f t="shared" si="32"/>
        <v>2.7173965451070467E-3</v>
      </c>
    </row>
    <row r="140" spans="2:10" x14ac:dyDescent="0.25">
      <c r="B140" s="157" t="s">
        <v>107</v>
      </c>
      <c r="C140" s="158">
        <v>20084</v>
      </c>
      <c r="D140" s="158">
        <v>12236</v>
      </c>
      <c r="E140" s="158">
        <v>20478</v>
      </c>
      <c r="F140" s="158">
        <v>22694</v>
      </c>
      <c r="G140" s="158">
        <v>22209</v>
      </c>
      <c r="H140" s="159">
        <f t="shared" si="30"/>
        <v>-2.1371287564995178E-2</v>
      </c>
      <c r="I140" s="160">
        <f t="shared" si="31"/>
        <v>0.10580561641107344</v>
      </c>
      <c r="J140" s="159">
        <f t="shared" si="32"/>
        <v>4.283226392496977E-2</v>
      </c>
    </row>
    <row r="141" spans="2:10" x14ac:dyDescent="0.25">
      <c r="B141" s="162" t="s">
        <v>110</v>
      </c>
      <c r="C141" s="163">
        <v>10959</v>
      </c>
      <c r="D141" s="163">
        <v>3384</v>
      </c>
      <c r="E141" s="163">
        <v>10235</v>
      </c>
      <c r="F141" s="163">
        <v>11415</v>
      </c>
      <c r="G141" s="163">
        <v>11236</v>
      </c>
      <c r="H141" s="164">
        <f t="shared" si="30"/>
        <v>-1.5681121331581283E-2</v>
      </c>
      <c r="I141" s="165">
        <f t="shared" si="31"/>
        <v>2.5276028834747777E-2</v>
      </c>
      <c r="J141" s="164">
        <f t="shared" si="32"/>
        <v>2.1669742782698922E-2</v>
      </c>
    </row>
    <row r="142" spans="2:10" x14ac:dyDescent="0.25">
      <c r="B142" s="162" t="s">
        <v>113</v>
      </c>
      <c r="C142" s="163">
        <v>1672</v>
      </c>
      <c r="D142" s="163">
        <v>962</v>
      </c>
      <c r="E142" s="163">
        <v>1370</v>
      </c>
      <c r="F142" s="163">
        <v>1837</v>
      </c>
      <c r="G142" s="163">
        <v>1470</v>
      </c>
      <c r="H142" s="164">
        <f t="shared" si="30"/>
        <v>-0.19978225367446922</v>
      </c>
      <c r="I142" s="165">
        <f t="shared" si="31"/>
        <v>-0.12081339712918659</v>
      </c>
      <c r="J142" s="164">
        <f t="shared" si="32"/>
        <v>2.8350411080960672E-3</v>
      </c>
    </row>
    <row r="143" spans="2:10" x14ac:dyDescent="0.25">
      <c r="B143" s="162" t="s">
        <v>116</v>
      </c>
      <c r="C143" s="163">
        <v>1754</v>
      </c>
      <c r="D143" s="163">
        <v>1404</v>
      </c>
      <c r="E143" s="163">
        <v>1920</v>
      </c>
      <c r="F143" s="163">
        <v>2346</v>
      </c>
      <c r="G143" s="163">
        <v>1937</v>
      </c>
      <c r="H143" s="164">
        <f t="shared" si="30"/>
        <v>-0.17433930093776639</v>
      </c>
      <c r="I143" s="165">
        <f t="shared" si="31"/>
        <v>0.10433295324971503</v>
      </c>
      <c r="J143" s="164">
        <f t="shared" si="32"/>
        <v>3.7356970247497162E-3</v>
      </c>
    </row>
    <row r="144" spans="2:10" x14ac:dyDescent="0.25">
      <c r="B144" s="162" t="s">
        <v>123</v>
      </c>
      <c r="C144" s="163">
        <v>393</v>
      </c>
      <c r="D144" s="163">
        <v>724</v>
      </c>
      <c r="E144" s="163">
        <v>961</v>
      </c>
      <c r="F144" s="163">
        <v>1021</v>
      </c>
      <c r="G144" s="163">
        <v>533</v>
      </c>
      <c r="H144" s="164">
        <f t="shared" si="30"/>
        <v>-0.47796278158667971</v>
      </c>
      <c r="I144" s="165">
        <f t="shared" si="31"/>
        <v>0.35623409669211203</v>
      </c>
      <c r="J144" s="164">
        <f t="shared" si="32"/>
        <v>1.0279434766089822E-3</v>
      </c>
    </row>
    <row r="145" spans="2:10" x14ac:dyDescent="0.25">
      <c r="B145" s="162" t="s">
        <v>119</v>
      </c>
      <c r="C145" s="163">
        <v>448</v>
      </c>
      <c r="D145" s="163">
        <v>592</v>
      </c>
      <c r="E145" s="163">
        <v>363</v>
      </c>
      <c r="F145" s="163">
        <v>402</v>
      </c>
      <c r="G145" s="163">
        <v>269</v>
      </c>
      <c r="H145" s="164">
        <f t="shared" si="30"/>
        <v>-0.3308457711442786</v>
      </c>
      <c r="I145" s="165">
        <f t="shared" si="31"/>
        <v>-0.3995535714285714</v>
      </c>
      <c r="J145" s="164">
        <f t="shared" si="32"/>
        <v>5.1879323678764768E-4</v>
      </c>
    </row>
    <row r="146" spans="2:10" x14ac:dyDescent="0.25">
      <c r="B146" s="162" t="s">
        <v>128</v>
      </c>
      <c r="C146" s="163">
        <v>9</v>
      </c>
      <c r="D146" s="163">
        <v>3</v>
      </c>
      <c r="E146" s="163">
        <v>22</v>
      </c>
      <c r="F146" s="163">
        <v>12</v>
      </c>
      <c r="G146" s="163">
        <v>12</v>
      </c>
      <c r="H146" s="164">
        <f t="shared" si="30"/>
        <v>0</v>
      </c>
      <c r="I146" s="165">
        <f t="shared" si="31"/>
        <v>0.33333333333333326</v>
      </c>
      <c r="J146" s="164">
        <f t="shared" si="32"/>
        <v>2.3143192719151569E-5</v>
      </c>
    </row>
    <row r="147" spans="2:10" x14ac:dyDescent="0.25">
      <c r="B147" s="162" t="s">
        <v>131</v>
      </c>
      <c r="C147" s="163">
        <v>30</v>
      </c>
      <c r="D147" s="163">
        <v>0</v>
      </c>
      <c r="E147" s="163">
        <v>3</v>
      </c>
      <c r="F147" s="163">
        <v>11</v>
      </c>
      <c r="G147" s="163">
        <v>12</v>
      </c>
      <c r="H147" s="164">
        <f t="shared" si="30"/>
        <v>9.0909090909090828E-2</v>
      </c>
      <c r="I147" s="165">
        <f t="shared" si="31"/>
        <v>-0.6</v>
      </c>
      <c r="J147" s="164">
        <f t="shared" si="32"/>
        <v>2.3143192719151569E-5</v>
      </c>
    </row>
    <row r="148" spans="2:10" x14ac:dyDescent="0.25">
      <c r="B148" s="168" t="s">
        <v>145</v>
      </c>
      <c r="C148" s="169">
        <f>C140-SUM(C141:C147)</f>
        <v>4819</v>
      </c>
      <c r="D148" s="169">
        <f>D140-SUM(D141:D147)</f>
        <v>5167</v>
      </c>
      <c r="E148" s="169">
        <f>E140-SUM(E141:E147)</f>
        <v>5604</v>
      </c>
      <c r="F148" s="169">
        <f>F140-SUM(F141:F147)</f>
        <v>5650</v>
      </c>
      <c r="G148" s="169">
        <f>G140-SUM(G141:G147)</f>
        <v>6740</v>
      </c>
      <c r="H148" s="170">
        <f t="shared" si="30"/>
        <v>0.19292035398230079</v>
      </c>
      <c r="I148" s="171">
        <f t="shared" si="31"/>
        <v>0.39863042124922177</v>
      </c>
      <c r="J148" s="170">
        <f t="shared" si="32"/>
        <v>1.2998759910590131E-2</v>
      </c>
    </row>
    <row r="149" spans="2:10" x14ac:dyDescent="0.25">
      <c r="B149" s="153" t="s">
        <v>53</v>
      </c>
      <c r="C149" s="174"/>
      <c r="D149" s="174"/>
      <c r="E149" s="174"/>
      <c r="F149" s="174"/>
      <c r="G149" s="174"/>
      <c r="H149" s="175"/>
      <c r="I149" s="175"/>
      <c r="J149" s="175"/>
    </row>
    <row r="150" spans="2:10" x14ac:dyDescent="0.25">
      <c r="B150" s="154" t="s">
        <v>68</v>
      </c>
      <c r="C150" s="176">
        <v>9128</v>
      </c>
      <c r="D150" s="176">
        <v>8589</v>
      </c>
      <c r="E150" s="176">
        <v>10300</v>
      </c>
      <c r="F150" s="176">
        <v>11494</v>
      </c>
      <c r="G150" s="176">
        <v>12467</v>
      </c>
      <c r="H150" s="177">
        <f t="shared" ref="H150:H162" si="33">IFERROR(G150/F150-1,"-")</f>
        <v>8.4652862362972092E-2</v>
      </c>
      <c r="I150" s="177">
        <f t="shared" ref="I150:I162" si="34">IFERROR(G150/C150-1,"-")</f>
        <v>0.36579754601226999</v>
      </c>
      <c r="J150" s="177">
        <f t="shared" ref="J150:J162" si="35">G150/G$10</f>
        <v>2.4043848635805221E-2</v>
      </c>
    </row>
    <row r="151" spans="2:10" x14ac:dyDescent="0.25">
      <c r="B151" s="157" t="s">
        <v>97</v>
      </c>
      <c r="C151" s="158">
        <v>3146</v>
      </c>
      <c r="D151" s="158">
        <v>4764</v>
      </c>
      <c r="E151" s="158">
        <v>5825</v>
      </c>
      <c r="F151" s="158">
        <v>5944</v>
      </c>
      <c r="G151" s="158">
        <v>5979</v>
      </c>
      <c r="H151" s="159">
        <f t="shared" si="33"/>
        <v>5.8882907133244178E-3</v>
      </c>
      <c r="I151" s="160">
        <f t="shared" si="34"/>
        <v>0.90050858232676423</v>
      </c>
      <c r="J151" s="159">
        <f t="shared" si="35"/>
        <v>1.1531095772317271E-2</v>
      </c>
    </row>
    <row r="152" spans="2:10" x14ac:dyDescent="0.25">
      <c r="B152" s="162" t="s">
        <v>103</v>
      </c>
      <c r="C152" s="163">
        <v>1159</v>
      </c>
      <c r="D152" s="163">
        <v>3633</v>
      </c>
      <c r="E152" s="163">
        <v>4633</v>
      </c>
      <c r="F152" s="163">
        <v>4708</v>
      </c>
      <c r="G152" s="163">
        <v>4154</v>
      </c>
      <c r="H152" s="164">
        <f t="shared" si="33"/>
        <v>-0.11767204757858962</v>
      </c>
      <c r="I152" s="165">
        <f t="shared" si="34"/>
        <v>2.5841242450388267</v>
      </c>
      <c r="J152" s="164">
        <f t="shared" si="35"/>
        <v>8.0114018796129689E-3</v>
      </c>
    </row>
    <row r="153" spans="2:10" x14ac:dyDescent="0.25">
      <c r="B153" s="162" t="s">
        <v>100</v>
      </c>
      <c r="C153" s="163">
        <v>1987</v>
      </c>
      <c r="D153" s="163">
        <v>1131</v>
      </c>
      <c r="E153" s="163">
        <v>1192</v>
      </c>
      <c r="F153" s="163">
        <v>1236</v>
      </c>
      <c r="G153" s="163">
        <v>1825</v>
      </c>
      <c r="H153" s="164">
        <f t="shared" si="33"/>
        <v>0.47653721682847894</v>
      </c>
      <c r="I153" s="165">
        <f t="shared" si="34"/>
        <v>-8.1529944640161056E-2</v>
      </c>
      <c r="J153" s="164">
        <f t="shared" si="35"/>
        <v>3.5196938927043015E-3</v>
      </c>
    </row>
    <row r="154" spans="2:10" x14ac:dyDescent="0.25">
      <c r="B154" s="157" t="s">
        <v>107</v>
      </c>
      <c r="C154" s="158">
        <v>5982</v>
      </c>
      <c r="D154" s="158">
        <v>3825</v>
      </c>
      <c r="E154" s="158">
        <v>4475</v>
      </c>
      <c r="F154" s="158">
        <v>5550</v>
      </c>
      <c r="G154" s="158">
        <v>6488</v>
      </c>
      <c r="H154" s="159">
        <f t="shared" si="33"/>
        <v>0.16900900900900906</v>
      </c>
      <c r="I154" s="160">
        <f t="shared" si="34"/>
        <v>8.4587094617184944E-2</v>
      </c>
      <c r="J154" s="159">
        <f t="shared" si="35"/>
        <v>1.251275286348795E-2</v>
      </c>
    </row>
    <row r="155" spans="2:10" x14ac:dyDescent="0.25">
      <c r="B155" s="162" t="s">
        <v>110</v>
      </c>
      <c r="C155" s="163">
        <v>1622</v>
      </c>
      <c r="D155" s="163">
        <v>766</v>
      </c>
      <c r="E155" s="163">
        <v>1725</v>
      </c>
      <c r="F155" s="163">
        <v>1527</v>
      </c>
      <c r="G155" s="163">
        <v>1789</v>
      </c>
      <c r="H155" s="164">
        <f t="shared" si="33"/>
        <v>0.17157825802226578</v>
      </c>
      <c r="I155" s="165">
        <f t="shared" si="34"/>
        <v>0.1029593094944512</v>
      </c>
      <c r="J155" s="164">
        <f t="shared" si="35"/>
        <v>3.4502643145468467E-3</v>
      </c>
    </row>
    <row r="156" spans="2:10" x14ac:dyDescent="0.25">
      <c r="B156" s="162" t="s">
        <v>113</v>
      </c>
      <c r="C156" s="163">
        <v>1568</v>
      </c>
      <c r="D156" s="163">
        <v>931</v>
      </c>
      <c r="E156" s="163">
        <v>786</v>
      </c>
      <c r="F156" s="163">
        <v>987</v>
      </c>
      <c r="G156" s="163">
        <v>875</v>
      </c>
      <c r="H156" s="164">
        <f t="shared" si="33"/>
        <v>-0.11347517730496459</v>
      </c>
      <c r="I156" s="165">
        <f t="shared" si="34"/>
        <v>-0.4419642857142857</v>
      </c>
      <c r="J156" s="164">
        <f t="shared" si="35"/>
        <v>1.687524469104802E-3</v>
      </c>
    </row>
    <row r="157" spans="2:10" x14ac:dyDescent="0.25">
      <c r="B157" s="162" t="s">
        <v>116</v>
      </c>
      <c r="C157" s="163">
        <v>886</v>
      </c>
      <c r="D157" s="163">
        <v>542</v>
      </c>
      <c r="E157" s="163">
        <v>630</v>
      </c>
      <c r="F157" s="163">
        <v>1092</v>
      </c>
      <c r="G157" s="163">
        <v>1312</v>
      </c>
      <c r="H157" s="164">
        <f t="shared" si="33"/>
        <v>0.20146520146520142</v>
      </c>
      <c r="I157" s="165">
        <f t="shared" si="34"/>
        <v>0.4808126410835214</v>
      </c>
      <c r="J157" s="164">
        <f t="shared" si="35"/>
        <v>2.5303224039605718E-3</v>
      </c>
    </row>
    <row r="158" spans="2:10" x14ac:dyDescent="0.25">
      <c r="B158" s="162" t="s">
        <v>123</v>
      </c>
      <c r="C158" s="163">
        <v>101</v>
      </c>
      <c r="D158" s="163">
        <v>90</v>
      </c>
      <c r="E158" s="163">
        <v>111</v>
      </c>
      <c r="F158" s="163">
        <v>168</v>
      </c>
      <c r="G158" s="163">
        <v>245</v>
      </c>
      <c r="H158" s="164">
        <f t="shared" si="33"/>
        <v>0.45833333333333326</v>
      </c>
      <c r="I158" s="165">
        <f t="shared" si="34"/>
        <v>1.4257425742574257</v>
      </c>
      <c r="J158" s="164">
        <f t="shared" si="35"/>
        <v>4.7250685134934457E-4</v>
      </c>
    </row>
    <row r="159" spans="2:10" x14ac:dyDescent="0.25">
      <c r="B159" s="162" t="s">
        <v>119</v>
      </c>
      <c r="C159" s="163">
        <v>426</v>
      </c>
      <c r="D159" s="163">
        <v>217</v>
      </c>
      <c r="E159" s="163">
        <v>302</v>
      </c>
      <c r="F159" s="163">
        <v>285</v>
      </c>
      <c r="G159" s="163">
        <v>452</v>
      </c>
      <c r="H159" s="164">
        <f t="shared" si="33"/>
        <v>0.5859649122807018</v>
      </c>
      <c r="I159" s="165">
        <f t="shared" si="34"/>
        <v>6.1032863849765251E-2</v>
      </c>
      <c r="J159" s="164">
        <f t="shared" si="35"/>
        <v>8.7172692575470919E-4</v>
      </c>
    </row>
    <row r="160" spans="2:10" x14ac:dyDescent="0.25">
      <c r="B160" s="162" t="s">
        <v>128</v>
      </c>
      <c r="C160" s="163">
        <v>14</v>
      </c>
      <c r="D160" s="163">
        <v>7</v>
      </c>
      <c r="E160" s="163">
        <v>11</v>
      </c>
      <c r="F160" s="163">
        <v>13</v>
      </c>
      <c r="G160" s="163">
        <v>15</v>
      </c>
      <c r="H160" s="164">
        <f t="shared" si="33"/>
        <v>0.15384615384615374</v>
      </c>
      <c r="I160" s="165">
        <f t="shared" si="34"/>
        <v>7.1428571428571397E-2</v>
      </c>
      <c r="J160" s="164">
        <f t="shared" si="35"/>
        <v>2.8928990898939465E-5</v>
      </c>
    </row>
    <row r="161" spans="2:10" x14ac:dyDescent="0.25">
      <c r="B161" s="162" t="s">
        <v>131</v>
      </c>
      <c r="C161" s="163">
        <v>10</v>
      </c>
      <c r="D161" s="163">
        <v>10</v>
      </c>
      <c r="E161" s="163">
        <v>6</v>
      </c>
      <c r="F161" s="163">
        <v>23</v>
      </c>
      <c r="G161" s="163">
        <v>7</v>
      </c>
      <c r="H161" s="164">
        <f t="shared" si="33"/>
        <v>-0.69565217391304346</v>
      </c>
      <c r="I161" s="165">
        <f t="shared" si="34"/>
        <v>-0.30000000000000004</v>
      </c>
      <c r="J161" s="164">
        <f t="shared" si="35"/>
        <v>1.3500195752838416E-5</v>
      </c>
    </row>
    <row r="162" spans="2:10" x14ac:dyDescent="0.25">
      <c r="B162" s="168" t="s">
        <v>145</v>
      </c>
      <c r="C162" s="169">
        <f>C154-SUM(C155:C161)</f>
        <v>1355</v>
      </c>
      <c r="D162" s="169">
        <f>D154-SUM(D155:D161)</f>
        <v>1262</v>
      </c>
      <c r="E162" s="169">
        <f>E154-SUM(E155:E161)</f>
        <v>904</v>
      </c>
      <c r="F162" s="169">
        <f>F154-SUM(F155:F161)</f>
        <v>1455</v>
      </c>
      <c r="G162" s="169">
        <f>G154-SUM(G155:G161)</f>
        <v>1793</v>
      </c>
      <c r="H162" s="170">
        <f t="shared" si="33"/>
        <v>0.23230240549828185</v>
      </c>
      <c r="I162" s="171">
        <f t="shared" si="34"/>
        <v>0.32324723247232479</v>
      </c>
      <c r="J162" s="170">
        <f t="shared" si="35"/>
        <v>3.4579787121198973E-3</v>
      </c>
    </row>
    <row r="163" spans="2:10" x14ac:dyDescent="0.25">
      <c r="C163" s="79"/>
      <c r="D163" s="79"/>
      <c r="E163" s="79"/>
      <c r="F163" s="79"/>
      <c r="G163" s="79"/>
      <c r="H163" s="79"/>
    </row>
    <row r="164" spans="2:10" x14ac:dyDescent="0.25">
      <c r="B164" s="105" t="s">
        <v>55</v>
      </c>
      <c r="C164" s="105"/>
      <c r="D164" s="105"/>
      <c r="E164" s="105"/>
      <c r="F164" s="105"/>
      <c r="G164" s="105"/>
      <c r="H164" s="105"/>
      <c r="I164" s="105"/>
      <c r="J164" s="105"/>
    </row>
  </sheetData>
  <mergeCells count="3">
    <mergeCell ref="B5:J5"/>
    <mergeCell ref="L5:T5"/>
    <mergeCell ref="C7:J7"/>
  </mergeCells>
  <pageMargins left="0.7" right="0.7" top="0.75" bottom="0.75" header="0.3" footer="0.3"/>
  <pageSetup paperSize="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D2ADEA-67EF-48E3-BF21-F4CEC5905E2F}">
  <sheetPr>
    <tabColor rgb="FFFFC000"/>
    <pageSetUpPr fitToPage="1"/>
  </sheetPr>
  <dimension ref="A1:AB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3" customWidth="1"/>
    <col min="10" max="11" width="10.5703125" customWidth="1"/>
    <col min="12" max="12" width="11.5703125" customWidth="1"/>
    <col min="13" max="14" width="10.5703125" customWidth="1"/>
    <col min="16" max="28" width="11.42578125" hidden="1" customWidth="1"/>
  </cols>
  <sheetData>
    <row r="1" spans="1:28" ht="42.75" customHeight="1" x14ac:dyDescent="0.25"/>
    <row r="4" spans="1:28" ht="42" customHeight="1" thickBot="1" x14ac:dyDescent="0.3">
      <c r="B4" s="270" t="str">
        <f>CONCATENATE("Viajeros alojados en los establecimientos alojativos de Tenerife según lugar de residencia y municipio de alojamiento (hotel + apartamento)")</f>
        <v>Viajeros alojados en los establecimientos alojativos de Tenerife según lugar de residencia y municipio de alojamiento (hotel + apartamento)</v>
      </c>
      <c r="C4" s="270"/>
      <c r="D4" s="270"/>
      <c r="E4" s="270"/>
      <c r="F4" s="270"/>
      <c r="G4" s="270"/>
      <c r="H4" s="270"/>
      <c r="I4" s="270"/>
      <c r="J4" s="270"/>
      <c r="K4" s="270"/>
      <c r="L4" s="270"/>
      <c r="M4" s="270"/>
      <c r="N4" s="270"/>
      <c r="Q4" s="270" t="s">
        <v>270</v>
      </c>
      <c r="R4" s="270"/>
      <c r="S4" s="270"/>
      <c r="T4" s="270"/>
      <c r="U4" s="270"/>
      <c r="V4" s="270"/>
      <c r="W4" s="270"/>
      <c r="X4" s="270"/>
      <c r="Y4" s="270"/>
      <c r="Z4" s="270"/>
      <c r="AA4" s="270"/>
      <c r="AB4" s="270"/>
    </row>
    <row r="5" spans="1:28" ht="6" customHeight="1" x14ac:dyDescent="0.25"/>
    <row r="6" spans="1:28" ht="15.75" x14ac:dyDescent="0.25">
      <c r="B6" s="143"/>
      <c r="C6" s="302" t="s">
        <v>43</v>
      </c>
      <c r="D6" s="303"/>
      <c r="E6" s="303"/>
      <c r="F6" s="303"/>
      <c r="G6" s="303"/>
      <c r="H6" s="303"/>
      <c r="I6" s="303"/>
      <c r="J6" s="303"/>
      <c r="K6" s="303"/>
      <c r="L6" s="303"/>
      <c r="M6" s="303"/>
      <c r="N6" s="303"/>
    </row>
    <row r="7" spans="1:28" s="144" customFormat="1" ht="72" customHeight="1" x14ac:dyDescent="0.25">
      <c r="B7" s="145"/>
      <c r="C7" s="172" t="s">
        <v>261</v>
      </c>
      <c r="D7" s="172" t="s">
        <v>262</v>
      </c>
      <c r="E7" s="172" t="s">
        <v>263</v>
      </c>
      <c r="F7" s="172" t="s">
        <v>269</v>
      </c>
      <c r="G7" s="172" t="s">
        <v>264</v>
      </c>
      <c r="H7" s="172" t="s">
        <v>265</v>
      </c>
      <c r="I7" s="172" t="s">
        <v>266</v>
      </c>
      <c r="J7" s="173" t="str">
        <f>CONCATENATE("var. ",RIGHT(I7,2),"/",RIGHT(H7,2))</f>
        <v>var. 24/23</v>
      </c>
      <c r="K7" s="173" t="str">
        <f>CONCATENATE("var. ",RIGHT(I7,2),"/",RIGHT(D7,2))</f>
        <v>var. 24/19</v>
      </c>
      <c r="L7" s="172" t="str">
        <f>CONCATENATE("dif. ",RIGHT(I7,2),"/",RIGHT(H7,2))</f>
        <v>dif. 24/23</v>
      </c>
      <c r="M7" s="172" t="str">
        <f>CONCATENATE("dif. ",RIGHT(I7,2),"/",RIGHT(D7,2))</f>
        <v>dif. 24/19</v>
      </c>
      <c r="N7" s="173" t="str">
        <f>CONCATENATE("Cuota s/ total lugares de residencia ",RIGHT(I7,4))</f>
        <v>Cuota s/ total lugares de residencia 2024</v>
      </c>
      <c r="Q7" s="145"/>
      <c r="R7" s="172" t="s">
        <v>261</v>
      </c>
      <c r="S7" s="172" t="s">
        <v>262</v>
      </c>
      <c r="T7" s="172" t="s">
        <v>263</v>
      </c>
      <c r="U7" s="172" t="s">
        <v>264</v>
      </c>
      <c r="V7" s="172" t="s">
        <v>265</v>
      </c>
      <c r="W7" s="172" t="s">
        <v>266</v>
      </c>
      <c r="X7" s="173" t="str">
        <f>CONCATENATE("var. ",RIGHT(W7,2),"/",RIGHT(V7,2))</f>
        <v>var. 24/23</v>
      </c>
      <c r="Y7" s="173" t="str">
        <f>CONCATENATE("var. ",RIGHT(W7,2),"/",RIGHT(S7,2))</f>
        <v>var. 24/19</v>
      </c>
      <c r="Z7" s="172" t="str">
        <f>CONCATENATE("dif. ",RIGHT(W7,2),"/",RIGHT(V7,2))</f>
        <v>dif. 24/23</v>
      </c>
      <c r="AA7" s="172" t="str">
        <f>CONCATENATE("dif. ",RIGHT(W7,2),"/",RIGHT(S7,2))</f>
        <v>dif. 24/19</v>
      </c>
      <c r="AB7" s="173" t="str">
        <f>CONCATENATE("Cuota s/ total lugares de residencia ",RIGHT(W7,4))</f>
        <v>Cuota s/ total lugares de residencia 2024</v>
      </c>
    </row>
    <row r="8" spans="1:28" x14ac:dyDescent="0.25">
      <c r="A8" s="1"/>
      <c r="B8" s="150" t="s">
        <v>43</v>
      </c>
      <c r="C8" s="151"/>
      <c r="D8" s="151"/>
      <c r="E8" s="151"/>
      <c r="F8" s="151"/>
      <c r="G8" s="151"/>
      <c r="H8" s="151"/>
      <c r="I8" s="152"/>
      <c r="J8" s="152"/>
      <c r="K8" s="152"/>
      <c r="L8" s="152"/>
      <c r="M8" s="151"/>
      <c r="N8" s="151"/>
      <c r="Q8" s="153" t="s">
        <v>49</v>
      </c>
      <c r="R8" s="151"/>
      <c r="S8" s="151"/>
      <c r="T8" s="151"/>
      <c r="U8" s="151"/>
      <c r="V8" s="151"/>
      <c r="W8" s="152"/>
      <c r="X8" s="152"/>
      <c r="Y8" s="152"/>
      <c r="Z8" s="152"/>
      <c r="AA8" s="151"/>
      <c r="AB8" s="151"/>
    </row>
    <row r="9" spans="1:28" x14ac:dyDescent="0.25">
      <c r="A9" s="1"/>
      <c r="B9" s="154" t="s">
        <v>68</v>
      </c>
      <c r="C9" s="176">
        <v>4363832</v>
      </c>
      <c r="D9" s="176">
        <v>4330865</v>
      </c>
      <c r="E9" s="176">
        <v>1593725</v>
      </c>
      <c r="F9" s="176">
        <v>4116712</v>
      </c>
      <c r="G9" s="176">
        <v>4116712</v>
      </c>
      <c r="H9" s="176">
        <v>4555390</v>
      </c>
      <c r="I9" s="176">
        <v>4846999</v>
      </c>
      <c r="J9" s="177">
        <f>IFERROR(I9/H9-1,"-")</f>
        <v>6.4014058071866442E-2</v>
      </c>
      <c r="K9" s="177">
        <f>IFERROR(I9/D9-1,"-")</f>
        <v>0.11917573048340224</v>
      </c>
      <c r="L9" s="176">
        <f>I9-H9</f>
        <v>291609</v>
      </c>
      <c r="M9" s="176">
        <f>I9-D9</f>
        <v>516134</v>
      </c>
      <c r="N9" s="177">
        <f t="shared" ref="N9:N21" si="0">I9/I$9</f>
        <v>1</v>
      </c>
      <c r="Q9" s="154" t="s">
        <v>68</v>
      </c>
      <c r="R9" s="176">
        <v>40573</v>
      </c>
      <c r="S9" s="176">
        <v>41336</v>
      </c>
      <c r="T9" s="176">
        <v>18240</v>
      </c>
      <c r="U9" s="176">
        <v>39143</v>
      </c>
      <c r="V9" s="176">
        <v>46340</v>
      </c>
      <c r="W9" s="176">
        <v>43855</v>
      </c>
      <c r="X9" s="177">
        <f>IFERROR(W9/V9-1,"-")</f>
        <v>-5.3625377643504502E-2</v>
      </c>
      <c r="Y9" s="177">
        <f>IFERROR(W9/S9-1,"-")</f>
        <v>6.0939616798916241E-2</v>
      </c>
      <c r="Z9" s="176">
        <f>W9-V9</f>
        <v>-2485</v>
      </c>
      <c r="AA9" s="176">
        <f>W9-S9</f>
        <v>2519</v>
      </c>
      <c r="AB9" s="177">
        <f t="shared" ref="AB9:AB21" si="1">W9/W$9</f>
        <v>1</v>
      </c>
    </row>
    <row r="10" spans="1:28" x14ac:dyDescent="0.25">
      <c r="A10" s="1" t="s">
        <v>96</v>
      </c>
      <c r="B10" s="157" t="s">
        <v>97</v>
      </c>
      <c r="C10" s="158">
        <v>909221</v>
      </c>
      <c r="D10" s="158">
        <v>909501</v>
      </c>
      <c r="E10" s="158">
        <v>389776</v>
      </c>
      <c r="F10" s="158">
        <v>873118</v>
      </c>
      <c r="G10" s="158">
        <v>873118</v>
      </c>
      <c r="H10" s="158">
        <v>913236</v>
      </c>
      <c r="I10" s="158">
        <v>912897</v>
      </c>
      <c r="J10" s="160">
        <f>IFERROR(I10/H10-1,"-")</f>
        <v>-3.7120744254492966E-4</v>
      </c>
      <c r="K10" s="159">
        <f t="shared" ref="K10:K21" si="2">IFERROR(I10/D10-1,"-")</f>
        <v>3.7339156306590571E-3</v>
      </c>
      <c r="L10" s="157">
        <f t="shared" ref="L10:L20" si="3">I10-H10</f>
        <v>-339</v>
      </c>
      <c r="M10" s="158">
        <f t="shared" ref="M10:M21" si="4">I10-D10</f>
        <v>3396</v>
      </c>
      <c r="N10" s="159">
        <f t="shared" si="0"/>
        <v>0.18834272505523522</v>
      </c>
      <c r="Q10" s="157" t="s">
        <v>97</v>
      </c>
      <c r="R10" s="158">
        <v>25429</v>
      </c>
      <c r="S10" s="158">
        <v>26994</v>
      </c>
      <c r="T10" s="158">
        <v>11388</v>
      </c>
      <c r="U10" s="158">
        <v>25280</v>
      </c>
      <c r="V10" s="158">
        <v>30693</v>
      </c>
      <c r="W10" s="158">
        <v>26797</v>
      </c>
      <c r="X10" s="160">
        <f>IFERROR(W10/V10-1,"-")</f>
        <v>-0.1269344801746326</v>
      </c>
      <c r="Y10" s="159">
        <f t="shared" ref="Y10:Y21" si="5">IFERROR(W10/S10-1,"-")</f>
        <v>-7.2979180558642165E-3</v>
      </c>
      <c r="Z10" s="157">
        <f t="shared" ref="Z10:Z20" si="6">W10-V10</f>
        <v>-3896</v>
      </c>
      <c r="AA10" s="158">
        <f t="shared" ref="AA10:AA21" si="7">W10-S10</f>
        <v>-197</v>
      </c>
      <c r="AB10" s="159">
        <f t="shared" si="1"/>
        <v>0.6110363698552046</v>
      </c>
    </row>
    <row r="11" spans="1:28" x14ac:dyDescent="0.25">
      <c r="A11" s="161" t="s">
        <v>103</v>
      </c>
      <c r="B11" s="162" t="s">
        <v>103</v>
      </c>
      <c r="C11" s="163">
        <v>364420</v>
      </c>
      <c r="D11" s="163">
        <v>349280</v>
      </c>
      <c r="E11" s="163">
        <v>160831</v>
      </c>
      <c r="F11" s="163">
        <v>357801</v>
      </c>
      <c r="G11" s="163">
        <v>357801</v>
      </c>
      <c r="H11" s="163">
        <v>371583</v>
      </c>
      <c r="I11" s="163">
        <v>360702</v>
      </c>
      <c r="J11" s="165">
        <f>IFERROR(I11/H11-1,"-")</f>
        <v>-2.9282825102332488E-2</v>
      </c>
      <c r="K11" s="164">
        <f t="shared" si="2"/>
        <v>3.2701557489693167E-2</v>
      </c>
      <c r="L11" s="162">
        <f t="shared" si="3"/>
        <v>-10881</v>
      </c>
      <c r="M11" s="163">
        <f t="shared" si="4"/>
        <v>11422</v>
      </c>
      <c r="N11" s="164">
        <f t="shared" si="0"/>
        <v>7.4417593236557306E-2</v>
      </c>
      <c r="Q11" s="162" t="s">
        <v>103</v>
      </c>
      <c r="R11" s="163">
        <v>12321</v>
      </c>
      <c r="S11" s="163">
        <v>13150</v>
      </c>
      <c r="T11" s="163">
        <v>6091</v>
      </c>
      <c r="U11" s="163">
        <v>11813</v>
      </c>
      <c r="V11" s="163">
        <v>9708</v>
      </c>
      <c r="W11" s="163">
        <v>8305</v>
      </c>
      <c r="X11" s="165">
        <f>IFERROR(W11/V11-1,"-")</f>
        <v>-0.1445199835187474</v>
      </c>
      <c r="Y11" s="164">
        <f t="shared" si="5"/>
        <v>-0.36844106463878323</v>
      </c>
      <c r="Z11" s="162">
        <f t="shared" si="6"/>
        <v>-1403</v>
      </c>
      <c r="AA11" s="163">
        <f t="shared" si="7"/>
        <v>-4845</v>
      </c>
      <c r="AB11" s="164">
        <f t="shared" si="1"/>
        <v>0.18937407365180708</v>
      </c>
    </row>
    <row r="12" spans="1:28" x14ac:dyDescent="0.25">
      <c r="A12" s="161" t="s">
        <v>100</v>
      </c>
      <c r="B12" s="162" t="s">
        <v>100</v>
      </c>
      <c r="C12" s="163">
        <v>544801</v>
      </c>
      <c r="D12" s="163">
        <v>560221</v>
      </c>
      <c r="E12" s="163">
        <v>228945</v>
      </c>
      <c r="F12" s="163">
        <v>515317</v>
      </c>
      <c r="G12" s="163">
        <v>515317</v>
      </c>
      <c r="H12" s="163">
        <v>541653</v>
      </c>
      <c r="I12" s="163">
        <v>552195</v>
      </c>
      <c r="J12" s="165">
        <f>IFERROR(I12/H12-1,"-")</f>
        <v>1.9462644903656123E-2</v>
      </c>
      <c r="K12" s="164">
        <f t="shared" si="2"/>
        <v>-1.4326489010586863E-2</v>
      </c>
      <c r="L12" s="162">
        <f t="shared" si="3"/>
        <v>10542</v>
      </c>
      <c r="M12" s="163">
        <f t="shared" si="4"/>
        <v>-8026</v>
      </c>
      <c r="N12" s="164">
        <f t="shared" si="0"/>
        <v>0.1139251318186779</v>
      </c>
      <c r="Q12" s="162" t="s">
        <v>100</v>
      </c>
      <c r="R12" s="163">
        <v>13108</v>
      </c>
      <c r="S12" s="163">
        <v>13844</v>
      </c>
      <c r="T12" s="163">
        <v>5297</v>
      </c>
      <c r="U12" s="163">
        <v>13467</v>
      </c>
      <c r="V12" s="163">
        <v>20985</v>
      </c>
      <c r="W12" s="163">
        <v>18492</v>
      </c>
      <c r="X12" s="165">
        <f>IFERROR(W12/V12-1,"-")</f>
        <v>-0.11879914224446031</v>
      </c>
      <c r="Y12" s="164">
        <f t="shared" si="5"/>
        <v>0.33574111528459993</v>
      </c>
      <c r="Z12" s="162">
        <f t="shared" si="6"/>
        <v>-2493</v>
      </c>
      <c r="AA12" s="163">
        <f t="shared" si="7"/>
        <v>4648</v>
      </c>
      <c r="AB12" s="164">
        <f t="shared" si="1"/>
        <v>0.42166229620339757</v>
      </c>
    </row>
    <row r="13" spans="1:28" x14ac:dyDescent="0.25">
      <c r="A13" s="1"/>
      <c r="B13" s="157" t="s">
        <v>107</v>
      </c>
      <c r="C13" s="158">
        <v>3454611</v>
      </c>
      <c r="D13" s="158">
        <v>3421364</v>
      </c>
      <c r="E13" s="158">
        <v>1203949</v>
      </c>
      <c r="F13" s="158">
        <v>3243594</v>
      </c>
      <c r="G13" s="158">
        <v>3243594</v>
      </c>
      <c r="H13" s="158">
        <v>3642154</v>
      </c>
      <c r="I13" s="158">
        <v>3934102</v>
      </c>
      <c r="J13" s="160">
        <f>IFERROR(I13/H13-1,"-")</f>
        <v>8.0158060312661039E-2</v>
      </c>
      <c r="K13" s="159">
        <f t="shared" si="2"/>
        <v>0.14986362164329781</v>
      </c>
      <c r="L13" s="157">
        <f t="shared" si="3"/>
        <v>291948</v>
      </c>
      <c r="M13" s="158">
        <f t="shared" si="4"/>
        <v>512738</v>
      </c>
      <c r="N13" s="159">
        <f t="shared" si="0"/>
        <v>0.81165727494476481</v>
      </c>
      <c r="Q13" s="157" t="s">
        <v>107</v>
      </c>
      <c r="R13" s="158">
        <v>15144</v>
      </c>
      <c r="S13" s="158">
        <v>14342</v>
      </c>
      <c r="T13" s="158">
        <v>6852</v>
      </c>
      <c r="U13" s="158">
        <v>13863</v>
      </c>
      <c r="V13" s="158">
        <v>15647</v>
      </c>
      <c r="W13" s="158">
        <v>17058</v>
      </c>
      <c r="X13" s="160">
        <f>IFERROR(W13/V13-1,"-")</f>
        <v>9.0177030740717035E-2</v>
      </c>
      <c r="Y13" s="159">
        <f t="shared" si="5"/>
        <v>0.18937386696416114</v>
      </c>
      <c r="Z13" s="157">
        <f t="shared" si="6"/>
        <v>1411</v>
      </c>
      <c r="AA13" s="158">
        <f t="shared" si="7"/>
        <v>2716</v>
      </c>
      <c r="AB13" s="159">
        <f t="shared" si="1"/>
        <v>0.38896363014479535</v>
      </c>
    </row>
    <row r="14" spans="1:28" s="56" customFormat="1" x14ac:dyDescent="0.25">
      <c r="B14" s="162" t="s">
        <v>110</v>
      </c>
      <c r="C14" s="163">
        <v>1536069</v>
      </c>
      <c r="D14" s="163">
        <v>1590514</v>
      </c>
      <c r="E14" s="163">
        <v>470686</v>
      </c>
      <c r="F14" s="163">
        <v>1521014</v>
      </c>
      <c r="G14" s="163">
        <v>1521014</v>
      </c>
      <c r="H14" s="163">
        <v>1730415</v>
      </c>
      <c r="I14" s="163">
        <v>1875633</v>
      </c>
      <c r="J14" s="165">
        <f t="shared" ref="J14:J21" si="8">IFERROR(I14/H14-1,"-")</f>
        <v>8.3920909146071976E-2</v>
      </c>
      <c r="K14" s="164">
        <f t="shared" si="2"/>
        <v>0.17926217562372915</v>
      </c>
      <c r="L14" s="162">
        <f t="shared" si="3"/>
        <v>145218</v>
      </c>
      <c r="M14" s="163">
        <f t="shared" si="4"/>
        <v>285119</v>
      </c>
      <c r="N14" s="164">
        <f t="shared" si="0"/>
        <v>0.38696789497996598</v>
      </c>
      <c r="Q14" s="162" t="s">
        <v>110</v>
      </c>
      <c r="R14" s="163">
        <v>1747</v>
      </c>
      <c r="S14" s="163">
        <v>1905</v>
      </c>
      <c r="T14" s="163">
        <v>1144</v>
      </c>
      <c r="U14" s="163">
        <v>1860</v>
      </c>
      <c r="V14" s="163">
        <v>2264</v>
      </c>
      <c r="W14" s="163">
        <v>2464</v>
      </c>
      <c r="X14" s="165">
        <f t="shared" ref="X14:X21" si="9">IFERROR(W14/V14-1,"-")</f>
        <v>8.8339222614840951E-2</v>
      </c>
      <c r="Y14" s="164">
        <f t="shared" si="5"/>
        <v>0.29343832020997374</v>
      </c>
      <c r="Z14" s="162">
        <f t="shared" si="6"/>
        <v>200</v>
      </c>
      <c r="AA14" s="163">
        <f t="shared" si="7"/>
        <v>559</v>
      </c>
      <c r="AB14" s="164">
        <f t="shared" si="1"/>
        <v>5.6185155626496411E-2</v>
      </c>
    </row>
    <row r="15" spans="1:28" s="56" customFormat="1" x14ac:dyDescent="0.25">
      <c r="B15" s="162" t="s">
        <v>113</v>
      </c>
      <c r="C15" s="163">
        <v>532853</v>
      </c>
      <c r="D15" s="163">
        <v>455691</v>
      </c>
      <c r="E15" s="163">
        <v>159243</v>
      </c>
      <c r="F15" s="163">
        <v>329839</v>
      </c>
      <c r="G15" s="163">
        <v>329839</v>
      </c>
      <c r="H15" s="163">
        <v>374298</v>
      </c>
      <c r="I15" s="163">
        <v>391353</v>
      </c>
      <c r="J15" s="165">
        <f t="shared" si="8"/>
        <v>4.5565298238302132E-2</v>
      </c>
      <c r="K15" s="164">
        <f t="shared" si="2"/>
        <v>-0.14118777856047193</v>
      </c>
      <c r="L15" s="162">
        <f t="shared" si="3"/>
        <v>17055</v>
      </c>
      <c r="M15" s="163">
        <f t="shared" si="4"/>
        <v>-64338</v>
      </c>
      <c r="N15" s="164">
        <f t="shared" si="0"/>
        <v>8.0741299925995449E-2</v>
      </c>
      <c r="Q15" s="162" t="s">
        <v>113</v>
      </c>
      <c r="R15" s="163">
        <v>3613</v>
      </c>
      <c r="S15" s="163">
        <v>3059</v>
      </c>
      <c r="T15" s="163">
        <v>1439</v>
      </c>
      <c r="U15" s="163">
        <v>2833</v>
      </c>
      <c r="V15" s="163">
        <v>3049</v>
      </c>
      <c r="W15" s="163">
        <v>3490</v>
      </c>
      <c r="X15" s="165">
        <f t="shared" si="9"/>
        <v>0.14463758609380117</v>
      </c>
      <c r="Y15" s="164">
        <f t="shared" si="5"/>
        <v>0.14089571755475649</v>
      </c>
      <c r="Z15" s="162">
        <f t="shared" si="6"/>
        <v>441</v>
      </c>
      <c r="AA15" s="163">
        <f t="shared" si="7"/>
        <v>431</v>
      </c>
      <c r="AB15" s="164">
        <f t="shared" si="1"/>
        <v>7.9580435526165769E-2</v>
      </c>
    </row>
    <row r="16" spans="1:28" x14ac:dyDescent="0.25">
      <c r="A16" s="1"/>
      <c r="B16" s="162" t="s">
        <v>116</v>
      </c>
      <c r="C16" s="163">
        <v>150445</v>
      </c>
      <c r="D16" s="163">
        <v>151730</v>
      </c>
      <c r="E16" s="163">
        <v>55054</v>
      </c>
      <c r="F16" s="163">
        <v>166671</v>
      </c>
      <c r="G16" s="163">
        <v>166671</v>
      </c>
      <c r="H16" s="163">
        <v>188864</v>
      </c>
      <c r="I16" s="163">
        <v>207728</v>
      </c>
      <c r="J16" s="165">
        <f t="shared" si="8"/>
        <v>9.9881396136902723E-2</v>
      </c>
      <c r="K16" s="164">
        <f t="shared" si="2"/>
        <v>0.36906346800237255</v>
      </c>
      <c r="L16" s="162">
        <f t="shared" si="3"/>
        <v>18864</v>
      </c>
      <c r="M16" s="163">
        <f t="shared" si="4"/>
        <v>55998</v>
      </c>
      <c r="N16" s="164">
        <f t="shared" si="0"/>
        <v>4.2857033805866272E-2</v>
      </c>
      <c r="Q16" s="162" t="s">
        <v>116</v>
      </c>
      <c r="R16" s="163">
        <v>3218</v>
      </c>
      <c r="S16" s="163">
        <v>2951</v>
      </c>
      <c r="T16" s="163">
        <v>1565</v>
      </c>
      <c r="U16" s="163">
        <v>2677</v>
      </c>
      <c r="V16" s="163">
        <v>2921</v>
      </c>
      <c r="W16" s="163">
        <v>2887</v>
      </c>
      <c r="X16" s="165">
        <f t="shared" si="9"/>
        <v>-1.1639849366655297E-2</v>
      </c>
      <c r="Y16" s="164">
        <f t="shared" si="5"/>
        <v>-2.1687563537783783E-2</v>
      </c>
      <c r="Z16" s="162">
        <f t="shared" si="6"/>
        <v>-34</v>
      </c>
      <c r="AA16" s="163">
        <f t="shared" si="7"/>
        <v>-64</v>
      </c>
      <c r="AB16" s="164">
        <f t="shared" si="1"/>
        <v>6.5830578041272375E-2</v>
      </c>
    </row>
    <row r="17" spans="1:28" x14ac:dyDescent="0.25">
      <c r="A17" s="1"/>
      <c r="B17" s="162" t="s">
        <v>123</v>
      </c>
      <c r="C17" s="163">
        <v>140017</v>
      </c>
      <c r="D17" s="163">
        <v>130840</v>
      </c>
      <c r="E17" s="163">
        <v>43938</v>
      </c>
      <c r="F17" s="163">
        <v>164373</v>
      </c>
      <c r="G17" s="163">
        <v>164373</v>
      </c>
      <c r="H17" s="163">
        <v>153800</v>
      </c>
      <c r="I17" s="163">
        <v>158736</v>
      </c>
      <c r="J17" s="165">
        <f t="shared" si="8"/>
        <v>3.2093628088426529E-2</v>
      </c>
      <c r="K17" s="164">
        <f t="shared" si="2"/>
        <v>0.21320697034546021</v>
      </c>
      <c r="L17" s="162">
        <f t="shared" si="3"/>
        <v>4936</v>
      </c>
      <c r="M17" s="163">
        <f t="shared" si="4"/>
        <v>27896</v>
      </c>
      <c r="N17" s="164">
        <f t="shared" si="0"/>
        <v>3.2749336238773727E-2</v>
      </c>
      <c r="Q17" s="162" t="s">
        <v>123</v>
      </c>
      <c r="R17" s="163">
        <v>449</v>
      </c>
      <c r="S17" s="163">
        <v>491</v>
      </c>
      <c r="T17" s="163">
        <v>297</v>
      </c>
      <c r="U17" s="163">
        <v>970</v>
      </c>
      <c r="V17" s="163">
        <v>724</v>
      </c>
      <c r="W17" s="163">
        <v>784</v>
      </c>
      <c r="X17" s="165">
        <f t="shared" si="9"/>
        <v>8.287292817679548E-2</v>
      </c>
      <c r="Y17" s="164">
        <f t="shared" si="5"/>
        <v>0.59674134419551939</v>
      </c>
      <c r="Z17" s="162">
        <f t="shared" si="6"/>
        <v>60</v>
      </c>
      <c r="AA17" s="163">
        <f t="shared" si="7"/>
        <v>293</v>
      </c>
      <c r="AB17" s="164">
        <f t="shared" si="1"/>
        <v>1.7877094972067038E-2</v>
      </c>
    </row>
    <row r="18" spans="1:28" x14ac:dyDescent="0.25">
      <c r="A18" s="1"/>
      <c r="B18" s="162" t="s">
        <v>119</v>
      </c>
      <c r="C18" s="163">
        <v>123590</v>
      </c>
      <c r="D18" s="163">
        <v>120803</v>
      </c>
      <c r="E18" s="163">
        <v>58400</v>
      </c>
      <c r="F18" s="163">
        <v>131106</v>
      </c>
      <c r="G18" s="163">
        <v>131106</v>
      </c>
      <c r="H18" s="163">
        <v>132154</v>
      </c>
      <c r="I18" s="163">
        <v>141055</v>
      </c>
      <c r="J18" s="165">
        <f t="shared" si="8"/>
        <v>6.7353239402515142E-2</v>
      </c>
      <c r="K18" s="164">
        <f t="shared" si="2"/>
        <v>0.16764484325720397</v>
      </c>
      <c r="L18" s="162">
        <f t="shared" si="3"/>
        <v>8901</v>
      </c>
      <c r="M18" s="163">
        <f t="shared" si="4"/>
        <v>20252</v>
      </c>
      <c r="N18" s="164">
        <f t="shared" si="0"/>
        <v>2.9101512090264511E-2</v>
      </c>
      <c r="Q18" s="162" t="s">
        <v>119</v>
      </c>
      <c r="R18" s="163">
        <v>346</v>
      </c>
      <c r="S18" s="163">
        <v>392</v>
      </c>
      <c r="T18" s="163">
        <v>228</v>
      </c>
      <c r="U18" s="163">
        <v>560</v>
      </c>
      <c r="V18" s="163">
        <v>451</v>
      </c>
      <c r="W18" s="163">
        <v>685</v>
      </c>
      <c r="X18" s="165">
        <f t="shared" si="9"/>
        <v>0.51884700665188466</v>
      </c>
      <c r="Y18" s="164">
        <f t="shared" si="5"/>
        <v>0.74744897959183665</v>
      </c>
      <c r="Z18" s="162">
        <f t="shared" si="6"/>
        <v>234</v>
      </c>
      <c r="AA18" s="163">
        <f t="shared" si="7"/>
        <v>293</v>
      </c>
      <c r="AB18" s="164">
        <f t="shared" si="1"/>
        <v>1.561965568350245E-2</v>
      </c>
    </row>
    <row r="19" spans="1:28" x14ac:dyDescent="0.25">
      <c r="A19" s="1"/>
      <c r="B19" s="162" t="s">
        <v>128</v>
      </c>
      <c r="C19" s="163">
        <v>57088</v>
      </c>
      <c r="D19" s="163">
        <v>63996</v>
      </c>
      <c r="E19" s="163">
        <v>35659</v>
      </c>
      <c r="F19" s="163">
        <v>46950</v>
      </c>
      <c r="G19" s="163">
        <v>46950</v>
      </c>
      <c r="H19" s="163">
        <v>56688</v>
      </c>
      <c r="I19" s="163">
        <v>53832</v>
      </c>
      <c r="J19" s="165">
        <f t="shared" si="8"/>
        <v>-5.038103302286201E-2</v>
      </c>
      <c r="K19" s="164">
        <f t="shared" si="2"/>
        <v>-0.15882242640165012</v>
      </c>
      <c r="L19" s="162">
        <f t="shared" si="3"/>
        <v>-2856</v>
      </c>
      <c r="M19" s="163">
        <f t="shared" si="4"/>
        <v>-10164</v>
      </c>
      <c r="N19" s="164">
        <f t="shared" si="0"/>
        <v>1.1106253580823929E-2</v>
      </c>
      <c r="Q19" s="162" t="s">
        <v>128</v>
      </c>
      <c r="R19" s="163">
        <v>99</v>
      </c>
      <c r="S19" s="163">
        <v>126</v>
      </c>
      <c r="T19" s="163">
        <v>127</v>
      </c>
      <c r="U19" s="163">
        <v>226</v>
      </c>
      <c r="V19" s="163">
        <v>109</v>
      </c>
      <c r="W19" s="163">
        <v>192</v>
      </c>
      <c r="X19" s="165">
        <f t="shared" si="9"/>
        <v>0.76146788990825698</v>
      </c>
      <c r="Y19" s="164">
        <f t="shared" si="5"/>
        <v>0.52380952380952372</v>
      </c>
      <c r="Z19" s="162">
        <f t="shared" si="6"/>
        <v>83</v>
      </c>
      <c r="AA19" s="163">
        <f t="shared" si="7"/>
        <v>66</v>
      </c>
      <c r="AB19" s="164">
        <f t="shared" si="1"/>
        <v>4.3780640747919279E-3</v>
      </c>
    </row>
    <row r="20" spans="1:28" x14ac:dyDescent="0.25">
      <c r="A20" s="161" t="s">
        <v>144</v>
      </c>
      <c r="B20" s="162" t="s">
        <v>131</v>
      </c>
      <c r="C20" s="163">
        <v>93423</v>
      </c>
      <c r="D20" s="163">
        <v>79997</v>
      </c>
      <c r="E20" s="163">
        <v>51838</v>
      </c>
      <c r="F20" s="163">
        <v>35491</v>
      </c>
      <c r="G20" s="163">
        <v>35491</v>
      </c>
      <c r="H20" s="163">
        <v>51425</v>
      </c>
      <c r="I20" s="163">
        <v>54282</v>
      </c>
      <c r="J20" s="165">
        <f t="shared" si="8"/>
        <v>5.5556635877491489E-2</v>
      </c>
      <c r="K20" s="164">
        <f t="shared" si="2"/>
        <v>-0.32144955435828848</v>
      </c>
      <c r="L20" s="162">
        <f t="shared" si="3"/>
        <v>2857</v>
      </c>
      <c r="M20" s="163">
        <f t="shared" si="4"/>
        <v>-25715</v>
      </c>
      <c r="N20" s="164">
        <f t="shared" si="0"/>
        <v>1.119909453251383E-2</v>
      </c>
      <c r="Q20" s="162" t="s">
        <v>131</v>
      </c>
      <c r="R20" s="163">
        <v>268</v>
      </c>
      <c r="S20" s="163">
        <v>153</v>
      </c>
      <c r="T20" s="163">
        <v>75</v>
      </c>
      <c r="U20" s="163">
        <v>116</v>
      </c>
      <c r="V20" s="163">
        <v>203</v>
      </c>
      <c r="W20" s="163">
        <v>323</v>
      </c>
      <c r="X20" s="165">
        <f t="shared" si="9"/>
        <v>0.59113300492610832</v>
      </c>
      <c r="Y20" s="164">
        <f t="shared" si="5"/>
        <v>1.1111111111111112</v>
      </c>
      <c r="Z20" s="162">
        <f t="shared" si="6"/>
        <v>120</v>
      </c>
      <c r="AA20" s="163">
        <f t="shared" si="7"/>
        <v>170</v>
      </c>
      <c r="AB20" s="164">
        <f t="shared" si="1"/>
        <v>7.3651807091551702E-3</v>
      </c>
    </row>
    <row r="21" spans="1:28" x14ac:dyDescent="0.25">
      <c r="A21" s="167" t="s">
        <v>145</v>
      </c>
      <c r="B21" s="168" t="s">
        <v>145</v>
      </c>
      <c r="C21" s="169">
        <f t="shared" ref="C21:I21" si="10">C13-SUM(C14:C20)</f>
        <v>821126</v>
      </c>
      <c r="D21" s="169">
        <f t="shared" si="10"/>
        <v>827793</v>
      </c>
      <c r="E21" s="169">
        <f t="shared" si="10"/>
        <v>329131</v>
      </c>
      <c r="F21" s="169">
        <f t="shared" ref="F21" si="11">F13-SUM(F14:F20)</f>
        <v>848150</v>
      </c>
      <c r="G21" s="169">
        <f t="shared" si="10"/>
        <v>848150</v>
      </c>
      <c r="H21" s="169">
        <f t="shared" si="10"/>
        <v>954510</v>
      </c>
      <c r="I21" s="169">
        <f t="shared" si="10"/>
        <v>1051483</v>
      </c>
      <c r="J21" s="171">
        <f t="shared" si="8"/>
        <v>0.10159453541607744</v>
      </c>
      <c r="K21" s="170">
        <f t="shared" si="2"/>
        <v>0.27022456097116065</v>
      </c>
      <c r="L21" s="168">
        <f>I21-H21</f>
        <v>96973</v>
      </c>
      <c r="M21" s="169">
        <f t="shared" si="4"/>
        <v>223690</v>
      </c>
      <c r="N21" s="170">
        <f t="shared" si="0"/>
        <v>0.21693484979056113</v>
      </c>
      <c r="Q21" s="168" t="s">
        <v>145</v>
      </c>
      <c r="R21" s="169">
        <f t="shared" ref="R21:W21" si="12">R13-SUM(R14:R20)</f>
        <v>5404</v>
      </c>
      <c r="S21" s="169">
        <f t="shared" si="12"/>
        <v>5265</v>
      </c>
      <c r="T21" s="169">
        <f t="shared" si="12"/>
        <v>1977</v>
      </c>
      <c r="U21" s="169">
        <f t="shared" si="12"/>
        <v>4621</v>
      </c>
      <c r="V21" s="169">
        <f t="shared" si="12"/>
        <v>5926</v>
      </c>
      <c r="W21" s="169">
        <f t="shared" si="12"/>
        <v>6233</v>
      </c>
      <c r="X21" s="171">
        <f t="shared" si="9"/>
        <v>5.1805602429969566E-2</v>
      </c>
      <c r="Y21" s="170">
        <f t="shared" si="5"/>
        <v>0.18385565052231723</v>
      </c>
      <c r="Z21" s="168">
        <f>W21-V21</f>
        <v>307</v>
      </c>
      <c r="AA21" s="169">
        <f t="shared" si="7"/>
        <v>968</v>
      </c>
      <c r="AB21" s="170">
        <f t="shared" si="1"/>
        <v>0.1421274655113442</v>
      </c>
    </row>
    <row r="22" spans="1:28" x14ac:dyDescent="0.25">
      <c r="A22" s="1"/>
      <c r="B22" s="153" t="s">
        <v>44</v>
      </c>
      <c r="C22" s="151"/>
      <c r="D22" s="151"/>
      <c r="E22" s="151"/>
      <c r="F22" s="151"/>
      <c r="G22" s="151"/>
      <c r="H22" s="151"/>
      <c r="I22" s="152"/>
      <c r="J22" s="152"/>
      <c r="K22" s="152"/>
      <c r="L22" s="152"/>
      <c r="M22" s="151"/>
      <c r="N22" s="151"/>
    </row>
    <row r="23" spans="1:28" x14ac:dyDescent="0.25">
      <c r="A23" s="1"/>
      <c r="B23" s="154" t="s">
        <v>68</v>
      </c>
      <c r="C23" s="176">
        <v>1545340</v>
      </c>
      <c r="D23" s="176">
        <v>1604718</v>
      </c>
      <c r="E23" s="176">
        <v>541906</v>
      </c>
      <c r="F23" s="176">
        <v>1558686</v>
      </c>
      <c r="G23" s="176">
        <v>1558686</v>
      </c>
      <c r="H23" s="176">
        <v>1686480</v>
      </c>
      <c r="I23" s="176">
        <v>1747927</v>
      </c>
      <c r="J23" s="177">
        <f>IFERROR(I23/H23-1,"-")</f>
        <v>3.6435060006640985E-2</v>
      </c>
      <c r="K23" s="177">
        <f>IFERROR(I23/D23-1,"-")</f>
        <v>8.9242471262863665E-2</v>
      </c>
      <c r="L23" s="176">
        <f>I23-H23</f>
        <v>61447</v>
      </c>
      <c r="M23" s="176">
        <f>I23-D23</f>
        <v>143209</v>
      </c>
      <c r="N23" s="177">
        <f t="shared" ref="N23:N35" si="13">I23/I$9</f>
        <v>0.36062045814327587</v>
      </c>
    </row>
    <row r="24" spans="1:28" x14ac:dyDescent="0.25">
      <c r="A24" s="1" t="s">
        <v>96</v>
      </c>
      <c r="B24" s="157" t="s">
        <v>97</v>
      </c>
      <c r="C24" s="158">
        <v>169509</v>
      </c>
      <c r="D24" s="158">
        <v>203129</v>
      </c>
      <c r="E24" s="158">
        <v>84333</v>
      </c>
      <c r="F24" s="158">
        <v>189098</v>
      </c>
      <c r="G24" s="158">
        <v>189098</v>
      </c>
      <c r="H24" s="158">
        <v>165418</v>
      </c>
      <c r="I24" s="158">
        <v>148493</v>
      </c>
      <c r="J24" s="160">
        <f>IFERROR(I24/H24-1,"-")</f>
        <v>-0.10231655563481601</v>
      </c>
      <c r="K24" s="159">
        <f t="shared" ref="K24:K35" si="14">IFERROR(I24/D24-1,"-")</f>
        <v>-0.26897193409114406</v>
      </c>
      <c r="L24" s="157">
        <f t="shared" ref="L24:L34" si="15">I24-H24</f>
        <v>-16925</v>
      </c>
      <c r="M24" s="158">
        <f t="shared" ref="M24:M35" si="16">I24-D24</f>
        <v>-54636</v>
      </c>
      <c r="N24" s="159">
        <f t="shared" si="13"/>
        <v>3.0636069865085592E-2</v>
      </c>
    </row>
    <row r="25" spans="1:28" x14ac:dyDescent="0.25">
      <c r="A25" s="161" t="s">
        <v>103</v>
      </c>
      <c r="B25" s="162" t="s">
        <v>103</v>
      </c>
      <c r="C25" s="163">
        <v>78465</v>
      </c>
      <c r="D25" s="163">
        <v>102461</v>
      </c>
      <c r="E25" s="163">
        <v>45984</v>
      </c>
      <c r="F25" s="163">
        <v>78369</v>
      </c>
      <c r="G25" s="163">
        <v>78369</v>
      </c>
      <c r="H25" s="163">
        <v>68127</v>
      </c>
      <c r="I25" s="163">
        <v>55552</v>
      </c>
      <c r="J25" s="165">
        <f>IFERROR(I25/H25-1,"-")</f>
        <v>-0.18458173704992142</v>
      </c>
      <c r="K25" s="164">
        <f t="shared" si="14"/>
        <v>-0.45782297654717408</v>
      </c>
      <c r="L25" s="162">
        <f t="shared" si="15"/>
        <v>-12575</v>
      </c>
      <c r="M25" s="163">
        <f t="shared" si="16"/>
        <v>-46909</v>
      </c>
      <c r="N25" s="164">
        <f t="shared" si="13"/>
        <v>1.1461112329505328E-2</v>
      </c>
    </row>
    <row r="26" spans="1:28" x14ac:dyDescent="0.25">
      <c r="A26" s="161" t="s">
        <v>100</v>
      </c>
      <c r="B26" s="162" t="s">
        <v>100</v>
      </c>
      <c r="C26" s="163">
        <v>91044</v>
      </c>
      <c r="D26" s="163">
        <v>100668</v>
      </c>
      <c r="E26" s="163">
        <v>38349</v>
      </c>
      <c r="F26" s="163">
        <v>110729</v>
      </c>
      <c r="G26" s="163">
        <v>110729</v>
      </c>
      <c r="H26" s="163">
        <v>97291</v>
      </c>
      <c r="I26" s="163">
        <v>92941</v>
      </c>
      <c r="J26" s="165">
        <f>IFERROR(I26/H26-1,"-")</f>
        <v>-4.4711227143312327E-2</v>
      </c>
      <c r="K26" s="164">
        <f t="shared" si="14"/>
        <v>-7.6757261493225259E-2</v>
      </c>
      <c r="L26" s="162">
        <f t="shared" si="15"/>
        <v>-4350</v>
      </c>
      <c r="M26" s="163">
        <f t="shared" si="16"/>
        <v>-7727</v>
      </c>
      <c r="N26" s="164">
        <f t="shared" si="13"/>
        <v>1.9174957535580264E-2</v>
      </c>
    </row>
    <row r="27" spans="1:28" x14ac:dyDescent="0.25">
      <c r="A27" s="1"/>
      <c r="B27" s="157" t="s">
        <v>107</v>
      </c>
      <c r="C27" s="158">
        <v>1375831</v>
      </c>
      <c r="D27" s="158">
        <v>1401589</v>
      </c>
      <c r="E27" s="158">
        <v>457573</v>
      </c>
      <c r="F27" s="158">
        <v>1369588</v>
      </c>
      <c r="G27" s="158">
        <v>1369588</v>
      </c>
      <c r="H27" s="158">
        <v>1521062</v>
      </c>
      <c r="I27" s="158">
        <v>1599434</v>
      </c>
      <c r="J27" s="160">
        <f>IFERROR(I27/H27-1,"-")</f>
        <v>5.1524526942360094E-2</v>
      </c>
      <c r="K27" s="159">
        <f t="shared" si="14"/>
        <v>0.141157643217805</v>
      </c>
      <c r="L27" s="157">
        <f t="shared" si="15"/>
        <v>78372</v>
      </c>
      <c r="M27" s="158">
        <f t="shared" si="16"/>
        <v>197845</v>
      </c>
      <c r="N27" s="159">
        <f t="shared" si="13"/>
        <v>0.32998438827819027</v>
      </c>
    </row>
    <row r="28" spans="1:28" s="56" customFormat="1" x14ac:dyDescent="0.25">
      <c r="B28" s="162" t="s">
        <v>110</v>
      </c>
      <c r="C28" s="163">
        <v>662692</v>
      </c>
      <c r="D28" s="163">
        <v>696493</v>
      </c>
      <c r="E28" s="163">
        <v>200687</v>
      </c>
      <c r="F28" s="163">
        <v>695780</v>
      </c>
      <c r="G28" s="163">
        <v>695780</v>
      </c>
      <c r="H28" s="163">
        <v>795063</v>
      </c>
      <c r="I28" s="163">
        <v>841957</v>
      </c>
      <c r="J28" s="165">
        <f t="shared" ref="J28:J35" si="17">IFERROR(I28/H28-1,"-")</f>
        <v>5.8981489517182961E-2</v>
      </c>
      <c r="K28" s="164">
        <f t="shared" si="14"/>
        <v>0.20885206312195526</v>
      </c>
      <c r="L28" s="162">
        <f t="shared" si="15"/>
        <v>46894</v>
      </c>
      <c r="M28" s="163">
        <f t="shared" si="16"/>
        <v>145464</v>
      </c>
      <c r="N28" s="164">
        <f t="shared" si="13"/>
        <v>0.17370686480438721</v>
      </c>
    </row>
    <row r="29" spans="1:28" s="56" customFormat="1" x14ac:dyDescent="0.25">
      <c r="B29" s="162" t="s">
        <v>113</v>
      </c>
      <c r="C29" s="163">
        <v>204735</v>
      </c>
      <c r="D29" s="163">
        <v>188741</v>
      </c>
      <c r="E29" s="163">
        <v>58756</v>
      </c>
      <c r="F29" s="163">
        <v>149604</v>
      </c>
      <c r="G29" s="163">
        <v>149604</v>
      </c>
      <c r="H29" s="163">
        <v>161991</v>
      </c>
      <c r="I29" s="163">
        <v>162623</v>
      </c>
      <c r="J29" s="165">
        <f t="shared" si="17"/>
        <v>3.9014513151964803E-3</v>
      </c>
      <c r="K29" s="164">
        <f t="shared" si="14"/>
        <v>-0.13838010819058921</v>
      </c>
      <c r="L29" s="162">
        <f t="shared" si="15"/>
        <v>632</v>
      </c>
      <c r="M29" s="163">
        <f t="shared" si="16"/>
        <v>-26118</v>
      </c>
      <c r="N29" s="164">
        <f t="shared" si="13"/>
        <v>3.3551275748148493E-2</v>
      </c>
    </row>
    <row r="30" spans="1:28" x14ac:dyDescent="0.25">
      <c r="A30" s="1"/>
      <c r="B30" s="162" t="s">
        <v>116</v>
      </c>
      <c r="C30" s="163">
        <v>45281</v>
      </c>
      <c r="D30" s="163">
        <v>48834</v>
      </c>
      <c r="E30" s="163">
        <v>19382</v>
      </c>
      <c r="F30" s="163">
        <v>55841</v>
      </c>
      <c r="G30" s="163">
        <v>55841</v>
      </c>
      <c r="H30" s="163">
        <v>59248</v>
      </c>
      <c r="I30" s="163">
        <v>55398</v>
      </c>
      <c r="J30" s="165">
        <f t="shared" si="17"/>
        <v>-6.4981096408317618E-2</v>
      </c>
      <c r="K30" s="164">
        <f t="shared" si="14"/>
        <v>0.13441454724167579</v>
      </c>
      <c r="L30" s="162">
        <f t="shared" si="15"/>
        <v>-3850</v>
      </c>
      <c r="M30" s="163">
        <f t="shared" si="16"/>
        <v>6564</v>
      </c>
      <c r="N30" s="164">
        <f t="shared" si="13"/>
        <v>1.1429340092704784E-2</v>
      </c>
    </row>
    <row r="31" spans="1:28" x14ac:dyDescent="0.25">
      <c r="A31" s="1"/>
      <c r="B31" s="162" t="s">
        <v>123</v>
      </c>
      <c r="C31" s="163">
        <v>62640</v>
      </c>
      <c r="D31" s="163">
        <v>58080</v>
      </c>
      <c r="E31" s="163">
        <v>18863</v>
      </c>
      <c r="F31" s="163">
        <v>75459</v>
      </c>
      <c r="G31" s="163">
        <v>75459</v>
      </c>
      <c r="H31" s="163">
        <v>67581</v>
      </c>
      <c r="I31" s="163">
        <v>65766</v>
      </c>
      <c r="J31" s="165">
        <f t="shared" si="17"/>
        <v>-2.6856660895813955E-2</v>
      </c>
      <c r="K31" s="164">
        <f t="shared" si="14"/>
        <v>0.13233471074380154</v>
      </c>
      <c r="L31" s="162">
        <f t="shared" si="15"/>
        <v>-1815</v>
      </c>
      <c r="M31" s="163">
        <f t="shared" si="16"/>
        <v>7686</v>
      </c>
      <c r="N31" s="164">
        <f t="shared" si="13"/>
        <v>1.3568395619640111E-2</v>
      </c>
    </row>
    <row r="32" spans="1:28" x14ac:dyDescent="0.25">
      <c r="A32" s="1"/>
      <c r="B32" s="162" t="s">
        <v>119</v>
      </c>
      <c r="C32" s="163">
        <v>64492</v>
      </c>
      <c r="D32" s="163">
        <v>63720</v>
      </c>
      <c r="E32" s="163">
        <v>28388</v>
      </c>
      <c r="F32" s="163">
        <v>74967</v>
      </c>
      <c r="G32" s="163">
        <v>74967</v>
      </c>
      <c r="H32" s="163">
        <v>69996</v>
      </c>
      <c r="I32" s="163">
        <v>73042</v>
      </c>
      <c r="J32" s="165">
        <f t="shared" si="17"/>
        <v>4.3516772386993585E-2</v>
      </c>
      <c r="K32" s="164">
        <f t="shared" si="14"/>
        <v>0.14629629629629637</v>
      </c>
      <c r="L32" s="162">
        <f t="shared" si="15"/>
        <v>3046</v>
      </c>
      <c r="M32" s="163">
        <f t="shared" si="16"/>
        <v>9322</v>
      </c>
      <c r="N32" s="164">
        <f t="shared" si="13"/>
        <v>1.5069530651852826E-2</v>
      </c>
    </row>
    <row r="33" spans="1:14" x14ac:dyDescent="0.25">
      <c r="A33" s="1"/>
      <c r="B33" s="162" t="s">
        <v>128</v>
      </c>
      <c r="C33" s="163">
        <v>23368</v>
      </c>
      <c r="D33" s="163">
        <v>27317</v>
      </c>
      <c r="E33" s="163">
        <v>14172</v>
      </c>
      <c r="F33" s="163">
        <v>17870</v>
      </c>
      <c r="G33" s="163">
        <v>17870</v>
      </c>
      <c r="H33" s="163">
        <v>20459</v>
      </c>
      <c r="I33" s="163">
        <v>20390</v>
      </c>
      <c r="J33" s="165">
        <f t="shared" si="17"/>
        <v>-3.3725988562490761E-3</v>
      </c>
      <c r="K33" s="164">
        <f t="shared" si="14"/>
        <v>-0.2535783577991727</v>
      </c>
      <c r="L33" s="162">
        <f t="shared" si="15"/>
        <v>-69</v>
      </c>
      <c r="M33" s="163">
        <f t="shared" si="16"/>
        <v>-6927</v>
      </c>
      <c r="N33" s="164">
        <f t="shared" si="13"/>
        <v>4.2067266776824172E-3</v>
      </c>
    </row>
    <row r="34" spans="1:14" x14ac:dyDescent="0.25">
      <c r="A34" s="161" t="s">
        <v>144</v>
      </c>
      <c r="B34" s="162" t="s">
        <v>131</v>
      </c>
      <c r="C34" s="163">
        <v>28820</v>
      </c>
      <c r="D34" s="163">
        <v>25915</v>
      </c>
      <c r="E34" s="163">
        <v>16095</v>
      </c>
      <c r="F34" s="163">
        <v>11287</v>
      </c>
      <c r="G34" s="163">
        <v>11287</v>
      </c>
      <c r="H34" s="163">
        <v>18231</v>
      </c>
      <c r="I34" s="163">
        <v>18052</v>
      </c>
      <c r="J34" s="165">
        <f t="shared" si="17"/>
        <v>-9.8184411167790975E-3</v>
      </c>
      <c r="K34" s="164">
        <f t="shared" si="14"/>
        <v>-0.30341501061161491</v>
      </c>
      <c r="L34" s="162">
        <f t="shared" si="15"/>
        <v>-179</v>
      </c>
      <c r="M34" s="163">
        <f t="shared" si="16"/>
        <v>-7863</v>
      </c>
      <c r="N34" s="164">
        <f t="shared" si="13"/>
        <v>3.7243663553468858E-3</v>
      </c>
    </row>
    <row r="35" spans="1:14" x14ac:dyDescent="0.25">
      <c r="A35" s="167" t="s">
        <v>145</v>
      </c>
      <c r="B35" s="168" t="s">
        <v>145</v>
      </c>
      <c r="C35" s="169">
        <f t="shared" ref="C35:I35" si="18">C27-SUM(C28:C34)</f>
        <v>283803</v>
      </c>
      <c r="D35" s="169">
        <f t="shared" si="18"/>
        <v>292489</v>
      </c>
      <c r="E35" s="169">
        <f t="shared" si="18"/>
        <v>101230</v>
      </c>
      <c r="F35" s="169">
        <f t="shared" ref="F35" si="19">F27-SUM(F28:F34)</f>
        <v>288780</v>
      </c>
      <c r="G35" s="169">
        <f t="shared" si="18"/>
        <v>288780</v>
      </c>
      <c r="H35" s="169">
        <f t="shared" si="18"/>
        <v>328493</v>
      </c>
      <c r="I35" s="169">
        <f t="shared" si="18"/>
        <v>362206</v>
      </c>
      <c r="J35" s="171">
        <f t="shared" si="17"/>
        <v>0.10262927977156289</v>
      </c>
      <c r="K35" s="170">
        <f t="shared" si="14"/>
        <v>0.23835768182735073</v>
      </c>
      <c r="L35" s="168">
        <f>I35-H35</f>
        <v>33713</v>
      </c>
      <c r="M35" s="169">
        <f t="shared" si="16"/>
        <v>69717</v>
      </c>
      <c r="N35" s="170">
        <f t="shared" si="13"/>
        <v>7.4727888328427555E-2</v>
      </c>
    </row>
    <row r="36" spans="1:14" x14ac:dyDescent="0.25">
      <c r="A36" s="1"/>
      <c r="B36" s="153" t="s">
        <v>45</v>
      </c>
      <c r="C36" s="151"/>
      <c r="D36" s="151"/>
      <c r="E36" s="151"/>
      <c r="F36" s="151"/>
      <c r="G36" s="151"/>
      <c r="H36" s="151"/>
      <c r="I36" s="152"/>
      <c r="J36" s="152"/>
      <c r="K36" s="152"/>
      <c r="L36" s="152"/>
      <c r="M36" s="151"/>
      <c r="N36" s="151"/>
    </row>
    <row r="37" spans="1:14" x14ac:dyDescent="0.25">
      <c r="A37" s="1"/>
      <c r="B37" s="154" t="s">
        <v>68</v>
      </c>
      <c r="C37" s="176">
        <v>1200232</v>
      </c>
      <c r="D37" s="176">
        <v>1188723</v>
      </c>
      <c r="E37" s="176">
        <v>382043</v>
      </c>
      <c r="F37" s="176">
        <v>1092077</v>
      </c>
      <c r="G37" s="176">
        <v>1092077</v>
      </c>
      <c r="H37" s="176">
        <v>1177799</v>
      </c>
      <c r="I37" s="176">
        <v>1245078</v>
      </c>
      <c r="J37" s="177">
        <f>IFERROR(I37/H37-1,"-")</f>
        <v>5.7122649959797878E-2</v>
      </c>
      <c r="K37" s="177">
        <f>IFERROR(I37/D37-1,"-")</f>
        <v>4.7408016838237366E-2</v>
      </c>
      <c r="L37" s="176">
        <f>I37-H37</f>
        <v>67279</v>
      </c>
      <c r="M37" s="176">
        <f>I37-D37</f>
        <v>56355</v>
      </c>
      <c r="N37" s="177">
        <f t="shared" ref="N37:N49" si="20">I37/I$9</f>
        <v>0.25687605877368658</v>
      </c>
    </row>
    <row r="38" spans="1:14" x14ac:dyDescent="0.25">
      <c r="A38" s="1" t="s">
        <v>96</v>
      </c>
      <c r="B38" s="157" t="s">
        <v>97</v>
      </c>
      <c r="C38" s="158">
        <v>120104</v>
      </c>
      <c r="D38" s="158">
        <v>111701</v>
      </c>
      <c r="E38" s="158">
        <v>39466</v>
      </c>
      <c r="F38" s="158">
        <v>108654</v>
      </c>
      <c r="G38" s="158">
        <v>108654</v>
      </c>
      <c r="H38" s="158">
        <v>105007</v>
      </c>
      <c r="I38" s="158">
        <v>102258</v>
      </c>
      <c r="J38" s="160">
        <f>IFERROR(I38/H38-1,"-")</f>
        <v>-2.6179207100479052E-2</v>
      </c>
      <c r="K38" s="159">
        <f t="shared" ref="K38:K49" si="21">IFERROR(I38/D38-1,"-")</f>
        <v>-8.4538186766456858E-2</v>
      </c>
      <c r="L38" s="157">
        <f t="shared" ref="L38:L48" si="22">I38-H38</f>
        <v>-2749</v>
      </c>
      <c r="M38" s="158">
        <f t="shared" ref="M38:M49" si="23">I38-D38</f>
        <v>-9443</v>
      </c>
      <c r="N38" s="159">
        <f t="shared" si="20"/>
        <v>2.1097177862013174E-2</v>
      </c>
    </row>
    <row r="39" spans="1:14" x14ac:dyDescent="0.25">
      <c r="A39" s="161" t="s">
        <v>103</v>
      </c>
      <c r="B39" s="162" t="s">
        <v>103</v>
      </c>
      <c r="C39" s="163">
        <v>38835</v>
      </c>
      <c r="D39" s="163">
        <v>44390</v>
      </c>
      <c r="E39" s="163">
        <v>17920</v>
      </c>
      <c r="F39" s="163">
        <v>43342</v>
      </c>
      <c r="G39" s="163">
        <v>43342</v>
      </c>
      <c r="H39" s="163">
        <v>45406</v>
      </c>
      <c r="I39" s="163">
        <v>46459</v>
      </c>
      <c r="J39" s="165">
        <f>IFERROR(I39/H39-1,"-")</f>
        <v>2.3190767739946327E-2</v>
      </c>
      <c r="K39" s="164">
        <f t="shared" si="21"/>
        <v>4.660959675602605E-2</v>
      </c>
      <c r="L39" s="162">
        <f t="shared" si="22"/>
        <v>1053</v>
      </c>
      <c r="M39" s="163">
        <f t="shared" si="23"/>
        <v>2069</v>
      </c>
      <c r="N39" s="164">
        <f t="shared" si="20"/>
        <v>9.5851061656913889E-3</v>
      </c>
    </row>
    <row r="40" spans="1:14" x14ac:dyDescent="0.25">
      <c r="A40" s="161" t="s">
        <v>100</v>
      </c>
      <c r="B40" s="162" t="s">
        <v>100</v>
      </c>
      <c r="C40" s="163">
        <v>81269</v>
      </c>
      <c r="D40" s="163">
        <v>67311</v>
      </c>
      <c r="E40" s="163">
        <v>21546</v>
      </c>
      <c r="F40" s="163">
        <v>65312</v>
      </c>
      <c r="G40" s="163">
        <v>65312</v>
      </c>
      <c r="H40" s="163">
        <v>59601</v>
      </c>
      <c r="I40" s="163">
        <v>55799</v>
      </c>
      <c r="J40" s="165">
        <f>IFERROR(I40/H40-1,"-")</f>
        <v>-6.3790875992013607E-2</v>
      </c>
      <c r="K40" s="164">
        <f t="shared" si="21"/>
        <v>-0.1710270238148297</v>
      </c>
      <c r="L40" s="162">
        <f t="shared" si="22"/>
        <v>-3802</v>
      </c>
      <c r="M40" s="163">
        <f t="shared" si="23"/>
        <v>-11512</v>
      </c>
      <c r="N40" s="164">
        <f t="shared" si="20"/>
        <v>1.1512071696321785E-2</v>
      </c>
    </row>
    <row r="41" spans="1:14" x14ac:dyDescent="0.25">
      <c r="A41" s="1"/>
      <c r="B41" s="157" t="s">
        <v>107</v>
      </c>
      <c r="C41" s="158">
        <v>1080128</v>
      </c>
      <c r="D41" s="158">
        <v>1077022</v>
      </c>
      <c r="E41" s="158">
        <v>342577</v>
      </c>
      <c r="F41" s="158">
        <v>983423</v>
      </c>
      <c r="G41" s="158">
        <v>983423</v>
      </c>
      <c r="H41" s="158">
        <v>1072792</v>
      </c>
      <c r="I41" s="158">
        <v>1142820</v>
      </c>
      <c r="J41" s="160">
        <f>IFERROR(I41/H41-1,"-")</f>
        <v>6.5276400271441215E-2</v>
      </c>
      <c r="K41" s="159">
        <f t="shared" si="21"/>
        <v>6.1092531071788692E-2</v>
      </c>
      <c r="L41" s="157">
        <f t="shared" si="22"/>
        <v>70028</v>
      </c>
      <c r="M41" s="158">
        <f t="shared" si="23"/>
        <v>65798</v>
      </c>
      <c r="N41" s="159">
        <f t="shared" si="20"/>
        <v>0.2357788809116734</v>
      </c>
    </row>
    <row r="42" spans="1:14" s="56" customFormat="1" x14ac:dyDescent="0.25">
      <c r="B42" s="162" t="s">
        <v>110</v>
      </c>
      <c r="C42" s="163">
        <v>568133</v>
      </c>
      <c r="D42" s="163">
        <v>605142</v>
      </c>
      <c r="E42" s="163">
        <v>153858</v>
      </c>
      <c r="F42" s="163">
        <v>514059</v>
      </c>
      <c r="G42" s="163">
        <v>514059</v>
      </c>
      <c r="H42" s="163">
        <v>574197</v>
      </c>
      <c r="I42" s="163">
        <v>622655</v>
      </c>
      <c r="J42" s="165">
        <f t="shared" ref="J42:J49" si="24">IFERROR(I42/H42-1,"-")</f>
        <v>8.4392638763351346E-2</v>
      </c>
      <c r="K42" s="164">
        <f t="shared" si="21"/>
        <v>2.8940314835195657E-2</v>
      </c>
      <c r="L42" s="162">
        <f t="shared" si="22"/>
        <v>48458</v>
      </c>
      <c r="M42" s="163">
        <f t="shared" si="23"/>
        <v>17513</v>
      </c>
      <c r="N42" s="164">
        <f t="shared" si="20"/>
        <v>0.12846196172105667</v>
      </c>
    </row>
    <row r="43" spans="1:14" s="56" customFormat="1" x14ac:dyDescent="0.25">
      <c r="B43" s="162" t="s">
        <v>113</v>
      </c>
      <c r="C43" s="163">
        <v>67273</v>
      </c>
      <c r="D43" s="163">
        <v>48943</v>
      </c>
      <c r="E43" s="163">
        <v>16868</v>
      </c>
      <c r="F43" s="163">
        <v>32483</v>
      </c>
      <c r="G43" s="163">
        <v>32483</v>
      </c>
      <c r="H43" s="163">
        <v>38538</v>
      </c>
      <c r="I43" s="163">
        <v>37501</v>
      </c>
      <c r="J43" s="165">
        <f t="shared" si="24"/>
        <v>-2.6908505890290146E-2</v>
      </c>
      <c r="K43" s="164">
        <f t="shared" si="21"/>
        <v>-0.23378215475144559</v>
      </c>
      <c r="L43" s="162">
        <f t="shared" si="22"/>
        <v>-1037</v>
      </c>
      <c r="M43" s="163">
        <f t="shared" si="23"/>
        <v>-11442</v>
      </c>
      <c r="N43" s="164">
        <f t="shared" si="20"/>
        <v>7.736952287384421E-3</v>
      </c>
    </row>
    <row r="44" spans="1:14" x14ac:dyDescent="0.25">
      <c r="A44" s="1"/>
      <c r="B44" s="162" t="s">
        <v>116</v>
      </c>
      <c r="C44" s="163">
        <v>22300</v>
      </c>
      <c r="D44" s="163">
        <v>22209</v>
      </c>
      <c r="E44" s="163">
        <v>8537</v>
      </c>
      <c r="F44" s="163">
        <v>23461</v>
      </c>
      <c r="G44" s="163">
        <v>23461</v>
      </c>
      <c r="H44" s="163">
        <v>26431</v>
      </c>
      <c r="I44" s="163">
        <v>27080</v>
      </c>
      <c r="J44" s="165">
        <f t="shared" si="24"/>
        <v>2.4554500397260703E-2</v>
      </c>
      <c r="K44" s="164">
        <f t="shared" si="21"/>
        <v>0.2193254986717097</v>
      </c>
      <c r="L44" s="162">
        <f t="shared" si="22"/>
        <v>649</v>
      </c>
      <c r="M44" s="163">
        <f t="shared" si="23"/>
        <v>4871</v>
      </c>
      <c r="N44" s="164">
        <f t="shared" si="20"/>
        <v>5.5869621594722835E-3</v>
      </c>
    </row>
    <row r="45" spans="1:14" x14ac:dyDescent="0.25">
      <c r="A45" s="1"/>
      <c r="B45" s="162" t="s">
        <v>123</v>
      </c>
      <c r="C45" s="163">
        <v>53930</v>
      </c>
      <c r="D45" s="163">
        <v>52093</v>
      </c>
      <c r="E45" s="163">
        <v>15231</v>
      </c>
      <c r="F45" s="163">
        <v>56761</v>
      </c>
      <c r="G45" s="163">
        <v>56761</v>
      </c>
      <c r="H45" s="163">
        <v>53124</v>
      </c>
      <c r="I45" s="163">
        <v>54019</v>
      </c>
      <c r="J45" s="165">
        <f t="shared" si="24"/>
        <v>1.6847375950606036E-2</v>
      </c>
      <c r="K45" s="164">
        <f t="shared" si="21"/>
        <v>3.6972337934079391E-2</v>
      </c>
      <c r="L45" s="162">
        <f t="shared" si="22"/>
        <v>895</v>
      </c>
      <c r="M45" s="163">
        <f t="shared" si="23"/>
        <v>1926</v>
      </c>
      <c r="N45" s="164">
        <f t="shared" si="20"/>
        <v>1.1144834154081731E-2</v>
      </c>
    </row>
    <row r="46" spans="1:14" x14ac:dyDescent="0.25">
      <c r="A46" s="1"/>
      <c r="B46" s="162" t="s">
        <v>119</v>
      </c>
      <c r="C46" s="163">
        <v>38765</v>
      </c>
      <c r="D46" s="163">
        <v>36621</v>
      </c>
      <c r="E46" s="163">
        <v>16055</v>
      </c>
      <c r="F46" s="163">
        <v>33710</v>
      </c>
      <c r="G46" s="163">
        <v>33710</v>
      </c>
      <c r="H46" s="163">
        <v>39211</v>
      </c>
      <c r="I46" s="163">
        <v>41026</v>
      </c>
      <c r="J46" s="165">
        <f t="shared" si="24"/>
        <v>4.6288031419754683E-2</v>
      </c>
      <c r="K46" s="164">
        <f t="shared" si="21"/>
        <v>0.1202861745992736</v>
      </c>
      <c r="L46" s="162">
        <f t="shared" si="22"/>
        <v>1815</v>
      </c>
      <c r="M46" s="163">
        <f t="shared" si="23"/>
        <v>4405</v>
      </c>
      <c r="N46" s="164">
        <f t="shared" si="20"/>
        <v>8.4642064089553142E-3</v>
      </c>
    </row>
    <row r="47" spans="1:14" x14ac:dyDescent="0.25">
      <c r="A47" s="1"/>
      <c r="B47" s="162" t="s">
        <v>128</v>
      </c>
      <c r="C47" s="163">
        <v>22473</v>
      </c>
      <c r="D47" s="163">
        <v>23435</v>
      </c>
      <c r="E47" s="163">
        <v>12205</v>
      </c>
      <c r="F47" s="163">
        <v>17977</v>
      </c>
      <c r="G47" s="163">
        <v>17977</v>
      </c>
      <c r="H47" s="163">
        <v>19532</v>
      </c>
      <c r="I47" s="163">
        <v>18549</v>
      </c>
      <c r="J47" s="165">
        <f t="shared" si="24"/>
        <v>-5.032766741757122E-2</v>
      </c>
      <c r="K47" s="164">
        <f t="shared" si="21"/>
        <v>-0.20849157243439298</v>
      </c>
      <c r="L47" s="162">
        <f t="shared" si="22"/>
        <v>-983</v>
      </c>
      <c r="M47" s="163">
        <f t="shared" si="23"/>
        <v>-4886</v>
      </c>
      <c r="N47" s="164">
        <f t="shared" si="20"/>
        <v>3.8269040286577323E-3</v>
      </c>
    </row>
    <row r="48" spans="1:14" x14ac:dyDescent="0.25">
      <c r="A48" s="161" t="s">
        <v>144</v>
      </c>
      <c r="B48" s="162" t="s">
        <v>131</v>
      </c>
      <c r="C48" s="163">
        <v>37575</v>
      </c>
      <c r="D48" s="163">
        <v>33102</v>
      </c>
      <c r="E48" s="163">
        <v>20242</v>
      </c>
      <c r="F48" s="163">
        <v>15210</v>
      </c>
      <c r="G48" s="163">
        <v>15210</v>
      </c>
      <c r="H48" s="163">
        <v>19214</v>
      </c>
      <c r="I48" s="163">
        <v>20101</v>
      </c>
      <c r="J48" s="165">
        <f t="shared" si="24"/>
        <v>4.6164255230561002E-2</v>
      </c>
      <c r="K48" s="164">
        <f t="shared" si="21"/>
        <v>-0.39275572472962361</v>
      </c>
      <c r="L48" s="162">
        <f t="shared" si="22"/>
        <v>887</v>
      </c>
      <c r="M48" s="163">
        <f t="shared" si="23"/>
        <v>-13001</v>
      </c>
      <c r="N48" s="164">
        <f t="shared" si="20"/>
        <v>4.1471021553749028E-3</v>
      </c>
    </row>
    <row r="49" spans="1:14" x14ac:dyDescent="0.25">
      <c r="A49" s="167" t="s">
        <v>145</v>
      </c>
      <c r="B49" s="168" t="s">
        <v>145</v>
      </c>
      <c r="C49" s="169">
        <f t="shared" ref="C49:I49" si="25">C41-SUM(C42:C48)</f>
        <v>269679</v>
      </c>
      <c r="D49" s="169">
        <f t="shared" si="25"/>
        <v>255477</v>
      </c>
      <c r="E49" s="169">
        <f t="shared" si="25"/>
        <v>99581</v>
      </c>
      <c r="F49" s="169">
        <f t="shared" ref="F49" si="26">F41-SUM(F42:F48)</f>
        <v>289762</v>
      </c>
      <c r="G49" s="169">
        <f t="shared" si="25"/>
        <v>289762</v>
      </c>
      <c r="H49" s="169">
        <f t="shared" si="25"/>
        <v>302545</v>
      </c>
      <c r="I49" s="169">
        <f t="shared" si="25"/>
        <v>321889</v>
      </c>
      <c r="J49" s="171">
        <f t="shared" si="24"/>
        <v>6.3937596060090307E-2</v>
      </c>
      <c r="K49" s="170">
        <f t="shared" si="21"/>
        <v>0.25995295075486258</v>
      </c>
      <c r="L49" s="168">
        <f>I49-H49</f>
        <v>19344</v>
      </c>
      <c r="M49" s="169">
        <f t="shared" si="23"/>
        <v>66412</v>
      </c>
      <c r="N49" s="170">
        <f t="shared" si="20"/>
        <v>6.6409957996690319E-2</v>
      </c>
    </row>
    <row r="50" spans="1:14" x14ac:dyDescent="0.25">
      <c r="A50" s="1"/>
      <c r="B50" s="153" t="s">
        <v>46</v>
      </c>
      <c r="C50" s="151"/>
      <c r="D50" s="151"/>
      <c r="E50" s="151"/>
      <c r="F50" s="151"/>
      <c r="G50" s="151"/>
      <c r="H50" s="151"/>
      <c r="I50" s="152"/>
      <c r="J50" s="152"/>
      <c r="K50" s="152"/>
      <c r="L50" s="152"/>
      <c r="M50" s="151"/>
      <c r="N50" s="151"/>
    </row>
    <row r="51" spans="1:14" x14ac:dyDescent="0.25">
      <c r="A51" s="1"/>
      <c r="B51" s="154" t="s">
        <v>68</v>
      </c>
      <c r="C51" s="176">
        <v>39103</v>
      </c>
      <c r="D51" s="176">
        <v>37865</v>
      </c>
      <c r="E51" s="176">
        <v>13314</v>
      </c>
      <c r="F51" s="176">
        <v>28629</v>
      </c>
      <c r="G51" s="176">
        <v>28629</v>
      </c>
      <c r="H51" s="176">
        <v>39892</v>
      </c>
      <c r="I51" s="176">
        <v>35375</v>
      </c>
      <c r="J51" s="177">
        <f>IFERROR(I51/H51-1,"-")</f>
        <v>-0.11323072295197034</v>
      </c>
      <c r="K51" s="177">
        <f>IFERROR(I51/D51-1,"-")</f>
        <v>-6.5759936616928583E-2</v>
      </c>
      <c r="L51" s="176">
        <f>I51-H51</f>
        <v>-4517</v>
      </c>
      <c r="M51" s="176">
        <f>I51-D51</f>
        <v>-2490</v>
      </c>
      <c r="N51" s="177">
        <f t="shared" ref="N51:N63" si="27">I51/I$9</f>
        <v>7.2983303689561317E-3</v>
      </c>
    </row>
    <row r="52" spans="1:14" x14ac:dyDescent="0.25">
      <c r="A52" s="1" t="s">
        <v>96</v>
      </c>
      <c r="B52" s="157" t="s">
        <v>97</v>
      </c>
      <c r="C52" s="158">
        <v>9713</v>
      </c>
      <c r="D52" s="158">
        <v>8966</v>
      </c>
      <c r="E52" s="158">
        <v>2278</v>
      </c>
      <c r="F52" s="158">
        <v>4513</v>
      </c>
      <c r="G52" s="158">
        <v>4513</v>
      </c>
      <c r="H52" s="158">
        <v>16849</v>
      </c>
      <c r="I52" s="158">
        <v>9052</v>
      </c>
      <c r="J52" s="160">
        <f>IFERROR(I52/H52-1,"-")</f>
        <v>-0.46275743367558908</v>
      </c>
      <c r="K52" s="159">
        <f t="shared" ref="K52:K63" si="28">IFERROR(I52/D52-1,"-")</f>
        <v>9.5917912112424286E-3</v>
      </c>
      <c r="L52" s="157">
        <f t="shared" ref="L52:L62" si="29">I52-H52</f>
        <v>-7797</v>
      </c>
      <c r="M52" s="158">
        <f t="shared" ref="M52:M63" si="30">I52-D52</f>
        <v>86</v>
      </c>
      <c r="N52" s="159">
        <f t="shared" si="27"/>
        <v>1.8675473215488594E-3</v>
      </c>
    </row>
    <row r="53" spans="1:14" x14ac:dyDescent="0.25">
      <c r="A53" s="161" t="s">
        <v>103</v>
      </c>
      <c r="B53" s="162" t="s">
        <v>103</v>
      </c>
      <c r="C53" s="163">
        <v>6164</v>
      </c>
      <c r="D53" s="163">
        <v>5174</v>
      </c>
      <c r="E53" s="163">
        <v>1633</v>
      </c>
      <c r="F53" s="163">
        <v>2216</v>
      </c>
      <c r="G53" s="163">
        <v>2216</v>
      </c>
      <c r="H53" s="163">
        <v>12509</v>
      </c>
      <c r="I53" s="163">
        <v>6046</v>
      </c>
      <c r="J53" s="165">
        <f>IFERROR(I53/H53-1,"-")</f>
        <v>-0.51666799904069072</v>
      </c>
      <c r="K53" s="164">
        <f t="shared" si="28"/>
        <v>0.16853498260533439</v>
      </c>
      <c r="L53" s="162">
        <f t="shared" si="29"/>
        <v>-6463</v>
      </c>
      <c r="M53" s="163">
        <f t="shared" si="30"/>
        <v>872</v>
      </c>
      <c r="N53" s="164">
        <f t="shared" si="27"/>
        <v>1.2473697642603186E-3</v>
      </c>
    </row>
    <row r="54" spans="1:14" x14ac:dyDescent="0.25">
      <c r="A54" s="161" t="s">
        <v>100</v>
      </c>
      <c r="B54" s="162" t="s">
        <v>100</v>
      </c>
      <c r="C54" s="163">
        <v>3549</v>
      </c>
      <c r="D54" s="163">
        <v>3792</v>
      </c>
      <c r="E54" s="163">
        <v>645</v>
      </c>
      <c r="F54" s="163">
        <v>2297</v>
      </c>
      <c r="G54" s="163">
        <v>2297</v>
      </c>
      <c r="H54" s="163">
        <v>4340</v>
      </c>
      <c r="I54" s="163">
        <v>3006</v>
      </c>
      <c r="J54" s="165">
        <f>IFERROR(I54/H54-1,"-")</f>
        <v>-0.30737327188940089</v>
      </c>
      <c r="K54" s="164">
        <f t="shared" si="28"/>
        <v>-0.20727848101265822</v>
      </c>
      <c r="L54" s="162">
        <f t="shared" si="29"/>
        <v>-1334</v>
      </c>
      <c r="M54" s="163">
        <f t="shared" si="30"/>
        <v>-786</v>
      </c>
      <c r="N54" s="164">
        <f t="shared" si="27"/>
        <v>6.201775572885408E-4</v>
      </c>
    </row>
    <row r="55" spans="1:14" x14ac:dyDescent="0.25">
      <c r="A55" s="1"/>
      <c r="B55" s="157" t="s">
        <v>107</v>
      </c>
      <c r="C55" s="158">
        <v>29390</v>
      </c>
      <c r="D55" s="158">
        <v>28899</v>
      </c>
      <c r="E55" s="158">
        <v>11036</v>
      </c>
      <c r="F55" s="158">
        <v>24116</v>
      </c>
      <c r="G55" s="158">
        <v>24116</v>
      </c>
      <c r="H55" s="158">
        <v>23043</v>
      </c>
      <c r="I55" s="158">
        <v>26323</v>
      </c>
      <c r="J55" s="160">
        <f>IFERROR(I55/H55-1,"-")</f>
        <v>0.14234257692140773</v>
      </c>
      <c r="K55" s="159">
        <f t="shared" si="28"/>
        <v>-8.9138032457870553E-2</v>
      </c>
      <c r="L55" s="157">
        <f t="shared" si="29"/>
        <v>3280</v>
      </c>
      <c r="M55" s="158">
        <f t="shared" si="30"/>
        <v>-2576</v>
      </c>
      <c r="N55" s="159">
        <f t="shared" si="27"/>
        <v>5.4307830474072723E-3</v>
      </c>
    </row>
    <row r="56" spans="1:14" s="56" customFormat="1" x14ac:dyDescent="0.25">
      <c r="B56" s="162" t="s">
        <v>110</v>
      </c>
      <c r="C56" s="163">
        <v>8634</v>
      </c>
      <c r="D56" s="163">
        <v>9134</v>
      </c>
      <c r="E56" s="163">
        <v>3687</v>
      </c>
      <c r="F56" s="163">
        <v>8924</v>
      </c>
      <c r="G56" s="163">
        <v>8924</v>
      </c>
      <c r="H56" s="163">
        <v>7779</v>
      </c>
      <c r="I56" s="163">
        <v>9591</v>
      </c>
      <c r="J56" s="165">
        <f t="shared" ref="J56:J63" si="31">IFERROR(I56/H56-1,"-")</f>
        <v>0.23293482452757419</v>
      </c>
      <c r="K56" s="164">
        <f t="shared" si="28"/>
        <v>5.0032844317932978E-2</v>
      </c>
      <c r="L56" s="162">
        <f t="shared" si="29"/>
        <v>1812</v>
      </c>
      <c r="M56" s="163">
        <f t="shared" si="30"/>
        <v>457</v>
      </c>
      <c r="N56" s="164">
        <f t="shared" si="27"/>
        <v>1.9787501503507636E-3</v>
      </c>
    </row>
    <row r="57" spans="1:14" s="56" customFormat="1" x14ac:dyDescent="0.25">
      <c r="B57" s="162" t="s">
        <v>113</v>
      </c>
      <c r="C57" s="163">
        <v>9797</v>
      </c>
      <c r="D57" s="163">
        <v>7776</v>
      </c>
      <c r="E57" s="163">
        <v>2846</v>
      </c>
      <c r="F57" s="163">
        <v>5361</v>
      </c>
      <c r="G57" s="163">
        <v>5361</v>
      </c>
      <c r="H57" s="163">
        <v>4085</v>
      </c>
      <c r="I57" s="163">
        <v>5197</v>
      </c>
      <c r="J57" s="165">
        <f t="shared" si="31"/>
        <v>0.27221542227662177</v>
      </c>
      <c r="K57" s="164">
        <f t="shared" si="28"/>
        <v>-0.33166152263374482</v>
      </c>
      <c r="L57" s="162">
        <f t="shared" si="29"/>
        <v>1112</v>
      </c>
      <c r="M57" s="163">
        <f t="shared" si="30"/>
        <v>-2579</v>
      </c>
      <c r="N57" s="164">
        <f t="shared" si="27"/>
        <v>1.0722098354053714E-3</v>
      </c>
    </row>
    <row r="58" spans="1:14" x14ac:dyDescent="0.25">
      <c r="A58" s="1"/>
      <c r="B58" s="162" t="s">
        <v>116</v>
      </c>
      <c r="C58" s="163">
        <v>1724</v>
      </c>
      <c r="D58" s="163">
        <v>1942</v>
      </c>
      <c r="E58" s="163">
        <v>528</v>
      </c>
      <c r="F58" s="163">
        <v>1901</v>
      </c>
      <c r="G58" s="163">
        <v>1901</v>
      </c>
      <c r="H58" s="163">
        <v>2208</v>
      </c>
      <c r="I58" s="163">
        <v>1788</v>
      </c>
      <c r="J58" s="165">
        <f t="shared" si="31"/>
        <v>-0.19021739130434778</v>
      </c>
      <c r="K58" s="164">
        <f t="shared" si="28"/>
        <v>-7.9299691040164766E-2</v>
      </c>
      <c r="L58" s="162">
        <f t="shared" si="29"/>
        <v>-420</v>
      </c>
      <c r="M58" s="163">
        <f t="shared" si="30"/>
        <v>-154</v>
      </c>
      <c r="N58" s="164">
        <f t="shared" si="27"/>
        <v>3.6888804804787459E-4</v>
      </c>
    </row>
    <row r="59" spans="1:14" x14ac:dyDescent="0.25">
      <c r="A59" s="1"/>
      <c r="B59" s="162" t="s">
        <v>123</v>
      </c>
      <c r="C59" s="163">
        <v>520</v>
      </c>
      <c r="D59" s="163">
        <v>686</v>
      </c>
      <c r="E59" s="163">
        <v>258</v>
      </c>
      <c r="F59" s="163">
        <v>649</v>
      </c>
      <c r="G59" s="163">
        <v>649</v>
      </c>
      <c r="H59" s="163">
        <v>489</v>
      </c>
      <c r="I59" s="163">
        <v>873</v>
      </c>
      <c r="J59" s="165">
        <f t="shared" si="31"/>
        <v>0.78527607361963181</v>
      </c>
      <c r="K59" s="164">
        <f t="shared" si="28"/>
        <v>0.27259475218658902</v>
      </c>
      <c r="L59" s="162">
        <f t="shared" si="29"/>
        <v>384</v>
      </c>
      <c r="M59" s="163">
        <f t="shared" si="30"/>
        <v>187</v>
      </c>
      <c r="N59" s="164">
        <f t="shared" si="27"/>
        <v>1.8011144627840857E-4</v>
      </c>
    </row>
    <row r="60" spans="1:14" x14ac:dyDescent="0.25">
      <c r="A60" s="1"/>
      <c r="B60" s="162" t="s">
        <v>119</v>
      </c>
      <c r="C60" s="163">
        <v>554</v>
      </c>
      <c r="D60" s="163">
        <v>668</v>
      </c>
      <c r="E60" s="163">
        <v>239</v>
      </c>
      <c r="F60" s="163">
        <v>583</v>
      </c>
      <c r="G60" s="163">
        <v>583</v>
      </c>
      <c r="H60" s="163">
        <v>511</v>
      </c>
      <c r="I60" s="163">
        <v>569</v>
      </c>
      <c r="J60" s="165">
        <f t="shared" si="31"/>
        <v>0.11350293542074374</v>
      </c>
      <c r="K60" s="164">
        <f t="shared" si="28"/>
        <v>-0.14820359281437123</v>
      </c>
      <c r="L60" s="162">
        <f t="shared" si="29"/>
        <v>58</v>
      </c>
      <c r="M60" s="163">
        <f t="shared" si="30"/>
        <v>-99</v>
      </c>
      <c r="N60" s="164">
        <f t="shared" si="27"/>
        <v>1.1739222558123078E-4</v>
      </c>
    </row>
    <row r="61" spans="1:14" x14ac:dyDescent="0.25">
      <c r="A61" s="1"/>
      <c r="B61" s="162" t="s">
        <v>128</v>
      </c>
      <c r="C61" s="163">
        <v>279</v>
      </c>
      <c r="D61" s="163">
        <v>203</v>
      </c>
      <c r="E61" s="163">
        <v>147</v>
      </c>
      <c r="F61" s="163">
        <v>76</v>
      </c>
      <c r="G61" s="163">
        <v>76</v>
      </c>
      <c r="H61" s="163">
        <v>182</v>
      </c>
      <c r="I61" s="163">
        <v>111</v>
      </c>
      <c r="J61" s="165">
        <f t="shared" si="31"/>
        <v>-0.39010989010989006</v>
      </c>
      <c r="K61" s="164">
        <f t="shared" si="28"/>
        <v>-0.45320197044334976</v>
      </c>
      <c r="L61" s="162">
        <f t="shared" si="29"/>
        <v>-71</v>
      </c>
      <c r="M61" s="163">
        <f t="shared" si="30"/>
        <v>-92</v>
      </c>
      <c r="N61" s="164">
        <f t="shared" si="27"/>
        <v>2.290076808350899E-5</v>
      </c>
    </row>
    <row r="62" spans="1:14" x14ac:dyDescent="0.25">
      <c r="A62" s="161" t="s">
        <v>144</v>
      </c>
      <c r="B62" s="162" t="s">
        <v>131</v>
      </c>
      <c r="C62" s="163">
        <v>332</v>
      </c>
      <c r="D62" s="163">
        <v>347</v>
      </c>
      <c r="E62" s="163">
        <v>253</v>
      </c>
      <c r="F62" s="163">
        <v>103</v>
      </c>
      <c r="G62" s="163">
        <v>103</v>
      </c>
      <c r="H62" s="163">
        <v>161</v>
      </c>
      <c r="I62" s="163">
        <v>107</v>
      </c>
      <c r="J62" s="165">
        <f t="shared" si="31"/>
        <v>-0.3354037267080745</v>
      </c>
      <c r="K62" s="164">
        <f t="shared" si="28"/>
        <v>-0.69164265129682989</v>
      </c>
      <c r="L62" s="162">
        <f t="shared" si="29"/>
        <v>-54</v>
      </c>
      <c r="M62" s="163">
        <f t="shared" si="30"/>
        <v>-240</v>
      </c>
      <c r="N62" s="164">
        <f t="shared" si="27"/>
        <v>2.2075515179598757E-5</v>
      </c>
    </row>
    <row r="63" spans="1:14" x14ac:dyDescent="0.25">
      <c r="A63" s="167" t="s">
        <v>145</v>
      </c>
      <c r="B63" s="168" t="s">
        <v>145</v>
      </c>
      <c r="C63" s="169">
        <f t="shared" ref="C63:I63" si="32">C55-SUM(C56:C62)</f>
        <v>7550</v>
      </c>
      <c r="D63" s="169">
        <f t="shared" si="32"/>
        <v>8143</v>
      </c>
      <c r="E63" s="169">
        <f t="shared" si="32"/>
        <v>3078</v>
      </c>
      <c r="F63" s="169">
        <f t="shared" ref="F63" si="33">F55-SUM(F56:F62)</f>
        <v>6519</v>
      </c>
      <c r="G63" s="169">
        <f t="shared" si="32"/>
        <v>6519</v>
      </c>
      <c r="H63" s="169">
        <f t="shared" si="32"/>
        <v>7628</v>
      </c>
      <c r="I63" s="169">
        <f t="shared" si="32"/>
        <v>8087</v>
      </c>
      <c r="J63" s="171">
        <f t="shared" si="31"/>
        <v>6.0173046670162655E-2</v>
      </c>
      <c r="K63" s="170">
        <f t="shared" si="28"/>
        <v>-6.8770723320643601E-3</v>
      </c>
      <c r="L63" s="168">
        <f>I63-H63</f>
        <v>459</v>
      </c>
      <c r="M63" s="169">
        <f t="shared" si="30"/>
        <v>-56</v>
      </c>
      <c r="N63" s="170">
        <f t="shared" si="27"/>
        <v>1.6684550584805155E-3</v>
      </c>
    </row>
    <row r="64" spans="1:14" x14ac:dyDescent="0.25">
      <c r="A64" s="1"/>
      <c r="B64" s="153" t="s">
        <v>47</v>
      </c>
      <c r="C64" s="151"/>
      <c r="D64" s="151"/>
      <c r="E64" s="151"/>
      <c r="F64" s="151"/>
      <c r="G64" s="151"/>
      <c r="H64" s="151"/>
      <c r="I64" s="152"/>
      <c r="J64" s="152"/>
      <c r="K64" s="152"/>
      <c r="L64" s="152"/>
      <c r="M64" s="151"/>
      <c r="N64" s="151"/>
    </row>
    <row r="65" spans="1:14" x14ac:dyDescent="0.25">
      <c r="A65" s="1"/>
      <c r="B65" s="154" t="s">
        <v>68</v>
      </c>
      <c r="C65" s="176">
        <v>123139</v>
      </c>
      <c r="D65" s="176">
        <v>120888</v>
      </c>
      <c r="E65" s="176">
        <v>43485</v>
      </c>
      <c r="F65" s="176">
        <v>138765</v>
      </c>
      <c r="G65" s="176">
        <v>138765</v>
      </c>
      <c r="H65" s="176">
        <v>159652</v>
      </c>
      <c r="I65" s="176">
        <v>203839</v>
      </c>
      <c r="J65" s="177">
        <f>IFERROR(I65/H65-1,"-")</f>
        <v>0.27677072632976718</v>
      </c>
      <c r="K65" s="177">
        <f>IFERROR(I65/D65-1,"-")</f>
        <v>0.68618059691615385</v>
      </c>
      <c r="L65" s="176">
        <f>I65-H65</f>
        <v>44187</v>
      </c>
      <c r="M65" s="176">
        <f>I65-D65</f>
        <v>82951</v>
      </c>
      <c r="N65" s="177">
        <f t="shared" ref="N65:N77" si="34">I65/I$9</f>
        <v>4.2054681670039541E-2</v>
      </c>
    </row>
    <row r="66" spans="1:14" x14ac:dyDescent="0.25">
      <c r="A66" s="1" t="s">
        <v>96</v>
      </c>
      <c r="B66" s="157" t="s">
        <v>97</v>
      </c>
      <c r="C66" s="158">
        <v>31963</v>
      </c>
      <c r="D66" s="158">
        <v>37171</v>
      </c>
      <c r="E66" s="158">
        <v>18691</v>
      </c>
      <c r="F66" s="158">
        <v>31895</v>
      </c>
      <c r="G66" s="158">
        <v>31895</v>
      </c>
      <c r="H66" s="158">
        <v>43184</v>
      </c>
      <c r="I66" s="158">
        <v>54270</v>
      </c>
      <c r="J66" s="160">
        <f>IFERROR(I66/H66-1,"-")</f>
        <v>0.25671545016672837</v>
      </c>
      <c r="K66" s="159">
        <f t="shared" ref="K66:K77" si="35">IFERROR(I66/D66-1,"-")</f>
        <v>0.46000914691560624</v>
      </c>
      <c r="L66" s="157">
        <f t="shared" ref="L66:L76" si="36">I66-H66</f>
        <v>11086</v>
      </c>
      <c r="M66" s="158">
        <f t="shared" ref="M66:M77" si="37">I66-D66</f>
        <v>17099</v>
      </c>
      <c r="N66" s="159">
        <f t="shared" si="34"/>
        <v>1.1196618773802099E-2</v>
      </c>
    </row>
    <row r="67" spans="1:14" x14ac:dyDescent="0.25">
      <c r="A67" s="161" t="s">
        <v>103</v>
      </c>
      <c r="B67" s="162" t="s">
        <v>103</v>
      </c>
      <c r="C67" s="163">
        <v>17869</v>
      </c>
      <c r="D67" s="163">
        <v>19872</v>
      </c>
      <c r="E67" s="163">
        <v>6598</v>
      </c>
      <c r="F67" s="163">
        <v>24228</v>
      </c>
      <c r="G67" s="163">
        <v>24228</v>
      </c>
      <c r="H67" s="163">
        <v>30399</v>
      </c>
      <c r="I67" s="163">
        <v>32812</v>
      </c>
      <c r="J67" s="165">
        <f>IFERROR(I67/H67-1,"-")</f>
        <v>7.9377611105628576E-2</v>
      </c>
      <c r="K67" s="164">
        <f t="shared" si="35"/>
        <v>0.65116747181964563</v>
      </c>
      <c r="L67" s="162">
        <f t="shared" si="36"/>
        <v>2413</v>
      </c>
      <c r="M67" s="163">
        <f t="shared" si="37"/>
        <v>12940</v>
      </c>
      <c r="N67" s="164">
        <f t="shared" si="34"/>
        <v>6.7695495707756487E-3</v>
      </c>
    </row>
    <row r="68" spans="1:14" x14ac:dyDescent="0.25">
      <c r="A68" s="161" t="s">
        <v>100</v>
      </c>
      <c r="B68" s="162" t="s">
        <v>100</v>
      </c>
      <c r="C68" s="163">
        <v>14094</v>
      </c>
      <c r="D68" s="163">
        <v>17299</v>
      </c>
      <c r="E68" s="163">
        <v>12093</v>
      </c>
      <c r="F68" s="163">
        <v>7667</v>
      </c>
      <c r="G68" s="163">
        <v>7667</v>
      </c>
      <c r="H68" s="163">
        <v>12785</v>
      </c>
      <c r="I68" s="163">
        <v>21458</v>
      </c>
      <c r="J68" s="165">
        <f>IFERROR(I68/H68-1,"-")</f>
        <v>0.67837309346890895</v>
      </c>
      <c r="K68" s="164">
        <f t="shared" si="35"/>
        <v>0.2404185213018093</v>
      </c>
      <c r="L68" s="162">
        <f t="shared" si="36"/>
        <v>8673</v>
      </c>
      <c r="M68" s="163">
        <f t="shared" si="37"/>
        <v>4159</v>
      </c>
      <c r="N68" s="164">
        <f t="shared" si="34"/>
        <v>4.4270692030264503E-3</v>
      </c>
    </row>
    <row r="69" spans="1:14" x14ac:dyDescent="0.25">
      <c r="A69" s="1"/>
      <c r="B69" s="157" t="s">
        <v>107</v>
      </c>
      <c r="C69" s="158">
        <v>91176</v>
      </c>
      <c r="D69" s="158">
        <v>83717</v>
      </c>
      <c r="E69" s="158">
        <v>24794</v>
      </c>
      <c r="F69" s="158">
        <v>106870</v>
      </c>
      <c r="G69" s="158">
        <v>106870</v>
      </c>
      <c r="H69" s="158">
        <v>116468</v>
      </c>
      <c r="I69" s="158">
        <v>149569</v>
      </c>
      <c r="J69" s="160">
        <f>IFERROR(I69/H69-1,"-")</f>
        <v>0.28420682075763293</v>
      </c>
      <c r="K69" s="159">
        <f t="shared" si="35"/>
        <v>0.78660248217207984</v>
      </c>
      <c r="L69" s="157">
        <f t="shared" si="36"/>
        <v>33101</v>
      </c>
      <c r="M69" s="158">
        <f t="shared" si="37"/>
        <v>65852</v>
      </c>
      <c r="N69" s="159">
        <f t="shared" si="34"/>
        <v>3.0858062896237444E-2</v>
      </c>
    </row>
    <row r="70" spans="1:14" s="56" customFormat="1" x14ac:dyDescent="0.25">
      <c r="B70" s="162" t="s">
        <v>110</v>
      </c>
      <c r="C70" s="163">
        <v>41976</v>
      </c>
      <c r="D70" s="163">
        <v>36607</v>
      </c>
      <c r="E70" s="163">
        <v>9459</v>
      </c>
      <c r="F70" s="163">
        <v>51047</v>
      </c>
      <c r="G70" s="163">
        <v>51047</v>
      </c>
      <c r="H70" s="163">
        <v>43634</v>
      </c>
      <c r="I70" s="163">
        <v>65010</v>
      </c>
      <c r="J70" s="165">
        <f t="shared" ref="J70:J77" si="38">IFERROR(I70/H70-1,"-")</f>
        <v>0.48989320254847146</v>
      </c>
      <c r="K70" s="164">
        <f t="shared" si="35"/>
        <v>0.77588985713114988</v>
      </c>
      <c r="L70" s="162">
        <f t="shared" si="36"/>
        <v>21376</v>
      </c>
      <c r="M70" s="163">
        <f t="shared" si="37"/>
        <v>28403</v>
      </c>
      <c r="N70" s="164">
        <f t="shared" si="34"/>
        <v>1.3412422820801077E-2</v>
      </c>
    </row>
    <row r="71" spans="1:14" s="56" customFormat="1" x14ac:dyDescent="0.25">
      <c r="B71" s="162" t="s">
        <v>113</v>
      </c>
      <c r="C71" s="163">
        <v>11957</v>
      </c>
      <c r="D71" s="163">
        <v>10194</v>
      </c>
      <c r="E71" s="163">
        <v>3155</v>
      </c>
      <c r="F71" s="163">
        <v>7183</v>
      </c>
      <c r="G71" s="163">
        <v>7183</v>
      </c>
      <c r="H71" s="163">
        <v>8579</v>
      </c>
      <c r="I71" s="163">
        <v>8544</v>
      </c>
      <c r="J71" s="165">
        <f t="shared" si="38"/>
        <v>-4.0797295722112548E-3</v>
      </c>
      <c r="K71" s="164">
        <f t="shared" si="35"/>
        <v>-0.16185991759858742</v>
      </c>
      <c r="L71" s="162">
        <f t="shared" si="36"/>
        <v>-35</v>
      </c>
      <c r="M71" s="163">
        <f t="shared" si="37"/>
        <v>-1650</v>
      </c>
      <c r="N71" s="164">
        <f t="shared" si="34"/>
        <v>1.7627402027522597E-3</v>
      </c>
    </row>
    <row r="72" spans="1:14" x14ac:dyDescent="0.25">
      <c r="A72" s="1"/>
      <c r="B72" s="162" t="s">
        <v>116</v>
      </c>
      <c r="C72" s="163">
        <v>5883</v>
      </c>
      <c r="D72" s="163">
        <v>9314</v>
      </c>
      <c r="E72" s="163">
        <v>3087</v>
      </c>
      <c r="F72" s="163">
        <v>13414</v>
      </c>
      <c r="G72" s="163">
        <v>13414</v>
      </c>
      <c r="H72" s="163">
        <v>12962</v>
      </c>
      <c r="I72" s="163">
        <v>16959</v>
      </c>
      <c r="J72" s="165">
        <f t="shared" si="38"/>
        <v>0.30836290695880275</v>
      </c>
      <c r="K72" s="164">
        <f t="shared" si="35"/>
        <v>0.82080738672965436</v>
      </c>
      <c r="L72" s="162">
        <f t="shared" si="36"/>
        <v>3997</v>
      </c>
      <c r="M72" s="163">
        <f t="shared" si="37"/>
        <v>7645</v>
      </c>
      <c r="N72" s="164">
        <f t="shared" si="34"/>
        <v>3.4988659993534146E-3</v>
      </c>
    </row>
    <row r="73" spans="1:14" x14ac:dyDescent="0.25">
      <c r="A73" s="1"/>
      <c r="B73" s="162" t="s">
        <v>123</v>
      </c>
      <c r="C73" s="163">
        <v>1998</v>
      </c>
      <c r="D73" s="163">
        <v>1607</v>
      </c>
      <c r="E73" s="163">
        <v>294</v>
      </c>
      <c r="F73" s="163">
        <v>2967</v>
      </c>
      <c r="G73" s="163">
        <v>2967</v>
      </c>
      <c r="H73" s="163">
        <v>3590</v>
      </c>
      <c r="I73" s="163">
        <v>5602</v>
      </c>
      <c r="J73" s="165">
        <f t="shared" si="38"/>
        <v>0.56044568245125359</v>
      </c>
      <c r="K73" s="164">
        <f t="shared" si="35"/>
        <v>2.4859987554449283</v>
      </c>
      <c r="L73" s="162">
        <f t="shared" si="36"/>
        <v>2012</v>
      </c>
      <c r="M73" s="163">
        <f t="shared" si="37"/>
        <v>3995</v>
      </c>
      <c r="N73" s="164">
        <f t="shared" si="34"/>
        <v>1.1557666919262827E-3</v>
      </c>
    </row>
    <row r="74" spans="1:14" x14ac:dyDescent="0.25">
      <c r="A74" s="1"/>
      <c r="B74" s="162" t="s">
        <v>119</v>
      </c>
      <c r="C74" s="163">
        <v>2478</v>
      </c>
      <c r="D74" s="163">
        <v>1869</v>
      </c>
      <c r="E74" s="163">
        <v>900</v>
      </c>
      <c r="F74" s="163">
        <v>3041</v>
      </c>
      <c r="G74" s="163">
        <v>3041</v>
      </c>
      <c r="H74" s="163">
        <v>2518</v>
      </c>
      <c r="I74" s="163">
        <v>3677</v>
      </c>
      <c r="J74" s="165">
        <f t="shared" si="38"/>
        <v>0.460285941223193</v>
      </c>
      <c r="K74" s="164">
        <f t="shared" si="35"/>
        <v>0.96736222578919207</v>
      </c>
      <c r="L74" s="162">
        <f t="shared" si="36"/>
        <v>1159</v>
      </c>
      <c r="M74" s="163">
        <f t="shared" si="37"/>
        <v>1808</v>
      </c>
      <c r="N74" s="164">
        <f t="shared" si="34"/>
        <v>7.5861373191948259E-4</v>
      </c>
    </row>
    <row r="75" spans="1:14" x14ac:dyDescent="0.25">
      <c r="A75" s="1"/>
      <c r="B75" s="162" t="s">
        <v>128</v>
      </c>
      <c r="C75" s="163">
        <v>1094</v>
      </c>
      <c r="D75" s="163">
        <v>1437</v>
      </c>
      <c r="E75" s="163">
        <v>833</v>
      </c>
      <c r="F75" s="163">
        <v>1467</v>
      </c>
      <c r="G75" s="163">
        <v>1467</v>
      </c>
      <c r="H75" s="163">
        <v>3950</v>
      </c>
      <c r="I75" s="163">
        <v>2868</v>
      </c>
      <c r="J75" s="165">
        <f t="shared" si="38"/>
        <v>-0.27392405063291136</v>
      </c>
      <c r="K75" s="164">
        <f t="shared" si="35"/>
        <v>0.99582463465553239</v>
      </c>
      <c r="L75" s="162">
        <f t="shared" si="36"/>
        <v>-1082</v>
      </c>
      <c r="M75" s="163">
        <f t="shared" si="37"/>
        <v>1431</v>
      </c>
      <c r="N75" s="164">
        <f t="shared" si="34"/>
        <v>5.9170633210363778E-4</v>
      </c>
    </row>
    <row r="76" spans="1:14" x14ac:dyDescent="0.25">
      <c r="A76" s="161" t="s">
        <v>144</v>
      </c>
      <c r="B76" s="162" t="s">
        <v>131</v>
      </c>
      <c r="C76" s="163">
        <v>2083</v>
      </c>
      <c r="D76" s="163">
        <v>1580</v>
      </c>
      <c r="E76" s="163">
        <v>970</v>
      </c>
      <c r="F76" s="163">
        <v>509</v>
      </c>
      <c r="G76" s="163">
        <v>509</v>
      </c>
      <c r="H76" s="163">
        <v>1105</v>
      </c>
      <c r="I76" s="163">
        <v>2118</v>
      </c>
      <c r="J76" s="165">
        <f t="shared" si="38"/>
        <v>0.91674208144796387</v>
      </c>
      <c r="K76" s="164">
        <f t="shared" si="35"/>
        <v>0.34050632911392409</v>
      </c>
      <c r="L76" s="162">
        <f t="shared" si="36"/>
        <v>1013</v>
      </c>
      <c r="M76" s="163">
        <f t="shared" si="37"/>
        <v>538</v>
      </c>
      <c r="N76" s="164">
        <f t="shared" si="34"/>
        <v>4.3697141262046885E-4</v>
      </c>
    </row>
    <row r="77" spans="1:14" x14ac:dyDescent="0.25">
      <c r="A77" s="167" t="s">
        <v>145</v>
      </c>
      <c r="B77" s="168" t="s">
        <v>145</v>
      </c>
      <c r="C77" s="169">
        <f t="shared" ref="C77:I77" si="39">C69-SUM(C70:C76)</f>
        <v>23707</v>
      </c>
      <c r="D77" s="169">
        <f t="shared" si="39"/>
        <v>21109</v>
      </c>
      <c r="E77" s="169">
        <f t="shared" si="39"/>
        <v>6096</v>
      </c>
      <c r="F77" s="169">
        <f t="shared" ref="F77" si="40">F69-SUM(F70:F76)</f>
        <v>27242</v>
      </c>
      <c r="G77" s="169">
        <f t="shared" si="39"/>
        <v>27242</v>
      </c>
      <c r="H77" s="169">
        <f t="shared" si="39"/>
        <v>40130</v>
      </c>
      <c r="I77" s="169">
        <f t="shared" si="39"/>
        <v>44791</v>
      </c>
      <c r="J77" s="171">
        <f t="shared" si="38"/>
        <v>0.11614752055818589</v>
      </c>
      <c r="K77" s="170">
        <f t="shared" si="35"/>
        <v>1.1218911364820694</v>
      </c>
      <c r="L77" s="168">
        <f>I77-H77</f>
        <v>4661</v>
      </c>
      <c r="M77" s="169">
        <f t="shared" si="37"/>
        <v>23682</v>
      </c>
      <c r="N77" s="170">
        <f t="shared" si="34"/>
        <v>9.2409757047608228E-3</v>
      </c>
    </row>
    <row r="78" spans="1:14" x14ac:dyDescent="0.25">
      <c r="A78" s="1"/>
      <c r="B78" s="153" t="s">
        <v>48</v>
      </c>
      <c r="C78" s="151"/>
      <c r="D78" s="151"/>
      <c r="E78" s="151"/>
      <c r="F78" s="151"/>
      <c r="G78" s="151"/>
      <c r="H78" s="151"/>
      <c r="I78" s="152"/>
      <c r="J78" s="152"/>
      <c r="K78" s="152"/>
      <c r="L78" s="152"/>
      <c r="M78" s="151"/>
      <c r="N78" s="151"/>
    </row>
    <row r="79" spans="1:14" x14ac:dyDescent="0.25">
      <c r="A79" s="1"/>
      <c r="B79" s="154" t="s">
        <v>68</v>
      </c>
      <c r="C79" s="176">
        <v>742696</v>
      </c>
      <c r="D79" s="176">
        <v>708591</v>
      </c>
      <c r="E79" s="176">
        <v>226604</v>
      </c>
      <c r="F79" s="176">
        <v>604155</v>
      </c>
      <c r="G79" s="176">
        <v>604155</v>
      </c>
      <c r="H79" s="176">
        <v>699601</v>
      </c>
      <c r="I79" s="176">
        <v>804878</v>
      </c>
      <c r="J79" s="177">
        <f>IFERROR(I79/H79-1,"-")</f>
        <v>0.1504814887342929</v>
      </c>
      <c r="K79" s="177">
        <f>IFERROR(I79/D79-1,"-")</f>
        <v>0.13588515801075651</v>
      </c>
      <c r="L79" s="176">
        <f>I79-H79</f>
        <v>105277</v>
      </c>
      <c r="M79" s="176">
        <f>I79-D79</f>
        <v>96287</v>
      </c>
      <c r="N79" s="177">
        <f t="shared" ref="N79:N91" si="41">I79/I$9</f>
        <v>0.16605697669836531</v>
      </c>
    </row>
    <row r="80" spans="1:14" x14ac:dyDescent="0.25">
      <c r="A80" s="1" t="s">
        <v>96</v>
      </c>
      <c r="B80" s="157" t="s">
        <v>97</v>
      </c>
      <c r="C80" s="158">
        <v>327420</v>
      </c>
      <c r="D80" s="158">
        <v>317076</v>
      </c>
      <c r="E80" s="158">
        <v>86191</v>
      </c>
      <c r="F80" s="158">
        <v>297509</v>
      </c>
      <c r="G80" s="158">
        <v>297509</v>
      </c>
      <c r="H80" s="158">
        <v>311175</v>
      </c>
      <c r="I80" s="158">
        <v>335415</v>
      </c>
      <c r="J80" s="160">
        <f>IFERROR(I80/H80-1,"-")</f>
        <v>7.7898288744275623E-2</v>
      </c>
      <c r="K80" s="159">
        <f t="shared" ref="K80:K91" si="42">IFERROR(I80/D80-1,"-")</f>
        <v>5.7837868523634706E-2</v>
      </c>
      <c r="L80" s="157">
        <f t="shared" ref="L80:L90" si="43">I80-H80</f>
        <v>24240</v>
      </c>
      <c r="M80" s="158">
        <f t="shared" ref="M80:M91" si="44">I80-D80</f>
        <v>18339</v>
      </c>
      <c r="N80" s="159">
        <f t="shared" si="41"/>
        <v>6.9200550691262783E-2</v>
      </c>
    </row>
    <row r="81" spans="1:14" x14ac:dyDescent="0.25">
      <c r="A81" s="161" t="s">
        <v>103</v>
      </c>
      <c r="B81" s="162" t="s">
        <v>103</v>
      </c>
      <c r="C81" s="163">
        <v>79041</v>
      </c>
      <c r="D81" s="163">
        <v>59152</v>
      </c>
      <c r="E81" s="163">
        <v>17366</v>
      </c>
      <c r="F81" s="163">
        <v>79015</v>
      </c>
      <c r="G81" s="163">
        <v>79015</v>
      </c>
      <c r="H81" s="163">
        <v>81010</v>
      </c>
      <c r="I81" s="163">
        <v>90770</v>
      </c>
      <c r="J81" s="165">
        <f>IFERROR(I81/H81-1,"-")</f>
        <v>0.1204789532156525</v>
      </c>
      <c r="K81" s="164">
        <f t="shared" si="42"/>
        <v>0.5345212334325129</v>
      </c>
      <c r="L81" s="162">
        <f t="shared" si="43"/>
        <v>9760</v>
      </c>
      <c r="M81" s="163">
        <f t="shared" si="44"/>
        <v>31618</v>
      </c>
      <c r="N81" s="164">
        <f t="shared" si="41"/>
        <v>1.8727051521982983E-2</v>
      </c>
    </row>
    <row r="82" spans="1:14" x14ac:dyDescent="0.25">
      <c r="A82" s="161" t="s">
        <v>100</v>
      </c>
      <c r="B82" s="162" t="s">
        <v>100</v>
      </c>
      <c r="C82" s="163">
        <v>248379</v>
      </c>
      <c r="D82" s="163">
        <v>257924</v>
      </c>
      <c r="E82" s="163">
        <v>68825</v>
      </c>
      <c r="F82" s="163">
        <v>218494</v>
      </c>
      <c r="G82" s="163">
        <v>218494</v>
      </c>
      <c r="H82" s="163">
        <v>230165</v>
      </c>
      <c r="I82" s="163">
        <v>244645</v>
      </c>
      <c r="J82" s="165">
        <f>IFERROR(I82/H82-1,"-")</f>
        <v>6.2911389655247341E-2</v>
      </c>
      <c r="K82" s="164">
        <f t="shared" si="42"/>
        <v>-5.1484158124098567E-2</v>
      </c>
      <c r="L82" s="162">
        <f t="shared" si="43"/>
        <v>14480</v>
      </c>
      <c r="M82" s="163">
        <f t="shared" si="44"/>
        <v>-13279</v>
      </c>
      <c r="N82" s="164">
        <f t="shared" si="41"/>
        <v>5.0473499169279797E-2</v>
      </c>
    </row>
    <row r="83" spans="1:14" x14ac:dyDescent="0.25">
      <c r="A83" s="1"/>
      <c r="B83" s="157" t="s">
        <v>107</v>
      </c>
      <c r="C83" s="158">
        <v>415276</v>
      </c>
      <c r="D83" s="158">
        <v>391515</v>
      </c>
      <c r="E83" s="158">
        <v>140413</v>
      </c>
      <c r="F83" s="158">
        <v>306646</v>
      </c>
      <c r="G83" s="158">
        <v>306646</v>
      </c>
      <c r="H83" s="158">
        <v>388426</v>
      </c>
      <c r="I83" s="158">
        <v>469463</v>
      </c>
      <c r="J83" s="160">
        <f>IFERROR(I83/H83-1,"-")</f>
        <v>0.20862918548191933</v>
      </c>
      <c r="K83" s="159">
        <f t="shared" si="42"/>
        <v>0.19909326590296672</v>
      </c>
      <c r="L83" s="157">
        <f t="shared" si="43"/>
        <v>81037</v>
      </c>
      <c r="M83" s="158">
        <f t="shared" si="44"/>
        <v>77948</v>
      </c>
      <c r="N83" s="159">
        <f t="shared" si="41"/>
        <v>9.6856426007102536E-2</v>
      </c>
    </row>
    <row r="84" spans="1:14" s="56" customFormat="1" x14ac:dyDescent="0.25">
      <c r="B84" s="162" t="s">
        <v>110</v>
      </c>
      <c r="C84" s="163">
        <v>59793</v>
      </c>
      <c r="D84" s="163">
        <v>66844</v>
      </c>
      <c r="E84" s="163">
        <v>22902</v>
      </c>
      <c r="F84" s="163">
        <v>60499</v>
      </c>
      <c r="G84" s="163">
        <v>60499</v>
      </c>
      <c r="H84" s="163">
        <v>80527</v>
      </c>
      <c r="I84" s="163">
        <v>98327</v>
      </c>
      <c r="J84" s="165">
        <f t="shared" ref="J84:J91" si="45">IFERROR(I84/H84-1,"-")</f>
        <v>0.22104387348342791</v>
      </c>
      <c r="K84" s="164">
        <f t="shared" si="42"/>
        <v>0.47099216085213325</v>
      </c>
      <c r="L84" s="162">
        <f t="shared" si="43"/>
        <v>17800</v>
      </c>
      <c r="M84" s="163">
        <f t="shared" si="44"/>
        <v>31483</v>
      </c>
      <c r="N84" s="164">
        <f t="shared" si="41"/>
        <v>2.0286160570695395E-2</v>
      </c>
    </row>
    <row r="85" spans="1:14" s="56" customFormat="1" x14ac:dyDescent="0.25">
      <c r="B85" s="162" t="s">
        <v>113</v>
      </c>
      <c r="C85" s="163">
        <v>181213</v>
      </c>
      <c r="D85" s="163">
        <v>151446</v>
      </c>
      <c r="E85" s="163">
        <v>50127</v>
      </c>
      <c r="F85" s="163">
        <v>96964</v>
      </c>
      <c r="G85" s="163">
        <v>96964</v>
      </c>
      <c r="H85" s="163">
        <v>112053</v>
      </c>
      <c r="I85" s="163">
        <v>127397</v>
      </c>
      <c r="J85" s="165">
        <f t="shared" si="45"/>
        <v>0.13693520030699768</v>
      </c>
      <c r="K85" s="164">
        <f t="shared" si="42"/>
        <v>-0.15879587443709309</v>
      </c>
      <c r="L85" s="162">
        <f t="shared" si="43"/>
        <v>15344</v>
      </c>
      <c r="M85" s="163">
        <f t="shared" si="44"/>
        <v>-24049</v>
      </c>
      <c r="N85" s="164">
        <f t="shared" si="41"/>
        <v>2.6283686049863017E-2</v>
      </c>
    </row>
    <row r="86" spans="1:14" x14ac:dyDescent="0.25">
      <c r="A86" s="1"/>
      <c r="B86" s="162" t="s">
        <v>116</v>
      </c>
      <c r="C86" s="163">
        <v>21512</v>
      </c>
      <c r="D86" s="163">
        <v>22436</v>
      </c>
      <c r="E86" s="163">
        <v>7727</v>
      </c>
      <c r="F86" s="163">
        <v>25848</v>
      </c>
      <c r="G86" s="163">
        <v>25848</v>
      </c>
      <c r="H86" s="163">
        <v>35482</v>
      </c>
      <c r="I86" s="163">
        <v>52069</v>
      </c>
      <c r="J86" s="165">
        <f t="shared" si="45"/>
        <v>0.4674764669409841</v>
      </c>
      <c r="K86" s="164">
        <f t="shared" si="42"/>
        <v>1.3207791050098057</v>
      </c>
      <c r="L86" s="162">
        <f t="shared" si="43"/>
        <v>16587</v>
      </c>
      <c r="M86" s="163">
        <f t="shared" si="44"/>
        <v>29633</v>
      </c>
      <c r="N86" s="164">
        <f t="shared" si="41"/>
        <v>1.0742523363425493E-2</v>
      </c>
    </row>
    <row r="87" spans="1:14" x14ac:dyDescent="0.25">
      <c r="A87" s="1"/>
      <c r="B87" s="162" t="s">
        <v>123</v>
      </c>
      <c r="C87" s="163">
        <v>11713</v>
      </c>
      <c r="D87" s="163">
        <v>9070</v>
      </c>
      <c r="E87" s="163">
        <v>2183</v>
      </c>
      <c r="F87" s="163">
        <v>9458</v>
      </c>
      <c r="G87" s="163">
        <v>9458</v>
      </c>
      <c r="H87" s="163">
        <v>10607</v>
      </c>
      <c r="I87" s="163">
        <v>16176</v>
      </c>
      <c r="J87" s="165">
        <f t="shared" si="45"/>
        <v>0.52503064014330159</v>
      </c>
      <c r="K87" s="164">
        <f t="shared" si="42"/>
        <v>0.78346196251378175</v>
      </c>
      <c r="L87" s="162">
        <f t="shared" si="43"/>
        <v>5569</v>
      </c>
      <c r="M87" s="163">
        <f t="shared" si="44"/>
        <v>7106</v>
      </c>
      <c r="N87" s="164">
        <f t="shared" si="41"/>
        <v>3.3373227434129859E-3</v>
      </c>
    </row>
    <row r="88" spans="1:14" x14ac:dyDescent="0.25">
      <c r="A88" s="1"/>
      <c r="B88" s="162" t="s">
        <v>119</v>
      </c>
      <c r="C88" s="163">
        <v>6391</v>
      </c>
      <c r="D88" s="163">
        <v>6144</v>
      </c>
      <c r="E88" s="163">
        <v>2091</v>
      </c>
      <c r="F88" s="163">
        <v>4903</v>
      </c>
      <c r="G88" s="163">
        <v>4903</v>
      </c>
      <c r="H88" s="163">
        <v>5833</v>
      </c>
      <c r="I88" s="163">
        <v>7727</v>
      </c>
      <c r="J88" s="165">
        <f t="shared" si="45"/>
        <v>0.32470426881536096</v>
      </c>
      <c r="K88" s="164">
        <f t="shared" si="42"/>
        <v>0.25764973958333326</v>
      </c>
      <c r="L88" s="162">
        <f t="shared" si="43"/>
        <v>1894</v>
      </c>
      <c r="M88" s="163">
        <f t="shared" si="44"/>
        <v>1583</v>
      </c>
      <c r="N88" s="164">
        <f t="shared" si="41"/>
        <v>1.5941822971285945E-3</v>
      </c>
    </row>
    <row r="89" spans="1:14" x14ac:dyDescent="0.25">
      <c r="A89" s="1"/>
      <c r="B89" s="162" t="s">
        <v>128</v>
      </c>
      <c r="C89" s="163">
        <v>5956</v>
      </c>
      <c r="D89" s="163">
        <v>7267</v>
      </c>
      <c r="E89" s="163">
        <v>4124</v>
      </c>
      <c r="F89" s="163">
        <v>5186</v>
      </c>
      <c r="G89" s="163">
        <v>5186</v>
      </c>
      <c r="H89" s="163">
        <v>7187</v>
      </c>
      <c r="I89" s="163">
        <v>6508</v>
      </c>
      <c r="J89" s="165">
        <f t="shared" si="45"/>
        <v>-9.4476137470432708E-2</v>
      </c>
      <c r="K89" s="164">
        <f t="shared" si="42"/>
        <v>-0.10444475024081468</v>
      </c>
      <c r="L89" s="162">
        <f t="shared" si="43"/>
        <v>-679</v>
      </c>
      <c r="M89" s="163">
        <f t="shared" si="44"/>
        <v>-759</v>
      </c>
      <c r="N89" s="164">
        <f t="shared" si="41"/>
        <v>1.3426864746619506E-3</v>
      </c>
    </row>
    <row r="90" spans="1:14" x14ac:dyDescent="0.25">
      <c r="A90" s="161" t="s">
        <v>144</v>
      </c>
      <c r="B90" s="162" t="s">
        <v>131</v>
      </c>
      <c r="C90" s="163">
        <v>11261</v>
      </c>
      <c r="D90" s="163">
        <v>9587</v>
      </c>
      <c r="E90" s="163">
        <v>6595</v>
      </c>
      <c r="F90" s="163">
        <v>4552</v>
      </c>
      <c r="G90" s="163">
        <v>4552</v>
      </c>
      <c r="H90" s="163">
        <v>7433</v>
      </c>
      <c r="I90" s="163">
        <v>8077</v>
      </c>
      <c r="J90" s="165">
        <f t="shared" si="45"/>
        <v>8.6640656531683069E-2</v>
      </c>
      <c r="K90" s="164">
        <f t="shared" si="42"/>
        <v>-0.15750495462605607</v>
      </c>
      <c r="L90" s="162">
        <f t="shared" si="43"/>
        <v>644</v>
      </c>
      <c r="M90" s="163">
        <f t="shared" si="44"/>
        <v>-1510</v>
      </c>
      <c r="N90" s="164">
        <f t="shared" si="41"/>
        <v>1.6663919262207398E-3</v>
      </c>
    </row>
    <row r="91" spans="1:14" x14ac:dyDescent="0.25">
      <c r="A91" s="167" t="s">
        <v>145</v>
      </c>
      <c r="B91" s="168" t="s">
        <v>145</v>
      </c>
      <c r="C91" s="169">
        <f t="shared" ref="C91:I91" si="46">C83-SUM(C84:C90)</f>
        <v>117437</v>
      </c>
      <c r="D91" s="169">
        <f t="shared" si="46"/>
        <v>118721</v>
      </c>
      <c r="E91" s="169">
        <f t="shared" si="46"/>
        <v>44664</v>
      </c>
      <c r="F91" s="169">
        <f t="shared" ref="F91" si="47">F83-SUM(F84:F90)</f>
        <v>99236</v>
      </c>
      <c r="G91" s="169">
        <f t="shared" si="46"/>
        <v>99236</v>
      </c>
      <c r="H91" s="169">
        <f t="shared" si="46"/>
        <v>129304</v>
      </c>
      <c r="I91" s="169">
        <f t="shared" si="46"/>
        <v>153182</v>
      </c>
      <c r="J91" s="171">
        <f t="shared" si="45"/>
        <v>0.18466559425849161</v>
      </c>
      <c r="K91" s="170">
        <f t="shared" si="42"/>
        <v>0.29026878142872792</v>
      </c>
      <c r="L91" s="168">
        <f>I91-H91</f>
        <v>23878</v>
      </c>
      <c r="M91" s="169">
        <f t="shared" si="44"/>
        <v>34461</v>
      </c>
      <c r="N91" s="170">
        <f t="shared" si="41"/>
        <v>3.1603472581694367E-2</v>
      </c>
    </row>
    <row r="92" spans="1:14" x14ac:dyDescent="0.25">
      <c r="A92" s="1"/>
      <c r="B92" s="153" t="s">
        <v>49</v>
      </c>
      <c r="C92" s="151"/>
      <c r="D92" s="151"/>
      <c r="E92" s="151"/>
      <c r="F92" s="151"/>
      <c r="G92" s="151"/>
      <c r="H92" s="151"/>
      <c r="I92" s="152"/>
      <c r="J92" s="152"/>
      <c r="K92" s="152"/>
      <c r="L92" s="152"/>
      <c r="M92" s="151"/>
      <c r="N92" s="151"/>
    </row>
    <row r="93" spans="1:14" x14ac:dyDescent="0.25">
      <c r="A93" s="1"/>
      <c r="B93" s="154" t="s">
        <v>68</v>
      </c>
      <c r="C93" s="176">
        <v>40573</v>
      </c>
      <c r="D93" s="176">
        <v>41336</v>
      </c>
      <c r="E93" s="176">
        <v>18240</v>
      </c>
      <c r="F93" s="176">
        <v>39143</v>
      </c>
      <c r="G93" s="176">
        <v>39143</v>
      </c>
      <c r="H93" s="176">
        <v>46340</v>
      </c>
      <c r="I93" s="176">
        <v>43855</v>
      </c>
      <c r="J93" s="177">
        <f>IFERROR(I93/H93-1,"-")</f>
        <v>-5.3625377643504502E-2</v>
      </c>
      <c r="K93" s="177">
        <f>IFERROR(I93/D93-1,"-")</f>
        <v>6.0939616798916241E-2</v>
      </c>
      <c r="L93" s="176">
        <f>I93-H93</f>
        <v>-2485</v>
      </c>
      <c r="M93" s="176">
        <f>I93-D93</f>
        <v>2519</v>
      </c>
      <c r="N93" s="177">
        <f t="shared" ref="N93:N105" si="48">I93/I$9</f>
        <v>9.0478665252458276E-3</v>
      </c>
    </row>
    <row r="94" spans="1:14" x14ac:dyDescent="0.25">
      <c r="A94" s="1" t="s">
        <v>96</v>
      </c>
      <c r="B94" s="157" t="s">
        <v>97</v>
      </c>
      <c r="C94" s="158">
        <v>25429</v>
      </c>
      <c r="D94" s="158">
        <v>26994</v>
      </c>
      <c r="E94" s="158">
        <v>11388</v>
      </c>
      <c r="F94" s="158">
        <v>25280</v>
      </c>
      <c r="G94" s="158">
        <v>25280</v>
      </c>
      <c r="H94" s="158">
        <v>30693</v>
      </c>
      <c r="I94" s="158">
        <v>26797</v>
      </c>
      <c r="J94" s="160">
        <f>IFERROR(I94/H94-1,"-")</f>
        <v>-0.1269344801746326</v>
      </c>
      <c r="K94" s="159">
        <f t="shared" ref="K94:K105" si="49">IFERROR(I94/D94-1,"-")</f>
        <v>-7.2979180558642165E-3</v>
      </c>
      <c r="L94" s="157">
        <f t="shared" ref="L94:L104" si="50">I94-H94</f>
        <v>-3896</v>
      </c>
      <c r="M94" s="158">
        <f t="shared" ref="M94:M105" si="51">I94-D94</f>
        <v>-197</v>
      </c>
      <c r="N94" s="159">
        <f t="shared" si="48"/>
        <v>5.5285755165206344E-3</v>
      </c>
    </row>
    <row r="95" spans="1:14" x14ac:dyDescent="0.25">
      <c r="A95" s="161" t="s">
        <v>103</v>
      </c>
      <c r="B95" s="162" t="s">
        <v>103</v>
      </c>
      <c r="C95" s="163">
        <v>12321</v>
      </c>
      <c r="D95" s="163">
        <v>13150</v>
      </c>
      <c r="E95" s="163">
        <v>6091</v>
      </c>
      <c r="F95" s="163">
        <v>11813</v>
      </c>
      <c r="G95" s="163">
        <v>11813</v>
      </c>
      <c r="H95" s="163">
        <v>9708</v>
      </c>
      <c r="I95" s="163">
        <v>8305</v>
      </c>
      <c r="J95" s="165">
        <f>IFERROR(I95/H95-1,"-")</f>
        <v>-0.1445199835187474</v>
      </c>
      <c r="K95" s="164">
        <f t="shared" si="49"/>
        <v>-0.36844106463878323</v>
      </c>
      <c r="L95" s="162">
        <f t="shared" si="50"/>
        <v>-1403</v>
      </c>
      <c r="M95" s="163">
        <f t="shared" si="51"/>
        <v>-4845</v>
      </c>
      <c r="N95" s="164">
        <f t="shared" si="48"/>
        <v>1.7134313417436233E-3</v>
      </c>
    </row>
    <row r="96" spans="1:14" x14ac:dyDescent="0.25">
      <c r="A96" s="161" t="s">
        <v>100</v>
      </c>
      <c r="B96" s="162" t="s">
        <v>100</v>
      </c>
      <c r="C96" s="163">
        <v>13108</v>
      </c>
      <c r="D96" s="163">
        <v>13844</v>
      </c>
      <c r="E96" s="163">
        <v>5297</v>
      </c>
      <c r="F96" s="163">
        <v>13467</v>
      </c>
      <c r="G96" s="163">
        <v>13467</v>
      </c>
      <c r="H96" s="163">
        <v>20985</v>
      </c>
      <c r="I96" s="163">
        <v>18492</v>
      </c>
      <c r="J96" s="165">
        <f>IFERROR(I96/H96-1,"-")</f>
        <v>-0.11879914224446031</v>
      </c>
      <c r="K96" s="164">
        <f t="shared" si="49"/>
        <v>0.33574111528459993</v>
      </c>
      <c r="L96" s="162">
        <f t="shared" si="50"/>
        <v>-2493</v>
      </c>
      <c r="M96" s="163">
        <f t="shared" si="51"/>
        <v>4648</v>
      </c>
      <c r="N96" s="164">
        <f t="shared" si="48"/>
        <v>3.8151441747770114E-3</v>
      </c>
    </row>
    <row r="97" spans="1:14" x14ac:dyDescent="0.25">
      <c r="A97" s="1"/>
      <c r="B97" s="157" t="s">
        <v>107</v>
      </c>
      <c r="C97" s="158">
        <v>15144</v>
      </c>
      <c r="D97" s="158">
        <v>14342</v>
      </c>
      <c r="E97" s="158">
        <v>6852</v>
      </c>
      <c r="F97" s="158">
        <v>13863</v>
      </c>
      <c r="G97" s="158">
        <v>13863</v>
      </c>
      <c r="H97" s="158">
        <v>15647</v>
      </c>
      <c r="I97" s="158">
        <v>17058</v>
      </c>
      <c r="J97" s="160">
        <f>IFERROR(I97/H97-1,"-")</f>
        <v>9.0177030740717035E-2</v>
      </c>
      <c r="K97" s="159">
        <f t="shared" si="49"/>
        <v>0.18937386696416114</v>
      </c>
      <c r="L97" s="157">
        <f t="shared" si="50"/>
        <v>1411</v>
      </c>
      <c r="M97" s="158">
        <f t="shared" si="51"/>
        <v>2716</v>
      </c>
      <c r="N97" s="159">
        <f t="shared" si="48"/>
        <v>3.5192910087251928E-3</v>
      </c>
    </row>
    <row r="98" spans="1:14" s="56" customFormat="1" x14ac:dyDescent="0.25">
      <c r="B98" s="162" t="s">
        <v>110</v>
      </c>
      <c r="C98" s="163">
        <v>1747</v>
      </c>
      <c r="D98" s="163">
        <v>1905</v>
      </c>
      <c r="E98" s="163">
        <v>1144</v>
      </c>
      <c r="F98" s="163">
        <v>1860</v>
      </c>
      <c r="G98" s="163">
        <v>1860</v>
      </c>
      <c r="H98" s="163">
        <v>2264</v>
      </c>
      <c r="I98" s="163">
        <v>2464</v>
      </c>
      <c r="J98" s="165">
        <f t="shared" ref="J98:J105" si="52">IFERROR(I98/H98-1,"-")</f>
        <v>8.8339222614840951E-2</v>
      </c>
      <c r="K98" s="164">
        <f t="shared" si="49"/>
        <v>0.29343832020997374</v>
      </c>
      <c r="L98" s="162">
        <f t="shared" si="50"/>
        <v>200</v>
      </c>
      <c r="M98" s="163">
        <f t="shared" si="51"/>
        <v>559</v>
      </c>
      <c r="N98" s="164">
        <f t="shared" si="48"/>
        <v>5.0835578880870406E-4</v>
      </c>
    </row>
    <row r="99" spans="1:14" s="56" customFormat="1" x14ac:dyDescent="0.25">
      <c r="B99" s="162" t="s">
        <v>113</v>
      </c>
      <c r="C99" s="163">
        <v>3613</v>
      </c>
      <c r="D99" s="163">
        <v>3059</v>
      </c>
      <c r="E99" s="163">
        <v>1439</v>
      </c>
      <c r="F99" s="163">
        <v>2833</v>
      </c>
      <c r="G99" s="163">
        <v>2833</v>
      </c>
      <c r="H99" s="163">
        <v>3049</v>
      </c>
      <c r="I99" s="163">
        <v>3490</v>
      </c>
      <c r="J99" s="165">
        <f t="shared" si="52"/>
        <v>0.14463758609380117</v>
      </c>
      <c r="K99" s="164">
        <f t="shared" si="49"/>
        <v>0.14089571755475649</v>
      </c>
      <c r="L99" s="162">
        <f t="shared" si="50"/>
        <v>441</v>
      </c>
      <c r="M99" s="163">
        <f t="shared" si="51"/>
        <v>431</v>
      </c>
      <c r="N99" s="164">
        <f t="shared" si="48"/>
        <v>7.2003315866167909E-4</v>
      </c>
    </row>
    <row r="100" spans="1:14" x14ac:dyDescent="0.25">
      <c r="A100" s="1"/>
      <c r="B100" s="162" t="s">
        <v>116</v>
      </c>
      <c r="C100" s="163">
        <v>3218</v>
      </c>
      <c r="D100" s="163">
        <v>2951</v>
      </c>
      <c r="E100" s="163">
        <v>1565</v>
      </c>
      <c r="F100" s="163">
        <v>2677</v>
      </c>
      <c r="G100" s="163">
        <v>2677</v>
      </c>
      <c r="H100" s="163">
        <v>2921</v>
      </c>
      <c r="I100" s="163">
        <v>2887</v>
      </c>
      <c r="J100" s="165">
        <f t="shared" si="52"/>
        <v>-1.1639849366655297E-2</v>
      </c>
      <c r="K100" s="164">
        <f t="shared" si="49"/>
        <v>-2.1687563537783783E-2</v>
      </c>
      <c r="L100" s="162">
        <f t="shared" si="50"/>
        <v>-34</v>
      </c>
      <c r="M100" s="163">
        <f t="shared" si="51"/>
        <v>-64</v>
      </c>
      <c r="N100" s="164">
        <f t="shared" si="48"/>
        <v>5.9562628339721133E-4</v>
      </c>
    </row>
    <row r="101" spans="1:14" x14ac:dyDescent="0.25">
      <c r="A101" s="1"/>
      <c r="B101" s="162" t="s">
        <v>123</v>
      </c>
      <c r="C101" s="163">
        <v>449</v>
      </c>
      <c r="D101" s="163">
        <v>491</v>
      </c>
      <c r="E101" s="163">
        <v>297</v>
      </c>
      <c r="F101" s="163">
        <v>970</v>
      </c>
      <c r="G101" s="163">
        <v>970</v>
      </c>
      <c r="H101" s="163">
        <v>724</v>
      </c>
      <c r="I101" s="163">
        <v>784</v>
      </c>
      <c r="J101" s="165">
        <f t="shared" si="52"/>
        <v>8.287292817679548E-2</v>
      </c>
      <c r="K101" s="164">
        <f t="shared" si="49"/>
        <v>0.59674134419551939</v>
      </c>
      <c r="L101" s="162">
        <f t="shared" si="50"/>
        <v>60</v>
      </c>
      <c r="M101" s="163">
        <f t="shared" si="51"/>
        <v>293</v>
      </c>
      <c r="N101" s="164">
        <f t="shared" si="48"/>
        <v>1.6174956916640586E-4</v>
      </c>
    </row>
    <row r="102" spans="1:14" x14ac:dyDescent="0.25">
      <c r="A102" s="1"/>
      <c r="B102" s="162" t="s">
        <v>119</v>
      </c>
      <c r="C102" s="163">
        <v>346</v>
      </c>
      <c r="D102" s="163">
        <v>392</v>
      </c>
      <c r="E102" s="163">
        <v>228</v>
      </c>
      <c r="F102" s="163">
        <v>560</v>
      </c>
      <c r="G102" s="163">
        <v>560</v>
      </c>
      <c r="H102" s="163">
        <v>451</v>
      </c>
      <c r="I102" s="163">
        <v>685</v>
      </c>
      <c r="J102" s="165">
        <f t="shared" si="52"/>
        <v>0.51884700665188466</v>
      </c>
      <c r="K102" s="164">
        <f t="shared" si="49"/>
        <v>0.74744897959183665</v>
      </c>
      <c r="L102" s="162">
        <f t="shared" si="50"/>
        <v>234</v>
      </c>
      <c r="M102" s="163">
        <f t="shared" si="51"/>
        <v>293</v>
      </c>
      <c r="N102" s="164">
        <f t="shared" si="48"/>
        <v>1.4132455979462755E-4</v>
      </c>
    </row>
    <row r="103" spans="1:14" x14ac:dyDescent="0.25">
      <c r="A103" s="1"/>
      <c r="B103" s="162" t="s">
        <v>128</v>
      </c>
      <c r="C103" s="163">
        <v>99</v>
      </c>
      <c r="D103" s="163">
        <v>126</v>
      </c>
      <c r="E103" s="163">
        <v>127</v>
      </c>
      <c r="F103" s="163">
        <v>226</v>
      </c>
      <c r="G103" s="163">
        <v>226</v>
      </c>
      <c r="H103" s="163">
        <v>109</v>
      </c>
      <c r="I103" s="163">
        <v>192</v>
      </c>
      <c r="J103" s="165">
        <f t="shared" si="52"/>
        <v>0.76146788990825698</v>
      </c>
      <c r="K103" s="164">
        <f t="shared" si="49"/>
        <v>0.52380952380952372</v>
      </c>
      <c r="L103" s="162">
        <f t="shared" si="50"/>
        <v>83</v>
      </c>
      <c r="M103" s="163">
        <f t="shared" si="51"/>
        <v>66</v>
      </c>
      <c r="N103" s="164">
        <f t="shared" si="48"/>
        <v>3.9612139387691228E-5</v>
      </c>
    </row>
    <row r="104" spans="1:14" x14ac:dyDescent="0.25">
      <c r="A104" s="161" t="s">
        <v>144</v>
      </c>
      <c r="B104" s="162" t="s">
        <v>131</v>
      </c>
      <c r="C104" s="163">
        <v>268</v>
      </c>
      <c r="D104" s="163">
        <v>153</v>
      </c>
      <c r="E104" s="163">
        <v>75</v>
      </c>
      <c r="F104" s="163">
        <v>116</v>
      </c>
      <c r="G104" s="163">
        <v>116</v>
      </c>
      <c r="H104" s="163">
        <v>203</v>
      </c>
      <c r="I104" s="163">
        <v>323</v>
      </c>
      <c r="J104" s="165">
        <f t="shared" si="52"/>
        <v>0.59113300492610832</v>
      </c>
      <c r="K104" s="164">
        <f t="shared" si="49"/>
        <v>1.1111111111111112</v>
      </c>
      <c r="L104" s="162">
        <f t="shared" si="50"/>
        <v>120</v>
      </c>
      <c r="M104" s="163">
        <f t="shared" si="51"/>
        <v>170</v>
      </c>
      <c r="N104" s="164">
        <f t="shared" si="48"/>
        <v>6.663917199075139E-5</v>
      </c>
    </row>
    <row r="105" spans="1:14" x14ac:dyDescent="0.25">
      <c r="A105" s="167" t="s">
        <v>145</v>
      </c>
      <c r="B105" s="168" t="s">
        <v>145</v>
      </c>
      <c r="C105" s="169">
        <f t="shared" ref="C105:I105" si="53">C97-SUM(C98:C104)</f>
        <v>5404</v>
      </c>
      <c r="D105" s="169">
        <f t="shared" si="53"/>
        <v>5265</v>
      </c>
      <c r="E105" s="169">
        <f t="shared" si="53"/>
        <v>1977</v>
      </c>
      <c r="F105" s="169">
        <f t="shared" ref="F105" si="54">F97-SUM(F98:F104)</f>
        <v>4621</v>
      </c>
      <c r="G105" s="169">
        <f t="shared" si="53"/>
        <v>4621</v>
      </c>
      <c r="H105" s="169">
        <f t="shared" si="53"/>
        <v>5926</v>
      </c>
      <c r="I105" s="169">
        <f t="shared" si="53"/>
        <v>6233</v>
      </c>
      <c r="J105" s="171">
        <f t="shared" si="52"/>
        <v>5.1805602429969566E-2</v>
      </c>
      <c r="K105" s="170">
        <f t="shared" si="49"/>
        <v>0.18385565052231723</v>
      </c>
      <c r="L105" s="168">
        <f>I105-H105</f>
        <v>307</v>
      </c>
      <c r="M105" s="169">
        <f t="shared" si="51"/>
        <v>968</v>
      </c>
      <c r="N105" s="170">
        <f t="shared" si="48"/>
        <v>1.2859503375181221E-3</v>
      </c>
    </row>
    <row r="106" spans="1:14" x14ac:dyDescent="0.25">
      <c r="A106" s="1"/>
      <c r="B106" s="153" t="s">
        <v>50</v>
      </c>
      <c r="C106" s="151"/>
      <c r="D106" s="151"/>
      <c r="E106" s="151"/>
      <c r="F106" s="151"/>
      <c r="G106" s="151"/>
      <c r="H106" s="151"/>
      <c r="I106" s="152"/>
      <c r="J106" s="152"/>
      <c r="K106" s="152"/>
      <c r="L106" s="152"/>
      <c r="M106" s="151"/>
      <c r="N106" s="151"/>
    </row>
    <row r="107" spans="1:14" x14ac:dyDescent="0.25">
      <c r="A107" s="1"/>
      <c r="B107" s="154" t="s">
        <v>68</v>
      </c>
      <c r="C107" s="176">
        <v>131533</v>
      </c>
      <c r="D107" s="176">
        <v>129126</v>
      </c>
      <c r="E107" s="176">
        <v>69618</v>
      </c>
      <c r="F107" s="176">
        <v>171217</v>
      </c>
      <c r="G107" s="176">
        <v>171217</v>
      </c>
      <c r="H107" s="176">
        <v>213329</v>
      </c>
      <c r="I107" s="176">
        <v>211792</v>
      </c>
      <c r="J107" s="177">
        <f>IFERROR(I107/H107-1,"-")</f>
        <v>-7.2048338481874863E-3</v>
      </c>
      <c r="K107" s="177">
        <f>IFERROR(I107/D107-1,"-")</f>
        <v>0.64019639731734901</v>
      </c>
      <c r="L107" s="176">
        <f>I107-H107</f>
        <v>-1537</v>
      </c>
      <c r="M107" s="176">
        <f>I107-D107</f>
        <v>82666</v>
      </c>
      <c r="N107" s="177">
        <f t="shared" ref="N107:N119" si="55">I107/I$9</f>
        <v>4.3695490756239068E-2</v>
      </c>
    </row>
    <row r="108" spans="1:14" x14ac:dyDescent="0.25">
      <c r="A108" s="1" t="s">
        <v>96</v>
      </c>
      <c r="B108" s="157" t="s">
        <v>97</v>
      </c>
      <c r="C108" s="158">
        <v>27512</v>
      </c>
      <c r="D108" s="158">
        <v>26451</v>
      </c>
      <c r="E108" s="158">
        <v>27028</v>
      </c>
      <c r="F108" s="158">
        <v>41286</v>
      </c>
      <c r="G108" s="158">
        <v>41286</v>
      </c>
      <c r="H108" s="158">
        <v>47351</v>
      </c>
      <c r="I108" s="158">
        <v>44919</v>
      </c>
      <c r="J108" s="160">
        <f>IFERROR(I108/H108-1,"-")</f>
        <v>-5.1361111697746598E-2</v>
      </c>
      <c r="K108" s="159">
        <f t="shared" ref="K108:K119" si="56">IFERROR(I108/D108-1,"-")</f>
        <v>0.69819666553249404</v>
      </c>
      <c r="L108" s="157">
        <f t="shared" ref="L108:L118" si="57">I108-H108</f>
        <v>-2432</v>
      </c>
      <c r="M108" s="158">
        <f t="shared" ref="M108:M119" si="58">I108-D108</f>
        <v>18468</v>
      </c>
      <c r="N108" s="159">
        <f t="shared" si="55"/>
        <v>9.2673837976859491E-3</v>
      </c>
    </row>
    <row r="109" spans="1:14" x14ac:dyDescent="0.25">
      <c r="A109" s="161" t="s">
        <v>103</v>
      </c>
      <c r="B109" s="162" t="s">
        <v>103</v>
      </c>
      <c r="C109" s="163">
        <v>12264</v>
      </c>
      <c r="D109" s="163">
        <v>10047</v>
      </c>
      <c r="E109" s="163">
        <v>2272</v>
      </c>
      <c r="F109" s="163">
        <v>14625</v>
      </c>
      <c r="G109" s="163">
        <v>14625</v>
      </c>
      <c r="H109" s="163">
        <v>17627</v>
      </c>
      <c r="I109" s="163">
        <v>14538</v>
      </c>
      <c r="J109" s="165">
        <f>IFERROR(I109/H109-1,"-")</f>
        <v>-0.17524252567084586</v>
      </c>
      <c r="K109" s="164">
        <f t="shared" si="56"/>
        <v>0.44699910421021194</v>
      </c>
      <c r="L109" s="162">
        <f t="shared" si="57"/>
        <v>-3089</v>
      </c>
      <c r="M109" s="163">
        <f t="shared" si="58"/>
        <v>4491</v>
      </c>
      <c r="N109" s="164">
        <f t="shared" si="55"/>
        <v>2.9993816792617451E-3</v>
      </c>
    </row>
    <row r="110" spans="1:14" x14ac:dyDescent="0.25">
      <c r="A110" s="161" t="s">
        <v>100</v>
      </c>
      <c r="B110" s="162" t="s">
        <v>100</v>
      </c>
      <c r="C110" s="163">
        <v>15248</v>
      </c>
      <c r="D110" s="163">
        <v>16404</v>
      </c>
      <c r="E110" s="163">
        <v>24756</v>
      </c>
      <c r="F110" s="163">
        <v>26661</v>
      </c>
      <c r="G110" s="163">
        <v>26661</v>
      </c>
      <c r="H110" s="163">
        <v>29724</v>
      </c>
      <c r="I110" s="163">
        <v>30381</v>
      </c>
      <c r="J110" s="165">
        <f>IFERROR(I110/H110-1,"-")</f>
        <v>2.2103350827614054E-2</v>
      </c>
      <c r="K110" s="164">
        <f t="shared" si="56"/>
        <v>0.85204828090709572</v>
      </c>
      <c r="L110" s="162">
        <f t="shared" si="57"/>
        <v>657</v>
      </c>
      <c r="M110" s="163">
        <f t="shared" si="58"/>
        <v>13977</v>
      </c>
      <c r="N110" s="164">
        <f t="shared" si="55"/>
        <v>6.2680021184242044E-3</v>
      </c>
    </row>
    <row r="111" spans="1:14" x14ac:dyDescent="0.25">
      <c r="A111" s="1"/>
      <c r="B111" s="157" t="s">
        <v>107</v>
      </c>
      <c r="C111" s="158">
        <v>104021</v>
      </c>
      <c r="D111" s="158">
        <v>102675</v>
      </c>
      <c r="E111" s="158">
        <v>42590</v>
      </c>
      <c r="F111" s="158">
        <v>129931</v>
      </c>
      <c r="G111" s="158">
        <v>129931</v>
      </c>
      <c r="H111" s="158">
        <v>165978</v>
      </c>
      <c r="I111" s="158">
        <v>166873</v>
      </c>
      <c r="J111" s="160">
        <f>IFERROR(I111/H111-1,"-")</f>
        <v>5.3922809046982323E-3</v>
      </c>
      <c r="K111" s="159">
        <f t="shared" si="56"/>
        <v>0.62525444363282201</v>
      </c>
      <c r="L111" s="157">
        <f t="shared" si="57"/>
        <v>895</v>
      </c>
      <c r="M111" s="158">
        <f t="shared" si="58"/>
        <v>64198</v>
      </c>
      <c r="N111" s="159">
        <f t="shared" si="55"/>
        <v>3.4428106958553119E-2</v>
      </c>
    </row>
    <row r="112" spans="1:14" s="56" customFormat="1" x14ac:dyDescent="0.25">
      <c r="B112" s="162" t="s">
        <v>110</v>
      </c>
      <c r="C112" s="163">
        <v>57410</v>
      </c>
      <c r="D112" s="163">
        <v>56409</v>
      </c>
      <c r="E112" s="163">
        <v>21638</v>
      </c>
      <c r="F112" s="163">
        <v>78552</v>
      </c>
      <c r="G112" s="163">
        <v>78552</v>
      </c>
      <c r="H112" s="163">
        <v>107726</v>
      </c>
      <c r="I112" s="163">
        <v>104034</v>
      </c>
      <c r="J112" s="165">
        <f t="shared" ref="J112:J119" si="59">IFERROR(I112/H112-1,"-")</f>
        <v>-3.4272134860665049E-2</v>
      </c>
      <c r="K112" s="164">
        <f t="shared" si="56"/>
        <v>0.84428016805828854</v>
      </c>
      <c r="L112" s="162">
        <f t="shared" si="57"/>
        <v>-3692</v>
      </c>
      <c r="M112" s="163">
        <f t="shared" si="58"/>
        <v>47625</v>
      </c>
      <c r="N112" s="164">
        <f t="shared" si="55"/>
        <v>2.146359015134932E-2</v>
      </c>
    </row>
    <row r="113" spans="1:14" s="56" customFormat="1" x14ac:dyDescent="0.25">
      <c r="B113" s="162" t="s">
        <v>113</v>
      </c>
      <c r="C113" s="163">
        <v>11793</v>
      </c>
      <c r="D113" s="163">
        <v>8841</v>
      </c>
      <c r="E113" s="163">
        <v>2923</v>
      </c>
      <c r="F113" s="163">
        <v>5450</v>
      </c>
      <c r="G113" s="163">
        <v>5450</v>
      </c>
      <c r="H113" s="163">
        <v>7337</v>
      </c>
      <c r="I113" s="163">
        <v>7025</v>
      </c>
      <c r="J113" s="165">
        <f t="shared" si="59"/>
        <v>-4.2524192449229892E-2</v>
      </c>
      <c r="K113" s="164">
        <f t="shared" si="56"/>
        <v>-0.20540662820947853</v>
      </c>
      <c r="L113" s="162">
        <f t="shared" si="57"/>
        <v>-312</v>
      </c>
      <c r="M113" s="163">
        <f t="shared" si="58"/>
        <v>-1816</v>
      </c>
      <c r="N113" s="164">
        <f t="shared" si="55"/>
        <v>1.4493504124923483E-3</v>
      </c>
    </row>
    <row r="114" spans="1:14" x14ac:dyDescent="0.25">
      <c r="A114" s="1"/>
      <c r="B114" s="162" t="s">
        <v>116</v>
      </c>
      <c r="C114" s="163">
        <v>12308</v>
      </c>
      <c r="D114" s="163">
        <v>11990</v>
      </c>
      <c r="E114" s="163">
        <v>2219</v>
      </c>
      <c r="F114" s="163">
        <v>8179</v>
      </c>
      <c r="G114" s="163">
        <v>8179</v>
      </c>
      <c r="H114" s="163">
        <v>12282</v>
      </c>
      <c r="I114" s="163">
        <v>11875</v>
      </c>
      <c r="J114" s="165">
        <f t="shared" si="59"/>
        <v>-3.3137925419312819E-2</v>
      </c>
      <c r="K114" s="164">
        <f t="shared" si="56"/>
        <v>-9.5913261050876164E-3</v>
      </c>
      <c r="L114" s="162">
        <f t="shared" si="57"/>
        <v>-407</v>
      </c>
      <c r="M114" s="163">
        <f t="shared" si="58"/>
        <v>-115</v>
      </c>
      <c r="N114" s="164">
        <f t="shared" si="55"/>
        <v>2.449969558483507E-3</v>
      </c>
    </row>
    <row r="115" spans="1:14" x14ac:dyDescent="0.25">
      <c r="A115" s="1"/>
      <c r="B115" s="162" t="s">
        <v>123</v>
      </c>
      <c r="C115" s="163">
        <v>1979</v>
      </c>
      <c r="D115" s="163">
        <v>2358</v>
      </c>
      <c r="E115" s="163">
        <v>1179</v>
      </c>
      <c r="F115" s="163">
        <v>5406</v>
      </c>
      <c r="G115" s="163">
        <v>5406</v>
      </c>
      <c r="H115" s="163">
        <v>5337</v>
      </c>
      <c r="I115" s="163">
        <v>5277</v>
      </c>
      <c r="J115" s="165">
        <f t="shared" si="59"/>
        <v>-1.1242270938729648E-2</v>
      </c>
      <c r="K115" s="164">
        <f t="shared" si="56"/>
        <v>1.2379134860050889</v>
      </c>
      <c r="L115" s="162">
        <f t="shared" si="57"/>
        <v>-60</v>
      </c>
      <c r="M115" s="163">
        <f t="shared" si="58"/>
        <v>2919</v>
      </c>
      <c r="N115" s="164">
        <f t="shared" si="55"/>
        <v>1.0887148934835761E-3</v>
      </c>
    </row>
    <row r="116" spans="1:14" x14ac:dyDescent="0.25">
      <c r="A116" s="1"/>
      <c r="B116" s="162" t="s">
        <v>119</v>
      </c>
      <c r="C116" s="163">
        <v>3209</v>
      </c>
      <c r="D116" s="163">
        <v>3585</v>
      </c>
      <c r="E116" s="163">
        <v>2779</v>
      </c>
      <c r="F116" s="163">
        <v>4908</v>
      </c>
      <c r="G116" s="163">
        <v>4908</v>
      </c>
      <c r="H116" s="163">
        <v>4707</v>
      </c>
      <c r="I116" s="163">
        <v>4301</v>
      </c>
      <c r="J116" s="165">
        <f t="shared" si="59"/>
        <v>-8.625451455279376E-2</v>
      </c>
      <c r="K116" s="164">
        <f t="shared" si="56"/>
        <v>0.19972105997210599</v>
      </c>
      <c r="L116" s="162">
        <f t="shared" si="57"/>
        <v>-406</v>
      </c>
      <c r="M116" s="163">
        <f t="shared" si="58"/>
        <v>716</v>
      </c>
      <c r="N116" s="164">
        <f t="shared" si="55"/>
        <v>8.8735318492947908E-4</v>
      </c>
    </row>
    <row r="117" spans="1:14" x14ac:dyDescent="0.25">
      <c r="A117" s="1"/>
      <c r="B117" s="162" t="s">
        <v>128</v>
      </c>
      <c r="C117" s="163">
        <v>614</v>
      </c>
      <c r="D117" s="163">
        <v>634</v>
      </c>
      <c r="E117" s="163">
        <v>459</v>
      </c>
      <c r="F117" s="163">
        <v>658</v>
      </c>
      <c r="G117" s="163">
        <v>658</v>
      </c>
      <c r="H117" s="163">
        <v>1050</v>
      </c>
      <c r="I117" s="163">
        <v>1230</v>
      </c>
      <c r="J117" s="165">
        <f t="shared" si="59"/>
        <v>0.17142857142857149</v>
      </c>
      <c r="K117" s="164">
        <f t="shared" si="56"/>
        <v>0.94006309148264977</v>
      </c>
      <c r="L117" s="162">
        <f t="shared" si="57"/>
        <v>180</v>
      </c>
      <c r="M117" s="163">
        <f t="shared" si="58"/>
        <v>596</v>
      </c>
      <c r="N117" s="164">
        <f t="shared" si="55"/>
        <v>2.5376526795239696E-4</v>
      </c>
    </row>
    <row r="118" spans="1:14" x14ac:dyDescent="0.25">
      <c r="A118" s="161" t="s">
        <v>144</v>
      </c>
      <c r="B118" s="162" t="s">
        <v>131</v>
      </c>
      <c r="C118" s="163">
        <v>1460</v>
      </c>
      <c r="D118" s="163">
        <v>1150</v>
      </c>
      <c r="E118" s="163">
        <v>1168</v>
      </c>
      <c r="F118" s="163">
        <v>866</v>
      </c>
      <c r="G118" s="163">
        <v>866</v>
      </c>
      <c r="H118" s="163">
        <v>639</v>
      </c>
      <c r="I118" s="163">
        <v>1448</v>
      </c>
      <c r="J118" s="165">
        <f t="shared" si="59"/>
        <v>1.2660406885758997</v>
      </c>
      <c r="K118" s="164">
        <f t="shared" si="56"/>
        <v>0.25913043478260867</v>
      </c>
      <c r="L118" s="162">
        <f t="shared" si="57"/>
        <v>809</v>
      </c>
      <c r="M118" s="163">
        <f t="shared" si="58"/>
        <v>298</v>
      </c>
      <c r="N118" s="164">
        <f t="shared" si="55"/>
        <v>2.9874155121550471E-4</v>
      </c>
    </row>
    <row r="119" spans="1:14" x14ac:dyDescent="0.25">
      <c r="A119" s="167" t="s">
        <v>145</v>
      </c>
      <c r="B119" s="168" t="s">
        <v>145</v>
      </c>
      <c r="C119" s="169">
        <f t="shared" ref="C119:I119" si="60">C111-SUM(C112:C118)</f>
        <v>15248</v>
      </c>
      <c r="D119" s="169">
        <f t="shared" si="60"/>
        <v>17708</v>
      </c>
      <c r="E119" s="169">
        <f t="shared" si="60"/>
        <v>10225</v>
      </c>
      <c r="F119" s="169">
        <f t="shared" ref="F119" si="61">F111-SUM(F112:F118)</f>
        <v>25912</v>
      </c>
      <c r="G119" s="169">
        <f t="shared" si="60"/>
        <v>25912</v>
      </c>
      <c r="H119" s="169">
        <f t="shared" si="60"/>
        <v>26900</v>
      </c>
      <c r="I119" s="169">
        <f t="shared" si="60"/>
        <v>31683</v>
      </c>
      <c r="J119" s="171">
        <f t="shared" si="59"/>
        <v>0.1778066914498142</v>
      </c>
      <c r="K119" s="170">
        <f t="shared" si="56"/>
        <v>0.7891913259543708</v>
      </c>
      <c r="L119" s="168">
        <f>I119-H119</f>
        <v>4783</v>
      </c>
      <c r="M119" s="169">
        <f t="shared" si="58"/>
        <v>13975</v>
      </c>
      <c r="N119" s="170">
        <f t="shared" si="55"/>
        <v>6.5366219386469851E-3</v>
      </c>
    </row>
    <row r="120" spans="1:14" x14ac:dyDescent="0.25">
      <c r="A120" s="1"/>
      <c r="B120" s="153" t="s">
        <v>51</v>
      </c>
      <c r="C120" s="151"/>
      <c r="D120" s="151"/>
      <c r="E120" s="151"/>
      <c r="F120" s="151"/>
      <c r="G120" s="151"/>
      <c r="H120" s="151"/>
      <c r="I120" s="152"/>
      <c r="J120" s="152"/>
      <c r="K120" s="152"/>
      <c r="L120" s="152"/>
      <c r="M120" s="151"/>
      <c r="N120" s="151"/>
    </row>
    <row r="121" spans="1:14" x14ac:dyDescent="0.25">
      <c r="A121" s="1"/>
      <c r="B121" s="154" t="s">
        <v>68</v>
      </c>
      <c r="C121" s="176">
        <v>177091</v>
      </c>
      <c r="D121" s="176">
        <v>165875</v>
      </c>
      <c r="E121" s="176">
        <v>70506</v>
      </c>
      <c r="F121" s="176">
        <v>165117</v>
      </c>
      <c r="G121" s="176">
        <v>165117</v>
      </c>
      <c r="H121" s="176">
        <v>182016</v>
      </c>
      <c r="I121" s="176">
        <v>189705</v>
      </c>
      <c r="J121" s="177">
        <f>IFERROR(I121/H121-1,"-")</f>
        <v>4.2243539029535926E-2</v>
      </c>
      <c r="K121" s="177">
        <f>IFERROR(I121/D121-1,"-")</f>
        <v>0.1436623963828183</v>
      </c>
      <c r="L121" s="176">
        <f>I121-H121</f>
        <v>7689</v>
      </c>
      <c r="M121" s="176">
        <f>I121-D121</f>
        <v>23830</v>
      </c>
      <c r="N121" s="177">
        <f t="shared" ref="N121:N133" si="62">I121/I$9</f>
        <v>3.9138650534072734E-2</v>
      </c>
    </row>
    <row r="122" spans="1:14" x14ac:dyDescent="0.25">
      <c r="A122" s="1" t="s">
        <v>96</v>
      </c>
      <c r="B122" s="157" t="s">
        <v>97</v>
      </c>
      <c r="C122" s="158">
        <v>103993</v>
      </c>
      <c r="D122" s="158">
        <v>89920</v>
      </c>
      <c r="E122" s="158">
        <v>37728</v>
      </c>
      <c r="F122" s="158">
        <v>100095</v>
      </c>
      <c r="G122" s="158">
        <v>100095</v>
      </c>
      <c r="H122" s="158">
        <v>111901</v>
      </c>
      <c r="I122" s="158">
        <v>119009</v>
      </c>
      <c r="J122" s="160">
        <f>IFERROR(I122/H122-1,"-")</f>
        <v>6.3520433240096263E-2</v>
      </c>
      <c r="K122" s="159">
        <f t="shared" ref="K122:K133" si="63">IFERROR(I122/D122-1,"-")</f>
        <v>0.32349866548042705</v>
      </c>
      <c r="L122" s="157">
        <f t="shared" ref="L122:L132" si="64">I122-H122</f>
        <v>7108</v>
      </c>
      <c r="M122" s="158">
        <f t="shared" ref="M122:M133" si="65">I122-D122</f>
        <v>29089</v>
      </c>
      <c r="N122" s="159">
        <f t="shared" si="62"/>
        <v>2.4553130710363257E-2</v>
      </c>
    </row>
    <row r="123" spans="1:14" x14ac:dyDescent="0.25">
      <c r="A123" s="161" t="s">
        <v>103</v>
      </c>
      <c r="B123" s="162" t="s">
        <v>103</v>
      </c>
      <c r="C123" s="163">
        <v>57787</v>
      </c>
      <c r="D123" s="163">
        <v>45175</v>
      </c>
      <c r="E123" s="163">
        <v>17203</v>
      </c>
      <c r="F123" s="163">
        <v>51998</v>
      </c>
      <c r="G123" s="163">
        <v>51998</v>
      </c>
      <c r="H123" s="163">
        <v>50226</v>
      </c>
      <c r="I123" s="163">
        <v>58787</v>
      </c>
      <c r="J123" s="165">
        <f>IFERROR(I123/H123-1,"-")</f>
        <v>0.17044956795285304</v>
      </c>
      <c r="K123" s="164">
        <f t="shared" si="63"/>
        <v>0.30131710016602109</v>
      </c>
      <c r="L123" s="162">
        <f t="shared" si="64"/>
        <v>8561</v>
      </c>
      <c r="M123" s="163">
        <f t="shared" si="65"/>
        <v>13612</v>
      </c>
      <c r="N123" s="164">
        <f t="shared" si="62"/>
        <v>1.2128535615542731E-2</v>
      </c>
    </row>
    <row r="124" spans="1:14" x14ac:dyDescent="0.25">
      <c r="A124" s="161" t="s">
        <v>100</v>
      </c>
      <c r="B124" s="162" t="s">
        <v>100</v>
      </c>
      <c r="C124" s="163">
        <v>46206</v>
      </c>
      <c r="D124" s="163">
        <v>44745</v>
      </c>
      <c r="E124" s="163">
        <v>20525</v>
      </c>
      <c r="F124" s="163">
        <v>48097</v>
      </c>
      <c r="G124" s="163">
        <v>48097</v>
      </c>
      <c r="H124" s="163">
        <v>61675</v>
      </c>
      <c r="I124" s="163">
        <v>60222</v>
      </c>
      <c r="J124" s="165">
        <f>IFERROR(I124/H124-1,"-")</f>
        <v>-2.3558978516416751E-2</v>
      </c>
      <c r="K124" s="164">
        <f t="shared" si="63"/>
        <v>0.34589339591015755</v>
      </c>
      <c r="L124" s="162">
        <f t="shared" si="64"/>
        <v>-1453</v>
      </c>
      <c r="M124" s="163">
        <f t="shared" si="65"/>
        <v>15477</v>
      </c>
      <c r="N124" s="164">
        <f t="shared" si="62"/>
        <v>1.2424595094820527E-2</v>
      </c>
    </row>
    <row r="125" spans="1:14" x14ac:dyDescent="0.25">
      <c r="A125" s="1"/>
      <c r="B125" s="157" t="s">
        <v>107</v>
      </c>
      <c r="C125" s="158">
        <v>73098</v>
      </c>
      <c r="D125" s="158">
        <v>75955</v>
      </c>
      <c r="E125" s="158">
        <v>32778</v>
      </c>
      <c r="F125" s="158">
        <v>65022</v>
      </c>
      <c r="G125" s="158">
        <v>65022</v>
      </c>
      <c r="H125" s="158">
        <v>70115</v>
      </c>
      <c r="I125" s="158">
        <v>70696</v>
      </c>
      <c r="J125" s="160">
        <f>IFERROR(I125/H125-1,"-")</f>
        <v>8.2863866505027417E-3</v>
      </c>
      <c r="K125" s="159">
        <f t="shared" si="63"/>
        <v>-6.9238364821275766E-2</v>
      </c>
      <c r="L125" s="157">
        <f t="shared" si="64"/>
        <v>581</v>
      </c>
      <c r="M125" s="158">
        <f t="shared" si="65"/>
        <v>-5259</v>
      </c>
      <c r="N125" s="159">
        <f t="shared" si="62"/>
        <v>1.4585519823709474E-2</v>
      </c>
    </row>
    <row r="126" spans="1:14" s="56" customFormat="1" x14ac:dyDescent="0.25">
      <c r="B126" s="162" t="s">
        <v>110</v>
      </c>
      <c r="C126" s="163">
        <v>9358</v>
      </c>
      <c r="D126" s="163">
        <v>8241</v>
      </c>
      <c r="E126" s="163">
        <v>3292</v>
      </c>
      <c r="F126" s="163">
        <v>7290</v>
      </c>
      <c r="G126" s="163">
        <v>7290</v>
      </c>
      <c r="H126" s="163">
        <v>9274</v>
      </c>
      <c r="I126" s="163">
        <v>8495</v>
      </c>
      <c r="J126" s="165">
        <f t="shared" ref="J126:J133" si="66">IFERROR(I126/H126-1,"-")</f>
        <v>-8.3998274746603374E-2</v>
      </c>
      <c r="K126" s="164">
        <f t="shared" si="63"/>
        <v>3.0821502244873233E-2</v>
      </c>
      <c r="L126" s="162">
        <f t="shared" si="64"/>
        <v>-779</v>
      </c>
      <c r="M126" s="163">
        <f t="shared" si="65"/>
        <v>254</v>
      </c>
      <c r="N126" s="164">
        <f t="shared" si="62"/>
        <v>1.7526308546793594E-3</v>
      </c>
    </row>
    <row r="127" spans="1:14" s="56" customFormat="1" x14ac:dyDescent="0.25">
      <c r="B127" s="162" t="s">
        <v>113</v>
      </c>
      <c r="C127" s="163">
        <v>8336</v>
      </c>
      <c r="D127" s="163">
        <v>7189</v>
      </c>
      <c r="E127" s="163">
        <v>3494</v>
      </c>
      <c r="F127" s="163">
        <v>6988</v>
      </c>
      <c r="G127" s="163">
        <v>6988</v>
      </c>
      <c r="H127" s="163">
        <v>9957</v>
      </c>
      <c r="I127" s="163">
        <v>9595</v>
      </c>
      <c r="J127" s="165">
        <f t="shared" si="66"/>
        <v>-3.6356332228582922E-2</v>
      </c>
      <c r="K127" s="164">
        <f t="shared" si="63"/>
        <v>0.33467798024760054</v>
      </c>
      <c r="L127" s="162">
        <f t="shared" si="64"/>
        <v>-362</v>
      </c>
      <c r="M127" s="163">
        <f t="shared" si="65"/>
        <v>2406</v>
      </c>
      <c r="N127" s="164">
        <f t="shared" si="62"/>
        <v>1.9795754032546735E-3</v>
      </c>
    </row>
    <row r="128" spans="1:14" x14ac:dyDescent="0.25">
      <c r="A128" s="1"/>
      <c r="B128" s="162" t="s">
        <v>116</v>
      </c>
      <c r="C128" s="163">
        <v>5204</v>
      </c>
      <c r="D128" s="163">
        <v>5337</v>
      </c>
      <c r="E128" s="163">
        <v>2351</v>
      </c>
      <c r="F128" s="163">
        <v>6283</v>
      </c>
      <c r="G128" s="163">
        <v>6283</v>
      </c>
      <c r="H128" s="163">
        <v>6766</v>
      </c>
      <c r="I128" s="163">
        <v>6665</v>
      </c>
      <c r="J128" s="165">
        <f t="shared" si="66"/>
        <v>-1.4927579071829733E-2</v>
      </c>
      <c r="K128" s="164">
        <f t="shared" si="63"/>
        <v>0.24882893011054907</v>
      </c>
      <c r="L128" s="162">
        <f t="shared" si="64"/>
        <v>-101</v>
      </c>
      <c r="M128" s="163">
        <f t="shared" si="65"/>
        <v>1328</v>
      </c>
      <c r="N128" s="164">
        <f t="shared" si="62"/>
        <v>1.3750776511404273E-3</v>
      </c>
    </row>
    <row r="129" spans="1:14" x14ac:dyDescent="0.25">
      <c r="A129" s="1"/>
      <c r="B129" s="162" t="s">
        <v>123</v>
      </c>
      <c r="C129" s="163">
        <v>1279</v>
      </c>
      <c r="D129" s="163">
        <v>1294</v>
      </c>
      <c r="E129" s="163">
        <v>628</v>
      </c>
      <c r="F129" s="163">
        <v>1944</v>
      </c>
      <c r="G129" s="163">
        <v>1944</v>
      </c>
      <c r="H129" s="163">
        <v>2010</v>
      </c>
      <c r="I129" s="163">
        <v>1814</v>
      </c>
      <c r="J129" s="165">
        <f t="shared" si="66"/>
        <v>-9.7512437810945318E-2</v>
      </c>
      <c r="K129" s="164">
        <f t="shared" si="63"/>
        <v>0.40185471406491491</v>
      </c>
      <c r="L129" s="162">
        <f t="shared" si="64"/>
        <v>-196</v>
      </c>
      <c r="M129" s="163">
        <f t="shared" si="65"/>
        <v>520</v>
      </c>
      <c r="N129" s="164">
        <f t="shared" si="62"/>
        <v>3.7425219192329111E-4</v>
      </c>
    </row>
    <row r="130" spans="1:14" x14ac:dyDescent="0.25">
      <c r="A130" s="1"/>
      <c r="B130" s="162" t="s">
        <v>119</v>
      </c>
      <c r="C130" s="163">
        <v>1336</v>
      </c>
      <c r="D130" s="163">
        <v>1092</v>
      </c>
      <c r="E130" s="163">
        <v>609</v>
      </c>
      <c r="F130" s="163">
        <v>1358</v>
      </c>
      <c r="G130" s="163">
        <v>1358</v>
      </c>
      <c r="H130" s="163">
        <v>1386</v>
      </c>
      <c r="I130" s="163">
        <v>1471</v>
      </c>
      <c r="J130" s="165">
        <f t="shared" si="66"/>
        <v>6.1327561327561231E-2</v>
      </c>
      <c r="K130" s="164">
        <f t="shared" si="63"/>
        <v>0.34706959706959717</v>
      </c>
      <c r="L130" s="162">
        <f t="shared" si="64"/>
        <v>85</v>
      </c>
      <c r="M130" s="163">
        <f t="shared" si="65"/>
        <v>379</v>
      </c>
      <c r="N130" s="164">
        <f t="shared" si="62"/>
        <v>3.0348675541298851E-4</v>
      </c>
    </row>
    <row r="131" spans="1:14" x14ac:dyDescent="0.25">
      <c r="A131" s="1"/>
      <c r="B131" s="162" t="s">
        <v>128</v>
      </c>
      <c r="C131" s="163">
        <v>1095</v>
      </c>
      <c r="D131" s="163">
        <v>1206</v>
      </c>
      <c r="E131" s="163">
        <v>680</v>
      </c>
      <c r="F131" s="163">
        <v>704</v>
      </c>
      <c r="G131" s="163">
        <v>704</v>
      </c>
      <c r="H131" s="163">
        <v>915</v>
      </c>
      <c r="I131" s="163">
        <v>1028</v>
      </c>
      <c r="J131" s="165">
        <f t="shared" si="66"/>
        <v>0.12349726775956293</v>
      </c>
      <c r="K131" s="164">
        <f t="shared" si="63"/>
        <v>-0.14759535655058043</v>
      </c>
      <c r="L131" s="162">
        <f t="shared" si="64"/>
        <v>113</v>
      </c>
      <c r="M131" s="163">
        <f t="shared" si="65"/>
        <v>-178</v>
      </c>
      <c r="N131" s="164">
        <f t="shared" si="62"/>
        <v>2.1208999630493013E-4</v>
      </c>
    </row>
    <row r="132" spans="1:14" x14ac:dyDescent="0.25">
      <c r="A132" s="161" t="s">
        <v>144</v>
      </c>
      <c r="B132" s="162" t="s">
        <v>131</v>
      </c>
      <c r="C132" s="163">
        <v>2064</v>
      </c>
      <c r="D132" s="163">
        <v>1757</v>
      </c>
      <c r="E132" s="163">
        <v>1063</v>
      </c>
      <c r="F132" s="163">
        <v>1156</v>
      </c>
      <c r="G132" s="163">
        <v>1156</v>
      </c>
      <c r="H132" s="163">
        <v>1637</v>
      </c>
      <c r="I132" s="163">
        <v>1543</v>
      </c>
      <c r="J132" s="165">
        <f t="shared" si="66"/>
        <v>-5.7422113622480175E-2</v>
      </c>
      <c r="K132" s="164">
        <f t="shared" si="63"/>
        <v>-0.12179852020489468</v>
      </c>
      <c r="L132" s="162">
        <f t="shared" si="64"/>
        <v>-94</v>
      </c>
      <c r="M132" s="163">
        <f t="shared" si="65"/>
        <v>-214</v>
      </c>
      <c r="N132" s="164">
        <f t="shared" si="62"/>
        <v>3.1834130768337274E-4</v>
      </c>
    </row>
    <row r="133" spans="1:14" x14ac:dyDescent="0.25">
      <c r="A133" s="167" t="s">
        <v>145</v>
      </c>
      <c r="B133" s="168" t="s">
        <v>145</v>
      </c>
      <c r="C133" s="169">
        <f t="shared" ref="C133:I133" si="67">C125-SUM(C126:C132)</f>
        <v>44426</v>
      </c>
      <c r="D133" s="169">
        <f t="shared" si="67"/>
        <v>49839</v>
      </c>
      <c r="E133" s="169">
        <f t="shared" si="67"/>
        <v>20661</v>
      </c>
      <c r="F133" s="169">
        <f t="shared" ref="F133" si="68">F125-SUM(F126:F132)</f>
        <v>39299</v>
      </c>
      <c r="G133" s="169">
        <f t="shared" si="67"/>
        <v>39299</v>
      </c>
      <c r="H133" s="169">
        <f t="shared" si="67"/>
        <v>38170</v>
      </c>
      <c r="I133" s="169">
        <f t="shared" si="67"/>
        <v>40085</v>
      </c>
      <c r="J133" s="171">
        <f t="shared" si="66"/>
        <v>5.0170290804296469E-2</v>
      </c>
      <c r="K133" s="170">
        <f t="shared" si="63"/>
        <v>-0.19571018680150087</v>
      </c>
      <c r="L133" s="168">
        <f>I133-H133</f>
        <v>1915</v>
      </c>
      <c r="M133" s="169">
        <f t="shared" si="65"/>
        <v>-9754</v>
      </c>
      <c r="N133" s="170">
        <f t="shared" si="62"/>
        <v>8.2700656633104327E-3</v>
      </c>
    </row>
    <row r="134" spans="1:14" x14ac:dyDescent="0.25">
      <c r="A134" s="1"/>
      <c r="B134" s="153" t="s">
        <v>52</v>
      </c>
      <c r="C134" s="151"/>
      <c r="D134" s="151"/>
      <c r="E134" s="151"/>
      <c r="F134" s="151"/>
      <c r="G134" s="151"/>
      <c r="H134" s="151"/>
      <c r="I134" s="152"/>
      <c r="J134" s="152"/>
      <c r="K134" s="152"/>
      <c r="L134" s="152"/>
      <c r="M134" s="151"/>
      <c r="N134" s="151"/>
    </row>
    <row r="135" spans="1:14" x14ac:dyDescent="0.25">
      <c r="A135" s="1"/>
      <c r="B135" s="154" t="s">
        <v>68</v>
      </c>
      <c r="C135" s="176">
        <v>252815</v>
      </c>
      <c r="D135" s="176">
        <v>224428</v>
      </c>
      <c r="E135" s="176">
        <v>87336</v>
      </c>
      <c r="F135" s="176">
        <v>226073</v>
      </c>
      <c r="G135" s="176">
        <v>226073</v>
      </c>
      <c r="H135" s="176">
        <v>244622</v>
      </c>
      <c r="I135" s="176">
        <v>256066</v>
      </c>
      <c r="J135" s="177">
        <f>IFERROR(I135/H135-1,"-")</f>
        <v>4.6782382614809714E-2</v>
      </c>
      <c r="K135" s="177">
        <f>IFERROR(I135/D135-1,"-")</f>
        <v>0.14097171475929926</v>
      </c>
      <c r="L135" s="176">
        <f>I135-H135</f>
        <v>11444</v>
      </c>
      <c r="M135" s="176">
        <f>I135-D135</f>
        <v>31638</v>
      </c>
      <c r="N135" s="177">
        <f t="shared" ref="N135:N147" si="69">I135/I$9</f>
        <v>5.2829802523169489E-2</v>
      </c>
    </row>
    <row r="136" spans="1:14" x14ac:dyDescent="0.25">
      <c r="A136" s="1" t="s">
        <v>96</v>
      </c>
      <c r="B136" s="157" t="s">
        <v>97</v>
      </c>
      <c r="C136" s="158">
        <v>49146</v>
      </c>
      <c r="D136" s="158">
        <v>40957</v>
      </c>
      <c r="E136" s="158">
        <v>15858</v>
      </c>
      <c r="F136" s="158">
        <v>26334</v>
      </c>
      <c r="G136" s="158">
        <v>26334</v>
      </c>
      <c r="H136" s="158">
        <v>28935</v>
      </c>
      <c r="I136" s="158">
        <v>24980</v>
      </c>
      <c r="J136" s="160">
        <f>IFERROR(I136/H136-1,"-")</f>
        <v>-0.13668567478831861</v>
      </c>
      <c r="K136" s="159">
        <f t="shared" ref="K136:K147" si="70">IFERROR(I136/D136-1,"-")</f>
        <v>-0.39009204775740414</v>
      </c>
      <c r="L136" s="157">
        <f t="shared" ref="L136:L146" si="71">I136-H136</f>
        <v>-3955</v>
      </c>
      <c r="M136" s="158">
        <f t="shared" ref="M136:M147" si="72">I136-D136</f>
        <v>-15977</v>
      </c>
      <c r="N136" s="159">
        <f t="shared" si="69"/>
        <v>5.1537043849194109E-3</v>
      </c>
    </row>
    <row r="137" spans="1:14" x14ac:dyDescent="0.25">
      <c r="A137" s="161" t="s">
        <v>103</v>
      </c>
      <c r="B137" s="162" t="s">
        <v>103</v>
      </c>
      <c r="C137" s="163">
        <v>35831</v>
      </c>
      <c r="D137" s="163">
        <v>22725</v>
      </c>
      <c r="E137" s="163">
        <v>10814</v>
      </c>
      <c r="F137" s="163">
        <v>17960</v>
      </c>
      <c r="G137" s="163">
        <v>17960</v>
      </c>
      <c r="H137" s="163">
        <v>18744</v>
      </c>
      <c r="I137" s="163">
        <v>15731</v>
      </c>
      <c r="J137" s="165">
        <f>IFERROR(I137/H137-1,"-")</f>
        <v>-0.16074477166026457</v>
      </c>
      <c r="K137" s="164">
        <f t="shared" si="70"/>
        <v>-0.30776677667766772</v>
      </c>
      <c r="L137" s="162">
        <f t="shared" si="71"/>
        <v>-3013</v>
      </c>
      <c r="M137" s="163">
        <f t="shared" si="72"/>
        <v>-6994</v>
      </c>
      <c r="N137" s="164">
        <f t="shared" si="69"/>
        <v>3.2455133578529727E-3</v>
      </c>
    </row>
    <row r="138" spans="1:14" x14ac:dyDescent="0.25">
      <c r="A138" s="161" t="s">
        <v>100</v>
      </c>
      <c r="B138" s="162" t="s">
        <v>100</v>
      </c>
      <c r="C138" s="163">
        <v>13315</v>
      </c>
      <c r="D138" s="163">
        <v>18232</v>
      </c>
      <c r="E138" s="163">
        <v>5044</v>
      </c>
      <c r="F138" s="163">
        <v>8374</v>
      </c>
      <c r="G138" s="163">
        <v>8374</v>
      </c>
      <c r="H138" s="163">
        <v>10191</v>
      </c>
      <c r="I138" s="163">
        <v>9249</v>
      </c>
      <c r="J138" s="165">
        <f>IFERROR(I138/H138-1,"-")</f>
        <v>-9.2434501030320915E-2</v>
      </c>
      <c r="K138" s="164">
        <f t="shared" si="70"/>
        <v>-0.49270513383062742</v>
      </c>
      <c r="L138" s="162">
        <f t="shared" si="71"/>
        <v>-942</v>
      </c>
      <c r="M138" s="163">
        <f t="shared" si="72"/>
        <v>-8983</v>
      </c>
      <c r="N138" s="164">
        <f t="shared" si="69"/>
        <v>1.9081910270664383E-3</v>
      </c>
    </row>
    <row r="139" spans="1:14" x14ac:dyDescent="0.25">
      <c r="A139" s="1"/>
      <c r="B139" s="157" t="s">
        <v>107</v>
      </c>
      <c r="C139" s="158">
        <v>203669</v>
      </c>
      <c r="D139" s="158">
        <v>183471</v>
      </c>
      <c r="E139" s="158">
        <v>71478</v>
      </c>
      <c r="F139" s="158">
        <v>199739</v>
      </c>
      <c r="G139" s="158">
        <v>199739</v>
      </c>
      <c r="H139" s="158">
        <v>215687</v>
      </c>
      <c r="I139" s="158">
        <v>231086</v>
      </c>
      <c r="J139" s="160">
        <f>IFERROR(I139/H139-1,"-")</f>
        <v>7.139512348913013E-2</v>
      </c>
      <c r="K139" s="159">
        <f t="shared" si="70"/>
        <v>0.25952330341034813</v>
      </c>
      <c r="L139" s="157">
        <f t="shared" si="71"/>
        <v>15399</v>
      </c>
      <c r="M139" s="158">
        <f t="shared" si="72"/>
        <v>47615</v>
      </c>
      <c r="N139" s="159">
        <f t="shared" si="69"/>
        <v>4.7676098138250078E-2</v>
      </c>
    </row>
    <row r="140" spans="1:14" s="56" customFormat="1" x14ac:dyDescent="0.25">
      <c r="B140" s="162" t="s">
        <v>110</v>
      </c>
      <c r="C140" s="163">
        <v>106209</v>
      </c>
      <c r="D140" s="163">
        <v>91081</v>
      </c>
      <c r="E140" s="163">
        <v>29452</v>
      </c>
      <c r="F140" s="163">
        <v>86847</v>
      </c>
      <c r="G140" s="163">
        <v>86847</v>
      </c>
      <c r="H140" s="163">
        <v>92504</v>
      </c>
      <c r="I140" s="163">
        <v>104620</v>
      </c>
      <c r="J140" s="165">
        <f t="shared" ref="J140:J147" si="73">IFERROR(I140/H140-1,"-")</f>
        <v>0.13097811986508701</v>
      </c>
      <c r="K140" s="164">
        <f t="shared" si="70"/>
        <v>0.14864790680822559</v>
      </c>
      <c r="L140" s="162">
        <f t="shared" si="71"/>
        <v>12116</v>
      </c>
      <c r="M140" s="163">
        <f t="shared" si="72"/>
        <v>13539</v>
      </c>
      <c r="N140" s="164">
        <f t="shared" si="69"/>
        <v>2.158448970177217E-2</v>
      </c>
    </row>
    <row r="141" spans="1:14" s="56" customFormat="1" x14ac:dyDescent="0.25">
      <c r="B141" s="162" t="s">
        <v>113</v>
      </c>
      <c r="C141" s="163">
        <v>13120</v>
      </c>
      <c r="D141" s="163">
        <v>12686</v>
      </c>
      <c r="E141" s="163">
        <v>5377</v>
      </c>
      <c r="F141" s="163">
        <v>13423</v>
      </c>
      <c r="G141" s="163">
        <v>13423</v>
      </c>
      <c r="H141" s="163">
        <v>18417</v>
      </c>
      <c r="I141" s="163">
        <v>19208</v>
      </c>
      <c r="J141" s="165">
        <f t="shared" si="73"/>
        <v>4.2949448878753405E-2</v>
      </c>
      <c r="K141" s="164">
        <f t="shared" si="70"/>
        <v>0.51411004256660875</v>
      </c>
      <c r="L141" s="162">
        <f t="shared" si="71"/>
        <v>791</v>
      </c>
      <c r="M141" s="163">
        <f t="shared" si="72"/>
        <v>6522</v>
      </c>
      <c r="N141" s="164">
        <f t="shared" si="69"/>
        <v>3.9628644445769438E-3</v>
      </c>
    </row>
    <row r="142" spans="1:14" x14ac:dyDescent="0.25">
      <c r="A142" s="1"/>
      <c r="B142" s="162" t="s">
        <v>116</v>
      </c>
      <c r="C142" s="163">
        <v>23343</v>
      </c>
      <c r="D142" s="163">
        <v>17850</v>
      </c>
      <c r="E142" s="163">
        <v>5591</v>
      </c>
      <c r="F142" s="163">
        <v>23794</v>
      </c>
      <c r="G142" s="163">
        <v>23794</v>
      </c>
      <c r="H142" s="163">
        <v>22158</v>
      </c>
      <c r="I142" s="163">
        <v>22877</v>
      </c>
      <c r="J142" s="165">
        <f t="shared" si="73"/>
        <v>3.2448776965430026E-2</v>
      </c>
      <c r="K142" s="164">
        <f t="shared" si="70"/>
        <v>0.28162464985994395</v>
      </c>
      <c r="L142" s="162">
        <f t="shared" si="71"/>
        <v>719</v>
      </c>
      <c r="M142" s="163">
        <f t="shared" si="72"/>
        <v>5027</v>
      </c>
      <c r="N142" s="164">
        <f t="shared" si="69"/>
        <v>4.7198276706886056E-3</v>
      </c>
    </row>
    <row r="143" spans="1:14" x14ac:dyDescent="0.25">
      <c r="A143" s="1"/>
      <c r="B143" s="162" t="s">
        <v>123</v>
      </c>
      <c r="C143" s="163">
        <v>4353</v>
      </c>
      <c r="D143" s="163">
        <v>3928</v>
      </c>
      <c r="E143" s="163">
        <v>1151</v>
      </c>
      <c r="F143" s="163">
        <v>9497</v>
      </c>
      <c r="G143" s="163">
        <v>9497</v>
      </c>
      <c r="H143" s="163">
        <v>8741</v>
      </c>
      <c r="I143" s="163">
        <v>6113</v>
      </c>
      <c r="J143" s="165">
        <f t="shared" si="73"/>
        <v>-0.30065209930213932</v>
      </c>
      <c r="K143" s="164">
        <f t="shared" si="70"/>
        <v>0.55626272912423635</v>
      </c>
      <c r="L143" s="162">
        <f t="shared" si="71"/>
        <v>-2628</v>
      </c>
      <c r="M143" s="163">
        <f t="shared" si="72"/>
        <v>2185</v>
      </c>
      <c r="N143" s="164">
        <f t="shared" si="69"/>
        <v>1.261192750400815E-3</v>
      </c>
    </row>
    <row r="144" spans="1:14" x14ac:dyDescent="0.25">
      <c r="A144" s="1"/>
      <c r="B144" s="162" t="s">
        <v>119</v>
      </c>
      <c r="C144" s="163">
        <v>4007</v>
      </c>
      <c r="D144" s="163">
        <v>3987</v>
      </c>
      <c r="E144" s="163">
        <v>1867</v>
      </c>
      <c r="F144" s="163">
        <v>4118</v>
      </c>
      <c r="G144" s="163">
        <v>4118</v>
      </c>
      <c r="H144" s="163">
        <v>4790</v>
      </c>
      <c r="I144" s="163">
        <v>5320</v>
      </c>
      <c r="J144" s="165">
        <f t="shared" si="73"/>
        <v>0.11064718162839249</v>
      </c>
      <c r="K144" s="164">
        <f t="shared" si="70"/>
        <v>0.33433659393027337</v>
      </c>
      <c r="L144" s="162">
        <f t="shared" si="71"/>
        <v>530</v>
      </c>
      <c r="M144" s="163">
        <f t="shared" si="72"/>
        <v>1333</v>
      </c>
      <c r="N144" s="164">
        <f t="shared" si="69"/>
        <v>1.0975863622006111E-3</v>
      </c>
    </row>
    <row r="145" spans="1:14" x14ac:dyDescent="0.25">
      <c r="A145" s="1"/>
      <c r="B145" s="162" t="s">
        <v>128</v>
      </c>
      <c r="C145" s="163">
        <v>1778</v>
      </c>
      <c r="D145" s="163">
        <v>1934</v>
      </c>
      <c r="E145" s="163">
        <v>2361</v>
      </c>
      <c r="F145" s="163">
        <v>2451</v>
      </c>
      <c r="G145" s="163">
        <v>2451</v>
      </c>
      <c r="H145" s="163">
        <v>2781</v>
      </c>
      <c r="I145" s="163">
        <v>2573</v>
      </c>
      <c r="J145" s="165">
        <f t="shared" si="73"/>
        <v>-7.4793239841783543E-2</v>
      </c>
      <c r="K145" s="164">
        <f t="shared" si="70"/>
        <v>0.33040330920372285</v>
      </c>
      <c r="L145" s="162">
        <f t="shared" si="71"/>
        <v>-208</v>
      </c>
      <c r="M145" s="163">
        <f t="shared" si="72"/>
        <v>639</v>
      </c>
      <c r="N145" s="164">
        <f t="shared" si="69"/>
        <v>5.3084393044025796E-4</v>
      </c>
    </row>
    <row r="146" spans="1:14" x14ac:dyDescent="0.25">
      <c r="A146" s="161" t="s">
        <v>144</v>
      </c>
      <c r="B146" s="162" t="s">
        <v>131</v>
      </c>
      <c r="C146" s="163">
        <v>8616</v>
      </c>
      <c r="D146" s="163">
        <v>5563</v>
      </c>
      <c r="E146" s="163">
        <v>4703</v>
      </c>
      <c r="F146" s="163">
        <v>1164</v>
      </c>
      <c r="G146" s="163">
        <v>1164</v>
      </c>
      <c r="H146" s="163">
        <v>2087</v>
      </c>
      <c r="I146" s="163">
        <v>1892</v>
      </c>
      <c r="J146" s="165">
        <f t="shared" si="73"/>
        <v>-9.3435553425970319E-2</v>
      </c>
      <c r="K146" s="164">
        <f t="shared" si="70"/>
        <v>-0.65989573970879023</v>
      </c>
      <c r="L146" s="162">
        <f t="shared" si="71"/>
        <v>-195</v>
      </c>
      <c r="M146" s="163">
        <f t="shared" si="72"/>
        <v>-3671</v>
      </c>
      <c r="N146" s="164">
        <f t="shared" si="69"/>
        <v>3.9034462354954066E-4</v>
      </c>
    </row>
    <row r="147" spans="1:14" x14ac:dyDescent="0.25">
      <c r="A147" s="167" t="s">
        <v>145</v>
      </c>
      <c r="B147" s="168" t="s">
        <v>145</v>
      </c>
      <c r="C147" s="169">
        <f t="shared" ref="C147:I147" si="74">C139-SUM(C140:C146)</f>
        <v>42243</v>
      </c>
      <c r="D147" s="169">
        <f t="shared" si="74"/>
        <v>46442</v>
      </c>
      <c r="E147" s="169">
        <f t="shared" si="74"/>
        <v>20976</v>
      </c>
      <c r="F147" s="169">
        <f t="shared" ref="F147" si="75">F139-SUM(F140:F146)</f>
        <v>58445</v>
      </c>
      <c r="G147" s="169">
        <f t="shared" si="74"/>
        <v>58445</v>
      </c>
      <c r="H147" s="169">
        <f t="shared" si="74"/>
        <v>64209</v>
      </c>
      <c r="I147" s="169">
        <f t="shared" si="74"/>
        <v>68483</v>
      </c>
      <c r="J147" s="171">
        <f t="shared" si="73"/>
        <v>6.6563877338067901E-2</v>
      </c>
      <c r="K147" s="170">
        <f t="shared" si="70"/>
        <v>0.47459196417036309</v>
      </c>
      <c r="L147" s="168">
        <f>I147-H147</f>
        <v>4274</v>
      </c>
      <c r="M147" s="169">
        <f t="shared" si="72"/>
        <v>22041</v>
      </c>
      <c r="N147" s="170">
        <f t="shared" si="69"/>
        <v>1.4128948654621137E-2</v>
      </c>
    </row>
    <row r="148" spans="1:14" x14ac:dyDescent="0.25">
      <c r="A148" s="1"/>
      <c r="B148" s="153" t="s">
        <v>53</v>
      </c>
      <c r="C148" s="151"/>
      <c r="D148" s="151"/>
      <c r="E148" s="151"/>
      <c r="F148" s="151"/>
      <c r="G148" s="151"/>
      <c r="H148" s="151"/>
      <c r="I148" s="152"/>
      <c r="J148" s="152"/>
      <c r="K148" s="152"/>
      <c r="L148" s="152"/>
      <c r="M148" s="151"/>
      <c r="N148" s="151"/>
    </row>
    <row r="149" spans="1:14" x14ac:dyDescent="0.25">
      <c r="A149" s="1"/>
      <c r="B149" s="154" t="s">
        <v>68</v>
      </c>
      <c r="C149" s="176">
        <v>111310</v>
      </c>
      <c r="D149" s="176">
        <v>109315</v>
      </c>
      <c r="E149" s="176">
        <v>38350</v>
      </c>
      <c r="F149" s="176">
        <v>92850</v>
      </c>
      <c r="G149" s="176">
        <v>92850</v>
      </c>
      <c r="H149" s="176">
        <v>105659</v>
      </c>
      <c r="I149" s="176">
        <v>108484</v>
      </c>
      <c r="J149" s="177">
        <f>IFERROR(I149/H149-1,"-")</f>
        <v>2.6736955678172247E-2</v>
      </c>
      <c r="K149" s="177">
        <f>IFERROR(I149/D149-1,"-")</f>
        <v>-7.6018844623336745E-3</v>
      </c>
      <c r="L149" s="176">
        <f>I149-H149</f>
        <v>2825</v>
      </c>
      <c r="M149" s="176">
        <f>I149-D149</f>
        <v>-831</v>
      </c>
      <c r="N149" s="177">
        <f t="shared" ref="N149:N161" si="76">I149/I$9</f>
        <v>2.2381684006949454E-2</v>
      </c>
    </row>
    <row r="150" spans="1:14" x14ac:dyDescent="0.25">
      <c r="A150" s="1" t="s">
        <v>96</v>
      </c>
      <c r="B150" s="157" t="s">
        <v>97</v>
      </c>
      <c r="C150" s="158">
        <v>44432</v>
      </c>
      <c r="D150" s="158">
        <v>47136</v>
      </c>
      <c r="E150" s="158">
        <v>16178</v>
      </c>
      <c r="F150" s="158">
        <v>48454</v>
      </c>
      <c r="G150" s="158">
        <v>48454</v>
      </c>
      <c r="H150" s="158">
        <v>52723</v>
      </c>
      <c r="I150" s="158">
        <v>47704</v>
      </c>
      <c r="J150" s="160">
        <f>IFERROR(I150/H150-1,"-")</f>
        <v>-9.5195645164349529E-2</v>
      </c>
      <c r="K150" s="159">
        <f t="shared" ref="K150:K161" si="77">IFERROR(I150/D150-1,"-")</f>
        <v>1.2050237610319092E-2</v>
      </c>
      <c r="L150" s="157">
        <f t="shared" ref="L150:L160" si="78">I150-H150</f>
        <v>-5019</v>
      </c>
      <c r="M150" s="158">
        <f t="shared" ref="M150:M161" si="79">I150-D150</f>
        <v>568</v>
      </c>
      <c r="N150" s="159">
        <f t="shared" si="76"/>
        <v>9.8419661320334507E-3</v>
      </c>
    </row>
    <row r="151" spans="1:14" x14ac:dyDescent="0.25">
      <c r="A151" s="161" t="s">
        <v>103</v>
      </c>
      <c r="B151" s="162" t="s">
        <v>103</v>
      </c>
      <c r="C151" s="163">
        <v>25843</v>
      </c>
      <c r="D151" s="163">
        <v>27134</v>
      </c>
      <c r="E151" s="163">
        <v>8640</v>
      </c>
      <c r="F151" s="163">
        <v>34235</v>
      </c>
      <c r="G151" s="163">
        <v>34235</v>
      </c>
      <c r="H151" s="163">
        <v>37827</v>
      </c>
      <c r="I151" s="163">
        <v>31702</v>
      </c>
      <c r="J151" s="165">
        <f>IFERROR(I151/H151-1,"-")</f>
        <v>-0.16192137890924474</v>
      </c>
      <c r="K151" s="164">
        <f t="shared" si="77"/>
        <v>0.16834967199823092</v>
      </c>
      <c r="L151" s="162">
        <f t="shared" si="78"/>
        <v>-6125</v>
      </c>
      <c r="M151" s="163">
        <f t="shared" si="79"/>
        <v>4568</v>
      </c>
      <c r="N151" s="164">
        <f t="shared" si="76"/>
        <v>6.5405418899405592E-3</v>
      </c>
    </row>
    <row r="152" spans="1:14" x14ac:dyDescent="0.25">
      <c r="A152" s="161" t="s">
        <v>100</v>
      </c>
      <c r="B152" s="162" t="s">
        <v>100</v>
      </c>
      <c r="C152" s="163">
        <v>18589</v>
      </c>
      <c r="D152" s="163">
        <v>20002</v>
      </c>
      <c r="E152" s="163">
        <v>7538</v>
      </c>
      <c r="F152" s="163">
        <v>14219</v>
      </c>
      <c r="G152" s="163">
        <v>14219</v>
      </c>
      <c r="H152" s="163">
        <v>14896</v>
      </c>
      <c r="I152" s="163">
        <v>16002</v>
      </c>
      <c r="J152" s="165">
        <f>IFERROR(I152/H152-1,"-")</f>
        <v>7.4248120300751896E-2</v>
      </c>
      <c r="K152" s="164">
        <f t="shared" si="77"/>
        <v>-0.19998000199980004</v>
      </c>
      <c r="L152" s="162">
        <f t="shared" si="78"/>
        <v>1106</v>
      </c>
      <c r="M152" s="163">
        <f t="shared" si="79"/>
        <v>-4000</v>
      </c>
      <c r="N152" s="164">
        <f t="shared" si="76"/>
        <v>3.3014242420928907E-3</v>
      </c>
    </row>
    <row r="153" spans="1:14" x14ac:dyDescent="0.25">
      <c r="A153" s="1"/>
      <c r="B153" s="157" t="s">
        <v>107</v>
      </c>
      <c r="C153" s="158">
        <v>66878</v>
      </c>
      <c r="D153" s="158">
        <v>62179</v>
      </c>
      <c r="E153" s="158">
        <v>22172</v>
      </c>
      <c r="F153" s="158">
        <v>44396</v>
      </c>
      <c r="G153" s="158">
        <v>44396</v>
      </c>
      <c r="H153" s="158">
        <v>52936</v>
      </c>
      <c r="I153" s="158">
        <v>60780</v>
      </c>
      <c r="J153" s="160">
        <f>IFERROR(I153/H153-1,"-")</f>
        <v>0.14817893305123175</v>
      </c>
      <c r="K153" s="159">
        <f t="shared" si="77"/>
        <v>-2.2499557728493547E-2</v>
      </c>
      <c r="L153" s="157">
        <f t="shared" si="78"/>
        <v>7844</v>
      </c>
      <c r="M153" s="158">
        <f t="shared" si="79"/>
        <v>-1399</v>
      </c>
      <c r="N153" s="159">
        <f t="shared" si="76"/>
        <v>1.2539717874916005E-2</v>
      </c>
    </row>
    <row r="154" spans="1:14" s="56" customFormat="1" x14ac:dyDescent="0.25">
      <c r="B154" s="162" t="s">
        <v>110</v>
      </c>
      <c r="C154" s="163">
        <v>20117</v>
      </c>
      <c r="D154" s="163">
        <v>18658</v>
      </c>
      <c r="E154" s="163">
        <v>5936</v>
      </c>
      <c r="F154" s="163">
        <v>16156</v>
      </c>
      <c r="G154" s="163">
        <v>16156</v>
      </c>
      <c r="H154" s="163">
        <v>17447</v>
      </c>
      <c r="I154" s="163">
        <v>18480</v>
      </c>
      <c r="J154" s="165">
        <f t="shared" ref="J154:J161" si="80">IFERROR(I154/H154-1,"-")</f>
        <v>5.9207886742706384E-2</v>
      </c>
      <c r="K154" s="164">
        <f t="shared" si="77"/>
        <v>-9.5401436381177263E-3</v>
      </c>
      <c r="L154" s="162">
        <f t="shared" si="78"/>
        <v>1033</v>
      </c>
      <c r="M154" s="163">
        <f t="shared" si="79"/>
        <v>-178</v>
      </c>
      <c r="N154" s="164">
        <f t="shared" si="76"/>
        <v>3.8126684160652807E-3</v>
      </c>
    </row>
    <row r="155" spans="1:14" s="56" customFormat="1" x14ac:dyDescent="0.25">
      <c r="B155" s="162" t="s">
        <v>113</v>
      </c>
      <c r="C155" s="163">
        <v>21016</v>
      </c>
      <c r="D155" s="163">
        <v>16816</v>
      </c>
      <c r="E155" s="163">
        <v>6116</v>
      </c>
      <c r="F155" s="163">
        <v>9550</v>
      </c>
      <c r="G155" s="163">
        <v>9550</v>
      </c>
      <c r="H155" s="163">
        <v>10292</v>
      </c>
      <c r="I155" s="163">
        <v>10773</v>
      </c>
      <c r="J155" s="165">
        <f t="shared" si="80"/>
        <v>4.6735328410415944E-2</v>
      </c>
      <c r="K155" s="164">
        <f t="shared" si="77"/>
        <v>-0.35936013320646998</v>
      </c>
      <c r="L155" s="162">
        <f t="shared" si="78"/>
        <v>481</v>
      </c>
      <c r="M155" s="163">
        <f t="shared" si="79"/>
        <v>-6043</v>
      </c>
      <c r="N155" s="164">
        <f t="shared" si="76"/>
        <v>2.2226123834562374E-3</v>
      </c>
    </row>
    <row r="156" spans="1:14" x14ac:dyDescent="0.25">
      <c r="A156" s="1"/>
      <c r="B156" s="162" t="s">
        <v>116</v>
      </c>
      <c r="C156" s="163">
        <v>9672</v>
      </c>
      <c r="D156" s="163">
        <v>8867</v>
      </c>
      <c r="E156" s="163">
        <v>2354</v>
      </c>
      <c r="F156" s="163">
        <v>5273</v>
      </c>
      <c r="G156" s="163">
        <v>5273</v>
      </c>
      <c r="H156" s="163">
        <v>8406</v>
      </c>
      <c r="I156" s="163">
        <v>10130</v>
      </c>
      <c r="J156" s="165">
        <f t="shared" si="80"/>
        <v>0.20509160123721148</v>
      </c>
      <c r="K156" s="164">
        <f t="shared" si="77"/>
        <v>0.14243825420096989</v>
      </c>
      <c r="L156" s="162">
        <f t="shared" si="78"/>
        <v>1724</v>
      </c>
      <c r="M156" s="163">
        <f t="shared" si="79"/>
        <v>1263</v>
      </c>
      <c r="N156" s="164">
        <f t="shared" si="76"/>
        <v>2.0899529791526673E-3</v>
      </c>
    </row>
    <row r="157" spans="1:14" x14ac:dyDescent="0.25">
      <c r="A157" s="1"/>
      <c r="B157" s="162" t="s">
        <v>123</v>
      </c>
      <c r="C157" s="163">
        <v>1156</v>
      </c>
      <c r="D157" s="163">
        <v>1233</v>
      </c>
      <c r="E157" s="163">
        <v>642</v>
      </c>
      <c r="F157" s="163">
        <v>1262</v>
      </c>
      <c r="G157" s="163">
        <v>1262</v>
      </c>
      <c r="H157" s="163">
        <v>1597</v>
      </c>
      <c r="I157" s="163">
        <v>2312</v>
      </c>
      <c r="J157" s="165">
        <f t="shared" si="80"/>
        <v>0.4477144646211646</v>
      </c>
      <c r="K157" s="164">
        <f t="shared" si="77"/>
        <v>0.87510137875101379</v>
      </c>
      <c r="L157" s="162">
        <f t="shared" si="78"/>
        <v>715</v>
      </c>
      <c r="M157" s="163">
        <f t="shared" si="79"/>
        <v>1079</v>
      </c>
      <c r="N157" s="164">
        <f t="shared" si="76"/>
        <v>4.7699617846011521E-4</v>
      </c>
    </row>
    <row r="158" spans="1:14" x14ac:dyDescent="0.25">
      <c r="A158" s="1"/>
      <c r="B158" s="162" t="s">
        <v>119</v>
      </c>
      <c r="C158" s="163">
        <v>2012</v>
      </c>
      <c r="D158" s="163">
        <v>2725</v>
      </c>
      <c r="E158" s="163">
        <v>1375</v>
      </c>
      <c r="F158" s="163">
        <v>2958</v>
      </c>
      <c r="G158" s="163">
        <v>2958</v>
      </c>
      <c r="H158" s="163">
        <v>2751</v>
      </c>
      <c r="I158" s="163">
        <v>3237</v>
      </c>
      <c r="J158" s="165">
        <f t="shared" si="80"/>
        <v>0.17666303162486363</v>
      </c>
      <c r="K158" s="164">
        <f t="shared" si="77"/>
        <v>0.18788990825688079</v>
      </c>
      <c r="L158" s="162">
        <f t="shared" si="78"/>
        <v>486</v>
      </c>
      <c r="M158" s="163">
        <f t="shared" si="79"/>
        <v>512</v>
      </c>
      <c r="N158" s="164">
        <f t="shared" si="76"/>
        <v>6.6783591248935684E-4</v>
      </c>
    </row>
    <row r="159" spans="1:14" x14ac:dyDescent="0.25">
      <c r="A159" s="1"/>
      <c r="B159" s="162" t="s">
        <v>128</v>
      </c>
      <c r="C159" s="163">
        <v>332</v>
      </c>
      <c r="D159" s="163">
        <v>437</v>
      </c>
      <c r="E159" s="163">
        <v>440</v>
      </c>
      <c r="F159" s="163">
        <v>335</v>
      </c>
      <c r="G159" s="163">
        <v>335</v>
      </c>
      <c r="H159" s="163">
        <v>523</v>
      </c>
      <c r="I159" s="163">
        <v>383</v>
      </c>
      <c r="J159" s="165">
        <f t="shared" si="80"/>
        <v>-0.26768642447418733</v>
      </c>
      <c r="K159" s="164">
        <f t="shared" si="77"/>
        <v>-0.1235697940503433</v>
      </c>
      <c r="L159" s="162">
        <f t="shared" si="78"/>
        <v>-140</v>
      </c>
      <c r="M159" s="163">
        <f t="shared" si="79"/>
        <v>-54</v>
      </c>
      <c r="N159" s="164">
        <f t="shared" si="76"/>
        <v>7.9017965549404894E-5</v>
      </c>
    </row>
    <row r="160" spans="1:14" x14ac:dyDescent="0.25">
      <c r="A160" s="161" t="s">
        <v>144</v>
      </c>
      <c r="B160" s="162" t="s">
        <v>131</v>
      </c>
      <c r="C160" s="163">
        <v>944</v>
      </c>
      <c r="D160" s="163">
        <v>843</v>
      </c>
      <c r="E160" s="163">
        <v>575</v>
      </c>
      <c r="F160" s="163">
        <v>528</v>
      </c>
      <c r="G160" s="163">
        <v>528</v>
      </c>
      <c r="H160" s="163">
        <v>715</v>
      </c>
      <c r="I160" s="163">
        <v>621</v>
      </c>
      <c r="J160" s="165">
        <f t="shared" si="80"/>
        <v>-0.13146853146853144</v>
      </c>
      <c r="K160" s="164">
        <f t="shared" si="77"/>
        <v>-0.26334519572953741</v>
      </c>
      <c r="L160" s="162">
        <f t="shared" si="78"/>
        <v>-94</v>
      </c>
      <c r="M160" s="163">
        <f t="shared" si="79"/>
        <v>-222</v>
      </c>
      <c r="N160" s="164">
        <f t="shared" si="76"/>
        <v>1.2812051333206383E-4</v>
      </c>
    </row>
    <row r="161" spans="1:14" x14ac:dyDescent="0.25">
      <c r="A161" s="167" t="s">
        <v>145</v>
      </c>
      <c r="B161" s="168" t="s">
        <v>145</v>
      </c>
      <c r="C161" s="169">
        <f t="shared" ref="C161:I161" si="81">C153-SUM(C154:C160)</f>
        <v>11629</v>
      </c>
      <c r="D161" s="169">
        <f t="shared" si="81"/>
        <v>12600</v>
      </c>
      <c r="E161" s="169">
        <f t="shared" si="81"/>
        <v>4734</v>
      </c>
      <c r="F161" s="169">
        <f t="shared" ref="F161" si="82">F153-SUM(F154:F160)</f>
        <v>8334</v>
      </c>
      <c r="G161" s="169">
        <f t="shared" si="81"/>
        <v>8334</v>
      </c>
      <c r="H161" s="169">
        <f t="shared" si="81"/>
        <v>11205</v>
      </c>
      <c r="I161" s="169">
        <f t="shared" si="81"/>
        <v>14844</v>
      </c>
      <c r="J161" s="171">
        <f t="shared" si="80"/>
        <v>0.3247657295850066</v>
      </c>
      <c r="K161" s="170">
        <f t="shared" si="77"/>
        <v>0.17809523809523808</v>
      </c>
      <c r="L161" s="168">
        <f>I161-H161</f>
        <v>3639</v>
      </c>
      <c r="M161" s="169">
        <f t="shared" si="79"/>
        <v>2244</v>
      </c>
      <c r="N161" s="170">
        <f t="shared" si="76"/>
        <v>3.0625135264108782E-3</v>
      </c>
    </row>
    <row r="162" spans="1:14" ht="6" customHeight="1" x14ac:dyDescent="0.25">
      <c r="C162" s="79"/>
      <c r="D162" s="79"/>
      <c r="E162" s="79"/>
      <c r="F162" s="79"/>
      <c r="G162" s="79"/>
      <c r="H162" s="79"/>
      <c r="I162" s="79"/>
      <c r="J162" s="79"/>
    </row>
    <row r="163" spans="1:14" x14ac:dyDescent="0.25">
      <c r="B163" s="105" t="s">
        <v>55</v>
      </c>
      <c r="C163" s="105"/>
      <c r="D163" s="105"/>
      <c r="E163" s="105"/>
      <c r="F163" s="105"/>
      <c r="G163" s="105"/>
      <c r="H163" s="105"/>
      <c r="I163" s="105"/>
      <c r="J163" s="105"/>
      <c r="K163" s="105"/>
      <c r="L163" s="105"/>
      <c r="M163" s="105"/>
      <c r="N163" s="105"/>
    </row>
  </sheetData>
  <mergeCells count="3">
    <mergeCell ref="B4:N4"/>
    <mergeCell ref="Q4:AB4"/>
    <mergeCell ref="C6:N6"/>
  </mergeCells>
  <pageMargins left="0.25" right="0.25" top="0.75" bottom="0.75" header="0.3" footer="0.3"/>
  <pageSetup paperSize="9" scale="20" orientation="landscape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B9540C-EAE2-4CCC-B299-1B2265D308C1}">
  <sheetPr>
    <tabColor rgb="FFBB5C0D"/>
  </sheetPr>
  <dimension ref="A4:A24"/>
  <sheetViews>
    <sheetView showGridLines="0" workbookViewId="0">
      <selection activeCell="E21" sqref="E21"/>
    </sheetView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B4A670-E1D6-44E8-99F7-F92701E89184}">
  <sheetPr>
    <tabColor rgb="FFF29140"/>
  </sheetPr>
  <dimension ref="A4:P270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  <col min="15" max="15" width="11.140625" customWidth="1"/>
  </cols>
  <sheetData>
    <row r="4" spans="1:16" ht="48.75" customHeight="1" thickBot="1" x14ac:dyDescent="0.3">
      <c r="B4" s="270" t="s">
        <v>271</v>
      </c>
      <c r="C4" s="270"/>
      <c r="D4" s="270"/>
      <c r="E4" s="270"/>
      <c r="F4" s="270"/>
      <c r="G4" s="270"/>
      <c r="H4" s="270"/>
      <c r="I4" s="270"/>
      <c r="J4" s="270"/>
      <c r="K4" s="270"/>
      <c r="L4" s="270"/>
      <c r="M4" s="270"/>
      <c r="N4" s="270"/>
      <c r="O4" s="270"/>
      <c r="P4" s="1" t="s">
        <v>66</v>
      </c>
    </row>
    <row r="5" spans="1:16" ht="10.5" customHeight="1" thickBot="1" x14ac:dyDescent="0.3">
      <c r="B5" s="106"/>
      <c r="C5" s="107"/>
      <c r="D5" s="106"/>
      <c r="E5" s="106"/>
      <c r="F5" s="106"/>
      <c r="G5" s="106"/>
      <c r="H5" s="106"/>
      <c r="I5" s="106"/>
      <c r="J5" s="106"/>
      <c r="K5" s="106"/>
      <c r="L5" s="106"/>
      <c r="M5" s="4"/>
      <c r="N5" s="4"/>
      <c r="P5" s="1" t="s">
        <v>67</v>
      </c>
    </row>
    <row r="6" spans="1:16" ht="22.5" thickTop="1" thickBot="1" x14ac:dyDescent="0.3">
      <c r="B6" s="108" t="s">
        <v>30</v>
      </c>
      <c r="C6" s="292" t="s">
        <v>68</v>
      </c>
      <c r="D6" s="293"/>
      <c r="E6" s="293"/>
      <c r="F6" s="293"/>
      <c r="G6" s="293"/>
      <c r="H6" s="293"/>
      <c r="I6" s="293"/>
      <c r="J6" s="293"/>
      <c r="K6" s="293"/>
      <c r="L6" s="293"/>
      <c r="M6" s="293"/>
      <c r="N6" s="293"/>
      <c r="O6" s="294"/>
    </row>
    <row r="7" spans="1:16" ht="22.5" thickTop="1" thickBot="1" x14ac:dyDescent="0.3">
      <c r="B7" s="109"/>
      <c r="C7" s="295">
        <v>2019</v>
      </c>
      <c r="D7" s="296"/>
      <c r="E7" s="297">
        <v>2020</v>
      </c>
      <c r="F7" s="296"/>
      <c r="G7" s="297">
        <v>2021</v>
      </c>
      <c r="H7" s="296"/>
      <c r="I7" s="297">
        <v>2022</v>
      </c>
      <c r="J7" s="296"/>
      <c r="K7" s="297">
        <v>2023</v>
      </c>
      <c r="L7" s="296"/>
      <c r="M7" s="297">
        <v>2024</v>
      </c>
      <c r="N7" s="298"/>
      <c r="O7" s="299"/>
    </row>
    <row r="8" spans="1:16" ht="16.5" thickTop="1" thickBot="1" x14ac:dyDescent="0.3">
      <c r="B8" s="85"/>
      <c r="C8" s="111" t="s">
        <v>69</v>
      </c>
      <c r="D8" s="112" t="str">
        <f>CONCATENATE("var ",RIGHT(C7,2),"/",RIGHT(C7-1,2))</f>
        <v>var 19/18</v>
      </c>
      <c r="E8" s="113" t="s">
        <v>69</v>
      </c>
      <c r="F8" s="112" t="str">
        <f>CONCATENATE("var ",RIGHT(E7,2),"/",RIGHT(C7,2))</f>
        <v>var 20/19</v>
      </c>
      <c r="G8" s="113" t="s">
        <v>69</v>
      </c>
      <c r="H8" s="112" t="str">
        <f>CONCATENATE("var ",RIGHT(G7,2),"/",RIGHT(E7,2))</f>
        <v>var 21/20</v>
      </c>
      <c r="I8" s="113" t="s">
        <v>69</v>
      </c>
      <c r="J8" s="112" t="str">
        <f>CONCATENATE("var ",RIGHT(I7,2),"/",RIGHT(G7,2))</f>
        <v>var 22/21</v>
      </c>
      <c r="K8" s="113" t="s">
        <v>69</v>
      </c>
      <c r="L8" s="112" t="str">
        <f>CONCATENATE("var ",RIGHT(K7,2),"/",RIGHT(I7,2))</f>
        <v>var 23/22</v>
      </c>
      <c r="M8" s="113" t="s">
        <v>69</v>
      </c>
      <c r="N8" s="112" t="s">
        <v>273</v>
      </c>
      <c r="O8" s="112" t="s">
        <v>274</v>
      </c>
    </row>
    <row r="9" spans="1:16" x14ac:dyDescent="0.25">
      <c r="A9" s="1" t="s">
        <v>70</v>
      </c>
      <c r="B9" s="114" t="s">
        <v>71</v>
      </c>
      <c r="C9" s="115">
        <v>12429</v>
      </c>
      <c r="D9" s="116">
        <v>-8.3136618471525536E-2</v>
      </c>
      <c r="E9" s="115">
        <v>13603</v>
      </c>
      <c r="F9" s="116">
        <f t="shared" ref="F9:F21" si="0">IFERROR(E9/C9-1,"-")</f>
        <v>9.4456512993804864E-2</v>
      </c>
      <c r="G9" s="115">
        <v>2763</v>
      </c>
      <c r="H9" s="116">
        <f t="shared" ref="H9:H21" si="1">IFERROR(G9/E9-1,"-")</f>
        <v>-0.79688304050577075</v>
      </c>
      <c r="I9" s="115">
        <v>11400</v>
      </c>
      <c r="J9" s="116">
        <f t="shared" ref="J9:J21" si="2">IFERROR(I9/C9-1,"-")</f>
        <v>-8.2790248612116812E-2</v>
      </c>
      <c r="K9" s="115">
        <v>14353</v>
      </c>
      <c r="L9" s="116">
        <f t="shared" ref="L9:L21" si="3">IFERROR(K9/I9-1,"-")</f>
        <v>0.25903508771929817</v>
      </c>
      <c r="M9" s="115">
        <v>14581</v>
      </c>
      <c r="N9" s="116">
        <v>1.5885180798439258E-2</v>
      </c>
      <c r="O9" s="116">
        <v>0.17314345482339699</v>
      </c>
    </row>
    <row r="10" spans="1:16" x14ac:dyDescent="0.25">
      <c r="A10" s="1" t="s">
        <v>72</v>
      </c>
      <c r="B10" s="114" t="s">
        <v>73</v>
      </c>
      <c r="C10" s="115">
        <v>13453</v>
      </c>
      <c r="D10" s="116">
        <v>1.5320754716981133E-2</v>
      </c>
      <c r="E10" s="115">
        <v>14342</v>
      </c>
      <c r="F10" s="116">
        <f t="shared" si="0"/>
        <v>6.6081914814539511E-2</v>
      </c>
      <c r="G10" s="115">
        <v>3097</v>
      </c>
      <c r="H10" s="116">
        <f t="shared" si="1"/>
        <v>-0.78406080044624182</v>
      </c>
      <c r="I10" s="115">
        <v>11383</v>
      </c>
      <c r="J10" s="116">
        <f t="shared" si="2"/>
        <v>-0.15386902549617187</v>
      </c>
      <c r="K10" s="115">
        <v>14251</v>
      </c>
      <c r="L10" s="116">
        <f t="shared" si="3"/>
        <v>0.25195466924360899</v>
      </c>
      <c r="M10" s="115">
        <v>15138</v>
      </c>
      <c r="N10" s="116">
        <v>6.2241246228334823E-2</v>
      </c>
      <c r="O10" s="116">
        <v>0.12525087341113506</v>
      </c>
    </row>
    <row r="11" spans="1:16" x14ac:dyDescent="0.25">
      <c r="A11" s="1" t="s">
        <v>74</v>
      </c>
      <c r="B11" s="114" t="s">
        <v>75</v>
      </c>
      <c r="C11" s="115">
        <v>13930</v>
      </c>
      <c r="D11" s="116">
        <v>-6.3025492701957342E-2</v>
      </c>
      <c r="E11" s="115">
        <v>5714</v>
      </c>
      <c r="F11" s="116">
        <f t="shared" si="0"/>
        <v>-0.58980617372577171</v>
      </c>
      <c r="G11" s="115">
        <v>4959</v>
      </c>
      <c r="H11" s="116">
        <f t="shared" si="1"/>
        <v>-0.13213160658032896</v>
      </c>
      <c r="I11" s="115">
        <v>12710</v>
      </c>
      <c r="J11" s="116">
        <f t="shared" si="2"/>
        <v>-8.7580760947595149E-2</v>
      </c>
      <c r="K11" s="115">
        <v>15603</v>
      </c>
      <c r="L11" s="116">
        <f t="shared" si="3"/>
        <v>0.22761605035405186</v>
      </c>
      <c r="M11" s="115">
        <v>15292</v>
      </c>
      <c r="N11" s="116">
        <v>-1.9932064346599998E-2</v>
      </c>
      <c r="O11" s="116">
        <v>9.7774587221823417E-2</v>
      </c>
    </row>
    <row r="12" spans="1:16" x14ac:dyDescent="0.25">
      <c r="A12" s="1" t="s">
        <v>76</v>
      </c>
      <c r="B12" s="114" t="s">
        <v>77</v>
      </c>
      <c r="C12" s="115">
        <v>12265</v>
      </c>
      <c r="D12" s="116">
        <v>6.0160774483533519E-2</v>
      </c>
      <c r="E12" s="115">
        <v>0</v>
      </c>
      <c r="F12" s="116">
        <f>IFERROR(E12/C12-1,"-")</f>
        <v>-1</v>
      </c>
      <c r="G12" s="115">
        <v>4088</v>
      </c>
      <c r="H12" s="116" t="str">
        <f t="shared" si="1"/>
        <v>-</v>
      </c>
      <c r="I12" s="115">
        <v>12193</v>
      </c>
      <c r="J12" s="116">
        <f t="shared" si="2"/>
        <v>-5.8703628210354797E-3</v>
      </c>
      <c r="K12" s="115">
        <v>12703</v>
      </c>
      <c r="L12" s="116">
        <f t="shared" si="3"/>
        <v>4.1827277946362651E-2</v>
      </c>
      <c r="M12" s="115">
        <v>13439</v>
      </c>
      <c r="N12" s="116">
        <v>5.793906951113903E-2</v>
      </c>
      <c r="O12" s="116">
        <v>9.5719527109661584E-2</v>
      </c>
    </row>
    <row r="13" spans="1:16" x14ac:dyDescent="0.25">
      <c r="A13" s="1" t="s">
        <v>78</v>
      </c>
      <c r="B13" s="114" t="s">
        <v>79</v>
      </c>
      <c r="C13" s="115">
        <v>11342</v>
      </c>
      <c r="D13" s="116">
        <v>0.10127196815224782</v>
      </c>
      <c r="E13" s="115">
        <v>0</v>
      </c>
      <c r="F13" s="116">
        <f t="shared" si="0"/>
        <v>-1</v>
      </c>
      <c r="G13" s="115">
        <v>5644</v>
      </c>
      <c r="H13" s="116" t="str">
        <f t="shared" si="1"/>
        <v>-</v>
      </c>
      <c r="I13" s="115">
        <v>10085</v>
      </c>
      <c r="J13" s="116">
        <f t="shared" si="2"/>
        <v>-0.11082701463586664</v>
      </c>
      <c r="K13" s="115">
        <v>12793</v>
      </c>
      <c r="L13" s="116">
        <f t="shared" si="3"/>
        <v>0.26851760039662875</v>
      </c>
      <c r="M13" s="115">
        <v>12513</v>
      </c>
      <c r="N13" s="116">
        <v>-2.1886969436410553E-2</v>
      </c>
      <c r="O13" s="116">
        <v>0.10324457767589501</v>
      </c>
    </row>
    <row r="14" spans="1:16" x14ac:dyDescent="0.25">
      <c r="A14" s="1" t="s">
        <v>80</v>
      </c>
      <c r="B14" s="114" t="s">
        <v>81</v>
      </c>
      <c r="C14" s="115">
        <v>8525</v>
      </c>
      <c r="D14" s="116">
        <v>-6.1536767943637161E-2</v>
      </c>
      <c r="E14" s="115">
        <v>0</v>
      </c>
      <c r="F14" s="116">
        <f t="shared" si="0"/>
        <v>-1</v>
      </c>
      <c r="G14" s="115">
        <v>5487</v>
      </c>
      <c r="H14" s="116" t="str">
        <f t="shared" si="1"/>
        <v>-</v>
      </c>
      <c r="I14" s="115">
        <v>11277</v>
      </c>
      <c r="J14" s="116">
        <f t="shared" si="2"/>
        <v>0.32281524926686211</v>
      </c>
      <c r="K14" s="115">
        <v>10373</v>
      </c>
      <c r="L14" s="116">
        <f t="shared" si="3"/>
        <v>-8.0163163962046591E-2</v>
      </c>
      <c r="M14" s="115">
        <v>10115</v>
      </c>
      <c r="N14" s="116">
        <v>-2.4872264532922017E-2</v>
      </c>
      <c r="O14" s="116">
        <v>0.18651026392961878</v>
      </c>
    </row>
    <row r="15" spans="1:16" x14ac:dyDescent="0.25">
      <c r="A15" s="1" t="s">
        <v>82</v>
      </c>
      <c r="B15" s="114" t="s">
        <v>83</v>
      </c>
      <c r="C15" s="115">
        <v>9185</v>
      </c>
      <c r="D15" s="116">
        <v>1.3014227418109536E-2</v>
      </c>
      <c r="E15" s="115">
        <v>0</v>
      </c>
      <c r="F15" s="116">
        <f t="shared" si="0"/>
        <v>-1</v>
      </c>
      <c r="G15" s="115">
        <v>5672</v>
      </c>
      <c r="H15" s="116" t="str">
        <f t="shared" si="1"/>
        <v>-</v>
      </c>
      <c r="I15" s="115">
        <v>10710</v>
      </c>
      <c r="J15" s="116">
        <f t="shared" si="2"/>
        <v>0.16603157321720197</v>
      </c>
      <c r="K15" s="115">
        <v>9594</v>
      </c>
      <c r="L15" s="116">
        <f t="shared" si="3"/>
        <v>-0.10420168067226887</v>
      </c>
      <c r="M15" s="115">
        <v>10140</v>
      </c>
      <c r="N15" s="116">
        <v>5.6910569105691033E-2</v>
      </c>
      <c r="O15" s="116">
        <v>0.10397387044093631</v>
      </c>
    </row>
    <row r="16" spans="1:16" x14ac:dyDescent="0.25">
      <c r="A16" s="1" t="s">
        <v>84</v>
      </c>
      <c r="B16" s="114" t="s">
        <v>85</v>
      </c>
      <c r="C16" s="115">
        <v>9176</v>
      </c>
      <c r="D16" s="116">
        <v>-4.4483020505587945E-3</v>
      </c>
      <c r="E16" s="115">
        <v>6941</v>
      </c>
      <c r="F16" s="116">
        <f t="shared" si="0"/>
        <v>-0.24357018308631206</v>
      </c>
      <c r="G16" s="115">
        <v>8587</v>
      </c>
      <c r="H16" s="116">
        <f t="shared" si="1"/>
        <v>0.23714162224463342</v>
      </c>
      <c r="I16" s="115">
        <v>10270</v>
      </c>
      <c r="J16" s="116">
        <f t="shared" si="2"/>
        <v>0.1192240627724499</v>
      </c>
      <c r="K16" s="115">
        <v>11871</v>
      </c>
      <c r="L16" s="116">
        <f t="shared" si="3"/>
        <v>0.15589094449853946</v>
      </c>
      <c r="M16" s="115">
        <v>9259</v>
      </c>
      <c r="N16" s="116">
        <v>-0.22003201078257939</v>
      </c>
      <c r="O16" s="116">
        <v>9.045335658238951E-3</v>
      </c>
    </row>
    <row r="17" spans="1:16" x14ac:dyDescent="0.25">
      <c r="A17" s="1" t="s">
        <v>86</v>
      </c>
      <c r="B17" s="114" t="s">
        <v>87</v>
      </c>
      <c r="C17" s="115">
        <v>8003</v>
      </c>
      <c r="D17" s="116">
        <v>-0.2460668864813943</v>
      </c>
      <c r="E17" s="115">
        <v>3767</v>
      </c>
      <c r="F17" s="116">
        <f t="shared" si="0"/>
        <v>-0.5293015119330251</v>
      </c>
      <c r="G17" s="115">
        <v>9600</v>
      </c>
      <c r="H17" s="116">
        <f t="shared" si="1"/>
        <v>1.5484470400849482</v>
      </c>
      <c r="I17" s="115">
        <v>10967</v>
      </c>
      <c r="J17" s="116">
        <f t="shared" si="2"/>
        <v>0.3703611145820318</v>
      </c>
      <c r="K17" s="115">
        <v>10606</v>
      </c>
      <c r="L17" s="116">
        <f t="shared" si="3"/>
        <v>-3.2916932616029904E-2</v>
      </c>
      <c r="M17" s="115">
        <v>11345</v>
      </c>
      <c r="N17" s="116">
        <v>6.9677541014520061E-2</v>
      </c>
      <c r="O17" s="116">
        <v>0.41759340247407217</v>
      </c>
    </row>
    <row r="18" spans="1:16" x14ac:dyDescent="0.25">
      <c r="A18" s="1" t="s">
        <v>88</v>
      </c>
      <c r="B18" s="114" t="s">
        <v>89</v>
      </c>
      <c r="C18" s="115">
        <v>10636</v>
      </c>
      <c r="D18" s="116">
        <v>4.0592844331162059E-3</v>
      </c>
      <c r="E18" s="115">
        <v>3603</v>
      </c>
      <c r="F18" s="116">
        <f t="shared" si="0"/>
        <v>-0.66124482888303882</v>
      </c>
      <c r="G18" s="115">
        <v>10119</v>
      </c>
      <c r="H18" s="116">
        <f t="shared" si="1"/>
        <v>1.8084929225645294</v>
      </c>
      <c r="I18" s="115">
        <v>11595</v>
      </c>
      <c r="J18" s="116">
        <f t="shared" si="2"/>
        <v>9.0165475742760348E-2</v>
      </c>
      <c r="K18" s="115">
        <v>11107</v>
      </c>
      <c r="L18" s="116">
        <f t="shared" si="3"/>
        <v>-4.208710651142733E-2</v>
      </c>
      <c r="M18" s="115"/>
      <c r="N18" s="116" t="s">
        <v>229</v>
      </c>
      <c r="O18" s="116" t="s">
        <v>229</v>
      </c>
    </row>
    <row r="19" spans="1:16" x14ac:dyDescent="0.25">
      <c r="A19" s="1" t="s">
        <v>90</v>
      </c>
      <c r="B19" s="114" t="s">
        <v>91</v>
      </c>
      <c r="C19" s="115">
        <v>14162</v>
      </c>
      <c r="D19" s="116">
        <v>1.5488312060806031E-2</v>
      </c>
      <c r="E19" s="115">
        <v>3555</v>
      </c>
      <c r="F19" s="116">
        <f t="shared" si="0"/>
        <v>-0.74897613331450352</v>
      </c>
      <c r="G19" s="115">
        <v>12186</v>
      </c>
      <c r="H19" s="116">
        <f t="shared" si="1"/>
        <v>2.4278481012658228</v>
      </c>
      <c r="I19" s="115">
        <v>13053</v>
      </c>
      <c r="J19" s="116">
        <f t="shared" si="2"/>
        <v>-7.8308148566586633E-2</v>
      </c>
      <c r="K19" s="115">
        <v>13216</v>
      </c>
      <c r="L19" s="116">
        <f t="shared" si="3"/>
        <v>1.2487550754615828E-2</v>
      </c>
      <c r="M19" s="115"/>
      <c r="N19" s="116" t="s">
        <v>229</v>
      </c>
      <c r="O19" s="116" t="s">
        <v>229</v>
      </c>
    </row>
    <row r="20" spans="1:16" x14ac:dyDescent="0.25">
      <c r="A20" s="1" t="s">
        <v>92</v>
      </c>
      <c r="B20" s="114" t="s">
        <v>93</v>
      </c>
      <c r="C20" s="115">
        <v>13020</v>
      </c>
      <c r="D20" s="116">
        <v>7.5839653304441423E-3</v>
      </c>
      <c r="E20" s="115">
        <v>4049</v>
      </c>
      <c r="F20" s="116">
        <f t="shared" si="0"/>
        <v>-0.68901689708141323</v>
      </c>
      <c r="G20" s="115">
        <v>11200</v>
      </c>
      <c r="H20" s="116">
        <f t="shared" si="1"/>
        <v>1.766115090145715</v>
      </c>
      <c r="I20" s="115">
        <v>12114</v>
      </c>
      <c r="J20" s="116">
        <f t="shared" si="2"/>
        <v>-6.9585253456221241E-2</v>
      </c>
      <c r="K20" s="115">
        <v>11864</v>
      </c>
      <c r="L20" s="116">
        <f t="shared" si="3"/>
        <v>-2.06372791811128E-2</v>
      </c>
      <c r="M20" s="115"/>
      <c r="N20" s="116" t="s">
        <v>229</v>
      </c>
      <c r="O20" s="116" t="s">
        <v>229</v>
      </c>
    </row>
    <row r="21" spans="1:16" ht="15.75" x14ac:dyDescent="0.25">
      <c r="A21" s="1" t="s">
        <v>0</v>
      </c>
      <c r="B21" s="117" t="s">
        <v>30</v>
      </c>
      <c r="C21" s="118">
        <v>136126</v>
      </c>
      <c r="D21" s="119">
        <v>-2.0570565168903099E-2</v>
      </c>
      <c r="E21" s="118">
        <v>59047</v>
      </c>
      <c r="F21" s="119">
        <f t="shared" si="0"/>
        <v>-0.56623275494762204</v>
      </c>
      <c r="G21" s="118">
        <v>83402</v>
      </c>
      <c r="H21" s="119">
        <f t="shared" si="1"/>
        <v>0.41246803393906539</v>
      </c>
      <c r="I21" s="118">
        <v>137757</v>
      </c>
      <c r="J21" s="119">
        <f t="shared" si="2"/>
        <v>1.1981546508381902E-2</v>
      </c>
      <c r="K21" s="118">
        <v>148334</v>
      </c>
      <c r="L21" s="119">
        <f t="shared" si="3"/>
        <v>7.6780127325653202E-2</v>
      </c>
      <c r="M21" s="118">
        <v>111822</v>
      </c>
      <c r="N21" s="119">
        <v>-2.8979821127627092E-3</v>
      </c>
      <c r="O21" s="119">
        <v>0.13746592342433983</v>
      </c>
    </row>
    <row r="22" spans="1:16" ht="6" customHeight="1" x14ac:dyDescent="0.25"/>
    <row r="23" spans="1:16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  <c r="O23" s="105"/>
    </row>
    <row r="24" spans="1:16" x14ac:dyDescent="0.25">
      <c r="C24" s="120"/>
      <c r="K24" s="120"/>
      <c r="N24" s="79"/>
      <c r="O24" s="79"/>
    </row>
    <row r="26" spans="1:16" ht="48.75" customHeight="1" thickBot="1" x14ac:dyDescent="0.3">
      <c r="B26" s="270" t="s">
        <v>272</v>
      </c>
      <c r="C26" s="270"/>
      <c r="D26" s="270"/>
      <c r="E26" s="270"/>
      <c r="F26" s="270"/>
      <c r="G26" s="270"/>
      <c r="H26" s="270"/>
      <c r="I26" s="270"/>
      <c r="J26" s="270"/>
      <c r="K26" s="270"/>
      <c r="L26" s="270"/>
      <c r="M26" s="270"/>
      <c r="N26" s="270"/>
      <c r="O26" s="270"/>
      <c r="P26" s="1" t="s">
        <v>94</v>
      </c>
    </row>
    <row r="27" spans="1:16" ht="10.5" customHeight="1" thickBot="1" x14ac:dyDescent="0.3">
      <c r="B27" s="106"/>
      <c r="C27" s="107"/>
      <c r="D27" s="106"/>
      <c r="E27" s="106"/>
      <c r="F27" s="106"/>
      <c r="G27" s="106"/>
      <c r="H27" s="106"/>
      <c r="I27" s="106"/>
      <c r="J27" s="106"/>
      <c r="K27" s="106"/>
      <c r="L27" s="106"/>
      <c r="M27" s="4"/>
      <c r="N27" s="4"/>
      <c r="P27" s="1" t="s">
        <v>95</v>
      </c>
    </row>
    <row r="28" spans="1:16" ht="22.5" thickTop="1" thickBot="1" x14ac:dyDescent="0.3">
      <c r="B28" s="121" t="s">
        <v>96</v>
      </c>
      <c r="C28" s="292" t="s">
        <v>97</v>
      </c>
      <c r="D28" s="293"/>
      <c r="E28" s="293"/>
      <c r="F28" s="293"/>
      <c r="G28" s="293"/>
      <c r="H28" s="293"/>
      <c r="I28" s="293"/>
      <c r="J28" s="293"/>
      <c r="K28" s="293"/>
      <c r="L28" s="293"/>
      <c r="M28" s="293"/>
      <c r="N28" s="293"/>
      <c r="O28" s="294"/>
    </row>
    <row r="29" spans="1:16" ht="22.5" thickTop="1" thickBot="1" x14ac:dyDescent="0.3">
      <c r="B29" s="109"/>
      <c r="C29" s="295">
        <f>C7</f>
        <v>2019</v>
      </c>
      <c r="D29" s="296"/>
      <c r="E29" s="297">
        <v>2020</v>
      </c>
      <c r="F29" s="296"/>
      <c r="G29" s="297">
        <v>2021</v>
      </c>
      <c r="H29" s="296"/>
      <c r="I29" s="297">
        <v>2022</v>
      </c>
      <c r="J29" s="296"/>
      <c r="K29" s="297">
        <v>2023</v>
      </c>
      <c r="L29" s="296"/>
      <c r="M29" s="297">
        <v>2024</v>
      </c>
      <c r="N29" s="298"/>
      <c r="O29" s="299"/>
    </row>
    <row r="30" spans="1:16" ht="16.5" thickTop="1" thickBot="1" x14ac:dyDescent="0.3">
      <c r="B30" s="85"/>
      <c r="C30" s="111" t="s">
        <v>69</v>
      </c>
      <c r="D30" s="112" t="str">
        <f>CONCATENATE("var. ",RIGHT(C29,2),"/",RIGHT(C29-1,2))</f>
        <v>var. 19/18</v>
      </c>
      <c r="E30" s="113" t="s">
        <v>69</v>
      </c>
      <c r="F30" s="112" t="str">
        <f>CONCATENATE("var. ",RIGHT(E29,2),"/",RIGHT(E29-1,2))</f>
        <v>var. 20/19</v>
      </c>
      <c r="G30" s="113" t="s">
        <v>69</v>
      </c>
      <c r="H30" s="112" t="str">
        <f>CONCATENATE("var. ",RIGHT(G29,2),"/",RIGHT(G29-1,2))</f>
        <v>var. 21/20</v>
      </c>
      <c r="I30" s="113" t="s">
        <v>69</v>
      </c>
      <c r="J30" s="112" t="s">
        <v>136</v>
      </c>
      <c r="K30" s="113" t="s">
        <v>69</v>
      </c>
      <c r="L30" s="112" t="s">
        <v>249</v>
      </c>
      <c r="M30" s="113" t="s">
        <v>69</v>
      </c>
      <c r="N30" s="112" t="s">
        <v>273</v>
      </c>
      <c r="O30" s="112" t="s">
        <v>274</v>
      </c>
    </row>
    <row r="31" spans="1:16" x14ac:dyDescent="0.25">
      <c r="B31" s="114" t="s">
        <v>71</v>
      </c>
      <c r="C31" s="115">
        <v>5236</v>
      </c>
      <c r="D31" s="116">
        <v>-0.11224143777551709</v>
      </c>
      <c r="E31" s="115">
        <v>5825</v>
      </c>
      <c r="F31" s="116">
        <f t="shared" ref="F31:F43" si="4">IFERROR(E31/C31-1,"-")</f>
        <v>0.11249045072574493</v>
      </c>
      <c r="G31" s="115">
        <v>1115</v>
      </c>
      <c r="H31" s="116">
        <f t="shared" ref="H31:H43" si="5">IFERROR(G31/E31-1,"-")</f>
        <v>-0.80858369098712446</v>
      </c>
      <c r="I31" s="115">
        <v>4881</v>
      </c>
      <c r="J31" s="116">
        <f t="shared" ref="J31:J43" si="6">IFERROR(I31/G31-1,"-")</f>
        <v>3.3775784753363229</v>
      </c>
      <c r="K31" s="115">
        <v>5640</v>
      </c>
      <c r="L31" s="116">
        <f t="shared" ref="L31:L43" si="7">IFERROR(K31/I31-1,"-")</f>
        <v>0.15550092194222498</v>
      </c>
      <c r="M31" s="115">
        <v>3830</v>
      </c>
      <c r="N31" s="116">
        <v>-0.32092198581560283</v>
      </c>
      <c r="O31" s="116">
        <v>-0.26852559205500381</v>
      </c>
    </row>
    <row r="32" spans="1:16" x14ac:dyDescent="0.25">
      <c r="B32" s="114" t="s">
        <v>73</v>
      </c>
      <c r="C32" s="115">
        <v>5498</v>
      </c>
      <c r="D32" s="116">
        <v>-1.5753669889008282E-2</v>
      </c>
      <c r="E32" s="115">
        <v>5371</v>
      </c>
      <c r="F32" s="116">
        <f t="shared" si="4"/>
        <v>-2.3099308839578003E-2</v>
      </c>
      <c r="G32" s="115">
        <v>1325</v>
      </c>
      <c r="H32" s="116">
        <f t="shared" si="5"/>
        <v>-0.75330478495624653</v>
      </c>
      <c r="I32" s="115">
        <v>4475</v>
      </c>
      <c r="J32" s="116">
        <f t="shared" si="6"/>
        <v>2.3773584905660377</v>
      </c>
      <c r="K32" s="115">
        <v>5737</v>
      </c>
      <c r="L32" s="116">
        <f t="shared" si="7"/>
        <v>0.28201117318435753</v>
      </c>
      <c r="M32" s="115">
        <v>4983</v>
      </c>
      <c r="N32" s="116">
        <v>-0.13142757538783334</v>
      </c>
      <c r="O32" s="116">
        <v>-9.3670425609312491E-2</v>
      </c>
    </row>
    <row r="33" spans="2:16" x14ac:dyDescent="0.25">
      <c r="B33" s="114" t="s">
        <v>75</v>
      </c>
      <c r="C33" s="115">
        <v>5600</v>
      </c>
      <c r="D33" s="116">
        <v>-0.11755436495430194</v>
      </c>
      <c r="E33" s="115">
        <v>2182</v>
      </c>
      <c r="F33" s="116">
        <f t="shared" si="4"/>
        <v>-0.61035714285714282</v>
      </c>
      <c r="G33" s="115">
        <v>2482</v>
      </c>
      <c r="H33" s="116">
        <f t="shared" si="5"/>
        <v>0.13748854262144827</v>
      </c>
      <c r="I33" s="115">
        <v>5439</v>
      </c>
      <c r="J33" s="116">
        <f t="shared" si="6"/>
        <v>1.1913779210314264</v>
      </c>
      <c r="K33" s="115">
        <v>6448</v>
      </c>
      <c r="L33" s="116">
        <f t="shared" si="7"/>
        <v>0.18551204265489973</v>
      </c>
      <c r="M33" s="115">
        <v>5213</v>
      </c>
      <c r="N33" s="116">
        <v>-0.19153225806451613</v>
      </c>
      <c r="O33" s="116">
        <v>-6.9107142857142811E-2</v>
      </c>
    </row>
    <row r="34" spans="2:16" x14ac:dyDescent="0.25">
      <c r="B34" s="114" t="s">
        <v>77</v>
      </c>
      <c r="C34" s="115">
        <v>6291</v>
      </c>
      <c r="D34" s="116">
        <v>0.19555302166476629</v>
      </c>
      <c r="E34" s="115">
        <v>0</v>
      </c>
      <c r="F34" s="116">
        <f t="shared" si="4"/>
        <v>-1</v>
      </c>
      <c r="G34" s="115">
        <v>1862</v>
      </c>
      <c r="H34" s="116" t="str">
        <f t="shared" si="5"/>
        <v>-</v>
      </c>
      <c r="I34" s="115">
        <v>5937</v>
      </c>
      <c r="J34" s="116">
        <f t="shared" si="6"/>
        <v>2.1885069817400646</v>
      </c>
      <c r="K34" s="115">
        <v>6231</v>
      </c>
      <c r="L34" s="116">
        <f t="shared" si="7"/>
        <v>4.9519959575543115E-2</v>
      </c>
      <c r="M34" s="115">
        <v>5955</v>
      </c>
      <c r="N34" s="116">
        <v>-4.4294655753490564E-2</v>
      </c>
      <c r="O34" s="116">
        <v>-5.3409632808774421E-2</v>
      </c>
    </row>
    <row r="35" spans="2:16" x14ac:dyDescent="0.25">
      <c r="B35" s="114" t="s">
        <v>79</v>
      </c>
      <c r="C35" s="115">
        <v>6968</v>
      </c>
      <c r="D35" s="116">
        <v>0.27246165084002927</v>
      </c>
      <c r="E35" s="115">
        <v>0</v>
      </c>
      <c r="F35" s="116">
        <f t="shared" si="4"/>
        <v>-1</v>
      </c>
      <c r="G35" s="115">
        <v>3198</v>
      </c>
      <c r="H35" s="116" t="str">
        <f t="shared" si="5"/>
        <v>-</v>
      </c>
      <c r="I35" s="115">
        <v>5218</v>
      </c>
      <c r="J35" s="116">
        <f t="shared" si="6"/>
        <v>0.6316447779862413</v>
      </c>
      <c r="K35" s="115">
        <v>7187</v>
      </c>
      <c r="L35" s="116">
        <f t="shared" si="7"/>
        <v>0.37734764277500954</v>
      </c>
      <c r="M35" s="115">
        <v>6735</v>
      </c>
      <c r="N35" s="116">
        <v>-6.2891331570891884E-2</v>
      </c>
      <c r="O35" s="116">
        <v>-3.3438576349024141E-2</v>
      </c>
    </row>
    <row r="36" spans="2:16" x14ac:dyDescent="0.25">
      <c r="B36" s="114" t="s">
        <v>81</v>
      </c>
      <c r="C36" s="115">
        <v>6053</v>
      </c>
      <c r="D36" s="116">
        <v>9.4971056439942192E-2</v>
      </c>
      <c r="E36" s="115">
        <v>0</v>
      </c>
      <c r="F36" s="116">
        <f t="shared" si="4"/>
        <v>-1</v>
      </c>
      <c r="G36" s="115">
        <v>3249</v>
      </c>
      <c r="H36" s="116" t="str">
        <f t="shared" si="5"/>
        <v>-</v>
      </c>
      <c r="I36" s="115">
        <v>7954</v>
      </c>
      <c r="J36" s="116">
        <f t="shared" si="6"/>
        <v>1.448137888581102</v>
      </c>
      <c r="K36" s="115">
        <v>6546</v>
      </c>
      <c r="L36" s="116">
        <f t="shared" si="7"/>
        <v>-0.17701785265275338</v>
      </c>
      <c r="M36" s="115">
        <v>6147</v>
      </c>
      <c r="N36" s="116">
        <v>-6.0953253895508652E-2</v>
      </c>
      <c r="O36" s="116">
        <v>1.5529489509334304E-2</v>
      </c>
    </row>
    <row r="37" spans="2:16" x14ac:dyDescent="0.25">
      <c r="B37" s="114" t="s">
        <v>83</v>
      </c>
      <c r="C37" s="115">
        <v>6343</v>
      </c>
      <c r="D37" s="116">
        <v>-3.6311151625645688E-2</v>
      </c>
      <c r="E37" s="115">
        <v>0</v>
      </c>
      <c r="F37" s="116">
        <f t="shared" si="4"/>
        <v>-1</v>
      </c>
      <c r="G37" s="115">
        <v>3172</v>
      </c>
      <c r="H37" s="116" t="str">
        <f t="shared" si="5"/>
        <v>-</v>
      </c>
      <c r="I37" s="115">
        <v>6763</v>
      </c>
      <c r="J37" s="116">
        <f t="shared" si="6"/>
        <v>1.1320933165195459</v>
      </c>
      <c r="K37" s="115">
        <v>6308</v>
      </c>
      <c r="L37" s="116">
        <f t="shared" si="7"/>
        <v>-6.7277835280201148E-2</v>
      </c>
      <c r="M37" s="115">
        <v>6741</v>
      </c>
      <c r="N37" s="116">
        <v>6.8642993024730536E-2</v>
      </c>
      <c r="O37" s="116">
        <v>6.2746334542014726E-2</v>
      </c>
    </row>
    <row r="38" spans="2:16" x14ac:dyDescent="0.25">
      <c r="B38" s="114" t="s">
        <v>85</v>
      </c>
      <c r="C38" s="115">
        <v>6302</v>
      </c>
      <c r="D38" s="116">
        <v>0.11896306818181812</v>
      </c>
      <c r="E38" s="115">
        <v>5019</v>
      </c>
      <c r="F38" s="116">
        <f t="shared" si="4"/>
        <v>-0.20358616312281819</v>
      </c>
      <c r="G38" s="115">
        <v>4452</v>
      </c>
      <c r="H38" s="116">
        <f t="shared" si="5"/>
        <v>-0.11297071129707115</v>
      </c>
      <c r="I38" s="115">
        <v>6043</v>
      </c>
      <c r="J38" s="116">
        <f t="shared" si="6"/>
        <v>0.35736747529200352</v>
      </c>
      <c r="K38" s="115">
        <v>7150</v>
      </c>
      <c r="L38" s="116">
        <f t="shared" si="7"/>
        <v>0.18318715869601188</v>
      </c>
      <c r="M38" s="115">
        <v>4695</v>
      </c>
      <c r="N38" s="116">
        <v>-0.3433566433566434</v>
      </c>
      <c r="O38" s="116">
        <v>-0.25499841320215799</v>
      </c>
    </row>
    <row r="39" spans="2:16" x14ac:dyDescent="0.25">
      <c r="B39" s="114" t="s">
        <v>87</v>
      </c>
      <c r="C39" s="115">
        <v>5204</v>
      </c>
      <c r="D39" s="116">
        <v>-0.17801295214026225</v>
      </c>
      <c r="E39" s="115">
        <v>3075</v>
      </c>
      <c r="F39" s="116">
        <f t="shared" si="4"/>
        <v>-0.40910837817063794</v>
      </c>
      <c r="G39" s="115">
        <v>6546</v>
      </c>
      <c r="H39" s="116">
        <f t="shared" si="5"/>
        <v>1.1287804878048782</v>
      </c>
      <c r="I39" s="115">
        <v>6733</v>
      </c>
      <c r="J39" s="116">
        <f t="shared" si="6"/>
        <v>2.8567063855789776E-2</v>
      </c>
      <c r="K39" s="115">
        <v>6420</v>
      </c>
      <c r="L39" s="116">
        <f t="shared" si="7"/>
        <v>-4.6487449873756082E-2</v>
      </c>
      <c r="M39" s="115">
        <v>7407</v>
      </c>
      <c r="N39" s="116">
        <v>0.1537383177570093</v>
      </c>
      <c r="O39" s="116">
        <v>0.42332820906994617</v>
      </c>
    </row>
    <row r="40" spans="2:16" x14ac:dyDescent="0.25">
      <c r="B40" s="114" t="s">
        <v>89</v>
      </c>
      <c r="C40" s="115">
        <v>5938</v>
      </c>
      <c r="D40" s="116">
        <v>0.10248793167471226</v>
      </c>
      <c r="E40" s="115">
        <v>2778</v>
      </c>
      <c r="F40" s="116">
        <f t="shared" si="4"/>
        <v>-0.53216571236106436</v>
      </c>
      <c r="G40" s="115">
        <v>3923</v>
      </c>
      <c r="H40" s="116">
        <f t="shared" si="5"/>
        <v>0.41216702663786897</v>
      </c>
      <c r="I40" s="115">
        <v>5470</v>
      </c>
      <c r="J40" s="116">
        <f t="shared" si="6"/>
        <v>0.39434106551108838</v>
      </c>
      <c r="K40" s="115">
        <v>5517</v>
      </c>
      <c r="L40" s="116">
        <f t="shared" si="7"/>
        <v>8.5923217550274433E-3</v>
      </c>
      <c r="M40" s="115"/>
      <c r="N40" s="116" t="s">
        <v>229</v>
      </c>
      <c r="O40" s="116" t="s">
        <v>229</v>
      </c>
    </row>
    <row r="41" spans="2:16" x14ac:dyDescent="0.25">
      <c r="B41" s="114" t="s">
        <v>91</v>
      </c>
      <c r="C41" s="115">
        <v>6593</v>
      </c>
      <c r="D41" s="116">
        <v>-3.0441176470588194E-2</v>
      </c>
      <c r="E41" s="115">
        <v>2443</v>
      </c>
      <c r="F41" s="116">
        <f t="shared" si="4"/>
        <v>-0.62945548308812382</v>
      </c>
      <c r="G41" s="115">
        <v>5062</v>
      </c>
      <c r="H41" s="116">
        <f t="shared" si="5"/>
        <v>1.0720425706099057</v>
      </c>
      <c r="I41" s="115">
        <v>5918</v>
      </c>
      <c r="J41" s="116">
        <f t="shared" si="6"/>
        <v>0.16910312129593041</v>
      </c>
      <c r="K41" s="115">
        <v>4448</v>
      </c>
      <c r="L41" s="116">
        <f t="shared" si="7"/>
        <v>-0.24839472794863127</v>
      </c>
      <c r="M41" s="115"/>
      <c r="N41" s="116" t="s">
        <v>229</v>
      </c>
      <c r="O41" s="116" t="s">
        <v>229</v>
      </c>
    </row>
    <row r="42" spans="2:16" x14ac:dyDescent="0.25">
      <c r="B42" s="114" t="s">
        <v>93</v>
      </c>
      <c r="C42" s="115">
        <v>6906</v>
      </c>
      <c r="D42" s="116">
        <v>8.2614829910644394E-2</v>
      </c>
      <c r="E42" s="115">
        <v>2474</v>
      </c>
      <c r="F42" s="116">
        <f t="shared" si="4"/>
        <v>-0.64176078772082246</v>
      </c>
      <c r="G42" s="115">
        <v>5677</v>
      </c>
      <c r="H42" s="116">
        <f t="shared" si="5"/>
        <v>1.2946645109135004</v>
      </c>
      <c r="I42" s="115">
        <v>6120</v>
      </c>
      <c r="J42" s="116">
        <f t="shared" si="6"/>
        <v>7.8034172978685978E-2</v>
      </c>
      <c r="K42" s="115">
        <v>4800</v>
      </c>
      <c r="L42" s="116">
        <f t="shared" si="7"/>
        <v>-0.21568627450980393</v>
      </c>
      <c r="M42" s="115"/>
      <c r="N42" s="116" t="s">
        <v>229</v>
      </c>
      <c r="O42" s="116" t="s">
        <v>229</v>
      </c>
    </row>
    <row r="43" spans="2:16" ht="15.75" x14ac:dyDescent="0.25">
      <c r="B43" s="117" t="s">
        <v>30</v>
      </c>
      <c r="C43" s="118">
        <v>72932</v>
      </c>
      <c r="D43" s="119">
        <v>2.4239530376653606E-2</v>
      </c>
      <c r="E43" s="118">
        <v>31800</v>
      </c>
      <c r="F43" s="119">
        <f t="shared" si="4"/>
        <v>-0.56397740360884119</v>
      </c>
      <c r="G43" s="118">
        <v>42063</v>
      </c>
      <c r="H43" s="119">
        <f t="shared" si="5"/>
        <v>0.32273584905660369</v>
      </c>
      <c r="I43" s="118">
        <v>70951</v>
      </c>
      <c r="J43" s="119">
        <f t="shared" si="6"/>
        <v>0.68677935477735774</v>
      </c>
      <c r="K43" s="118">
        <v>72432</v>
      </c>
      <c r="L43" s="119">
        <f t="shared" si="7"/>
        <v>2.0873560626347709E-2</v>
      </c>
      <c r="M43" s="118">
        <v>51706</v>
      </c>
      <c r="N43" s="119">
        <v>-0.10336934468586889</v>
      </c>
      <c r="O43" s="119">
        <v>-3.3442377792317068E-2</v>
      </c>
    </row>
    <row r="44" spans="2:16" ht="6" customHeight="1" x14ac:dyDescent="0.25"/>
    <row r="45" spans="2:16" x14ac:dyDescent="0.25">
      <c r="B45" s="105" t="s">
        <v>55</v>
      </c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  <c r="O45" s="105"/>
    </row>
    <row r="46" spans="2:16" x14ac:dyDescent="0.25">
      <c r="C46" s="120"/>
      <c r="K46" s="120"/>
      <c r="N46" s="79"/>
      <c r="O46" s="79"/>
    </row>
    <row r="48" spans="2:16" ht="48.75" customHeight="1" thickBot="1" x14ac:dyDescent="0.3">
      <c r="B48" s="270" t="s">
        <v>275</v>
      </c>
      <c r="C48" s="270"/>
      <c r="D48" s="270"/>
      <c r="E48" s="270"/>
      <c r="F48" s="270"/>
      <c r="G48" s="270"/>
      <c r="H48" s="270"/>
      <c r="I48" s="270"/>
      <c r="J48" s="270"/>
      <c r="K48" s="270"/>
      <c r="L48" s="270"/>
      <c r="M48" s="270"/>
      <c r="N48" s="270"/>
      <c r="O48" s="270"/>
      <c r="P48" s="1" t="s">
        <v>98</v>
      </c>
    </row>
    <row r="49" spans="1:16" ht="10.5" customHeight="1" thickBot="1" x14ac:dyDescent="0.3">
      <c r="B49" s="106"/>
      <c r="C49" s="107"/>
      <c r="D49" s="106"/>
      <c r="E49" s="106"/>
      <c r="F49" s="106"/>
      <c r="G49" s="106"/>
      <c r="H49" s="106"/>
      <c r="I49" s="106"/>
      <c r="J49" s="106"/>
      <c r="K49" s="106"/>
      <c r="L49" s="106"/>
      <c r="M49" s="4"/>
      <c r="N49" s="4"/>
      <c r="P49" s="1" t="s">
        <v>99</v>
      </c>
    </row>
    <row r="50" spans="1:16" ht="22.5" thickTop="1" thickBot="1" x14ac:dyDescent="0.3">
      <c r="B50" s="109"/>
      <c r="C50" s="292" t="s">
        <v>100</v>
      </c>
      <c r="D50" s="293"/>
      <c r="E50" s="293"/>
      <c r="F50" s="293"/>
      <c r="G50" s="293"/>
      <c r="H50" s="293"/>
      <c r="I50" s="293"/>
      <c r="J50" s="293"/>
      <c r="K50" s="293"/>
      <c r="L50" s="293"/>
      <c r="M50" s="293"/>
      <c r="N50" s="293"/>
      <c r="O50" s="294"/>
    </row>
    <row r="51" spans="1:16" ht="22.5" thickTop="1" thickBot="1" x14ac:dyDescent="0.3">
      <c r="B51" s="109"/>
      <c r="C51" s="295">
        <f>C7</f>
        <v>2019</v>
      </c>
      <c r="D51" s="296"/>
      <c r="E51" s="297">
        <v>2020</v>
      </c>
      <c r="F51" s="296"/>
      <c r="G51" s="297">
        <v>2021</v>
      </c>
      <c r="H51" s="296"/>
      <c r="I51" s="297">
        <v>2022</v>
      </c>
      <c r="J51" s="296"/>
      <c r="K51" s="297">
        <v>2023</v>
      </c>
      <c r="L51" s="296"/>
      <c r="M51" s="297">
        <v>2024</v>
      </c>
      <c r="N51" s="298"/>
      <c r="O51" s="299"/>
    </row>
    <row r="52" spans="1:16" ht="16.5" thickTop="1" thickBot="1" x14ac:dyDescent="0.3">
      <c r="B52" s="85"/>
      <c r="C52" s="111" t="s">
        <v>69</v>
      </c>
      <c r="D52" s="112" t="str">
        <f>CONCATENATE("var. ",RIGHT(C51,2),"/",RIGHT(C51-1,2))</f>
        <v>var. 19/18</v>
      </c>
      <c r="E52" s="113" t="s">
        <v>69</v>
      </c>
      <c r="F52" s="112" t="str">
        <f>CONCATENATE("var. ",RIGHT(E51,2),"/",RIGHT(E51-1,2))</f>
        <v>var. 20/19</v>
      </c>
      <c r="G52" s="113" t="s">
        <v>69</v>
      </c>
      <c r="H52" s="112" t="str">
        <f>CONCATENATE("var. ",RIGHT(G51,2),"/",RIGHT(G51-1,2))</f>
        <v>var. 21/20</v>
      </c>
      <c r="I52" s="113" t="s">
        <v>69</v>
      </c>
      <c r="J52" s="112" t="s">
        <v>136</v>
      </c>
      <c r="K52" s="113" t="s">
        <v>69</v>
      </c>
      <c r="L52" s="112" t="s">
        <v>249</v>
      </c>
      <c r="M52" s="113" t="s">
        <v>69</v>
      </c>
      <c r="N52" s="112" t="s">
        <v>273</v>
      </c>
      <c r="O52" s="112" t="s">
        <v>274</v>
      </c>
    </row>
    <row r="53" spans="1:16" x14ac:dyDescent="0.25">
      <c r="A53" s="1">
        <v>1</v>
      </c>
      <c r="B53" s="114" t="s">
        <v>71</v>
      </c>
      <c r="C53" s="115">
        <v>2840</v>
      </c>
      <c r="D53" s="116">
        <v>-0.23532579429186862</v>
      </c>
      <c r="E53" s="115">
        <v>2984</v>
      </c>
      <c r="F53" s="116">
        <f t="shared" ref="F53:F65" si="8">IFERROR(E53/C53-1,"-")</f>
        <v>5.0704225352112609E-2</v>
      </c>
      <c r="G53" s="115">
        <v>572</v>
      </c>
      <c r="H53" s="116">
        <f t="shared" ref="H53:H65" si="9">IFERROR(G53/E53-1,"-")</f>
        <v>-0.80831099195710454</v>
      </c>
      <c r="I53" s="115">
        <v>2810</v>
      </c>
      <c r="J53" s="116">
        <f t="shared" ref="J53:J65" si="10">IFERROR(I53/G53-1,"-")</f>
        <v>3.9125874125874125</v>
      </c>
      <c r="K53" s="115">
        <v>3391</v>
      </c>
      <c r="L53" s="116">
        <f>IFERROR(K53/I53-1,"-")</f>
        <v>0.2067615658362989</v>
      </c>
      <c r="M53" s="115">
        <v>2615</v>
      </c>
      <c r="N53" s="116">
        <v>-0.22884104983780595</v>
      </c>
      <c r="O53" s="116">
        <v>-7.9225352112676006E-2</v>
      </c>
    </row>
    <row r="54" spans="1:16" x14ac:dyDescent="0.25">
      <c r="A54" s="1">
        <v>2</v>
      </c>
      <c r="B54" s="114" t="s">
        <v>73</v>
      </c>
      <c r="C54" s="115">
        <v>3192</v>
      </c>
      <c r="D54" s="116">
        <v>-6.857309600233441E-2</v>
      </c>
      <c r="E54" s="115">
        <v>2825</v>
      </c>
      <c r="F54" s="116">
        <f t="shared" si="8"/>
        <v>-0.1149749373433584</v>
      </c>
      <c r="G54" s="115">
        <v>604</v>
      </c>
      <c r="H54" s="116">
        <f t="shared" si="9"/>
        <v>-0.78619469026548672</v>
      </c>
      <c r="I54" s="115">
        <v>2634</v>
      </c>
      <c r="J54" s="116">
        <f t="shared" si="10"/>
        <v>3.3609271523178812</v>
      </c>
      <c r="K54" s="115">
        <v>4989</v>
      </c>
      <c r="L54" s="116">
        <f t="shared" ref="L54:L65" si="11">IFERROR(K54/I54-1,"-")</f>
        <v>0.89407744874715256</v>
      </c>
      <c r="M54" s="115">
        <v>3734</v>
      </c>
      <c r="N54" s="116">
        <v>-0.25155341751854077</v>
      </c>
      <c r="O54" s="116">
        <v>0.16979949874686717</v>
      </c>
    </row>
    <row r="55" spans="1:16" x14ac:dyDescent="0.25">
      <c r="A55" s="1">
        <v>3</v>
      </c>
      <c r="B55" s="114" t="s">
        <v>75</v>
      </c>
      <c r="C55" s="115">
        <v>3298</v>
      </c>
      <c r="D55" s="116">
        <v>-0.11935914552736981</v>
      </c>
      <c r="E55" s="115">
        <v>1144</v>
      </c>
      <c r="F55" s="116">
        <f t="shared" si="8"/>
        <v>-0.65312310491206793</v>
      </c>
      <c r="G55" s="115">
        <v>907</v>
      </c>
      <c r="H55" s="116">
        <f t="shared" si="9"/>
        <v>-0.20716783216783219</v>
      </c>
      <c r="I55" s="115">
        <v>2645</v>
      </c>
      <c r="J55" s="116">
        <f t="shared" si="10"/>
        <v>1.9162072767364937</v>
      </c>
      <c r="K55" s="115">
        <v>5342</v>
      </c>
      <c r="L55" s="116">
        <f t="shared" si="11"/>
        <v>1.0196597353497165</v>
      </c>
      <c r="M55" s="115">
        <v>3989</v>
      </c>
      <c r="N55" s="116">
        <v>-0.2532759266192437</v>
      </c>
      <c r="O55" s="116">
        <v>0.20952092177077009</v>
      </c>
    </row>
    <row r="56" spans="1:16" x14ac:dyDescent="0.25">
      <c r="A56" s="1">
        <v>4</v>
      </c>
      <c r="B56" s="114" t="s">
        <v>77</v>
      </c>
      <c r="C56" s="115">
        <v>4148</v>
      </c>
      <c r="D56" s="116">
        <v>0.55414012738853513</v>
      </c>
      <c r="E56" s="115">
        <v>0</v>
      </c>
      <c r="F56" s="116">
        <f t="shared" si="8"/>
        <v>-1</v>
      </c>
      <c r="G56" s="115">
        <v>961</v>
      </c>
      <c r="H56" s="116" t="str">
        <f t="shared" si="9"/>
        <v>-</v>
      </c>
      <c r="I56" s="115">
        <v>3480</v>
      </c>
      <c r="J56" s="116">
        <f t="shared" si="10"/>
        <v>2.6212278876170654</v>
      </c>
      <c r="K56" s="115">
        <v>4282</v>
      </c>
      <c r="L56" s="116">
        <f t="shared" si="11"/>
        <v>0.23045977011494245</v>
      </c>
      <c r="M56" s="115">
        <v>4847</v>
      </c>
      <c r="N56" s="116">
        <v>0.13194768799626333</v>
      </c>
      <c r="O56" s="116">
        <v>0.16851494696239144</v>
      </c>
    </row>
    <row r="57" spans="1:16" x14ac:dyDescent="0.25">
      <c r="A57" s="1">
        <v>5</v>
      </c>
      <c r="B57" s="114" t="s">
        <v>79</v>
      </c>
      <c r="C57" s="115">
        <v>4380</v>
      </c>
      <c r="D57" s="116">
        <v>0.41335914811229424</v>
      </c>
      <c r="E57" s="115">
        <v>0</v>
      </c>
      <c r="F57" s="116">
        <f t="shared" si="8"/>
        <v>-1</v>
      </c>
      <c r="G57" s="115">
        <v>1298</v>
      </c>
      <c r="H57" s="116" t="str">
        <f t="shared" si="9"/>
        <v>-</v>
      </c>
      <c r="I57" s="115">
        <v>3533</v>
      </c>
      <c r="J57" s="116">
        <f t="shared" si="10"/>
        <v>1.721879815100154</v>
      </c>
      <c r="K57" s="115">
        <v>5072</v>
      </c>
      <c r="L57" s="116">
        <f t="shared" si="11"/>
        <v>0.43560713274837259</v>
      </c>
      <c r="M57" s="115">
        <v>4477</v>
      </c>
      <c r="N57" s="116">
        <v>-0.11731072555205047</v>
      </c>
      <c r="O57" s="116">
        <v>2.2146118721461105E-2</v>
      </c>
    </row>
    <row r="58" spans="1:16" x14ac:dyDescent="0.25">
      <c r="A58" s="1">
        <v>6</v>
      </c>
      <c r="B58" s="114" t="s">
        <v>81</v>
      </c>
      <c r="C58" s="115">
        <v>3283</v>
      </c>
      <c r="D58" s="116">
        <v>-3.6418816388467112E-3</v>
      </c>
      <c r="E58" s="115">
        <v>0</v>
      </c>
      <c r="F58" s="116">
        <f t="shared" si="8"/>
        <v>-1</v>
      </c>
      <c r="G58" s="115">
        <v>1478</v>
      </c>
      <c r="H58" s="116" t="str">
        <f t="shared" si="9"/>
        <v>-</v>
      </c>
      <c r="I58" s="115">
        <v>3726</v>
      </c>
      <c r="J58" s="116">
        <f t="shared" si="10"/>
        <v>1.5209742895805141</v>
      </c>
      <c r="K58" s="115">
        <v>5380</v>
      </c>
      <c r="L58" s="116">
        <f t="shared" si="11"/>
        <v>0.44390767579173374</v>
      </c>
      <c r="M58" s="115">
        <v>4983</v>
      </c>
      <c r="N58" s="116">
        <v>-7.3791821561338344E-2</v>
      </c>
      <c r="O58" s="116">
        <v>0.51781906792567778</v>
      </c>
    </row>
    <row r="59" spans="1:16" x14ac:dyDescent="0.25">
      <c r="A59" s="1">
        <v>7</v>
      </c>
      <c r="B59" s="114" t="s">
        <v>83</v>
      </c>
      <c r="C59" s="115">
        <v>3523</v>
      </c>
      <c r="D59" s="116">
        <v>0.12808197246237585</v>
      </c>
      <c r="E59" s="115">
        <v>0</v>
      </c>
      <c r="F59" s="116">
        <f t="shared" si="8"/>
        <v>-1</v>
      </c>
      <c r="G59" s="115">
        <v>1981</v>
      </c>
      <c r="H59" s="116" t="str">
        <f t="shared" si="9"/>
        <v>-</v>
      </c>
      <c r="I59" s="115">
        <v>3912</v>
      </c>
      <c r="J59" s="116">
        <f t="shared" si="10"/>
        <v>0.97476022211004554</v>
      </c>
      <c r="K59" s="115">
        <v>4305</v>
      </c>
      <c r="L59" s="116">
        <f t="shared" si="11"/>
        <v>0.10046012269938642</v>
      </c>
      <c r="M59" s="115">
        <v>4074</v>
      </c>
      <c r="N59" s="116">
        <v>-5.3658536585365901E-2</v>
      </c>
      <c r="O59" s="116">
        <v>0.15640079477717861</v>
      </c>
    </row>
    <row r="60" spans="1:16" x14ac:dyDescent="0.25">
      <c r="A60" s="1">
        <v>8</v>
      </c>
      <c r="B60" s="114" t="s">
        <v>85</v>
      </c>
      <c r="C60" s="115">
        <v>3416</v>
      </c>
      <c r="D60" s="116">
        <v>0.10514396635393086</v>
      </c>
      <c r="E60" s="115">
        <v>2716</v>
      </c>
      <c r="F60" s="116">
        <f t="shared" si="8"/>
        <v>-0.20491803278688525</v>
      </c>
      <c r="G60" s="115">
        <v>3096</v>
      </c>
      <c r="H60" s="116">
        <f t="shared" si="9"/>
        <v>0.13991163475699553</v>
      </c>
      <c r="I60" s="115">
        <v>3999</v>
      </c>
      <c r="J60" s="116">
        <f t="shared" si="10"/>
        <v>0.29166666666666674</v>
      </c>
      <c r="K60" s="115">
        <v>4444</v>
      </c>
      <c r="L60" s="116">
        <f t="shared" si="11"/>
        <v>0.11127781945486381</v>
      </c>
      <c r="M60" s="115">
        <v>3603</v>
      </c>
      <c r="N60" s="116">
        <v>-0.1892439243924392</v>
      </c>
      <c r="O60" s="116">
        <v>5.4742388758782123E-2</v>
      </c>
    </row>
    <row r="61" spans="1:16" x14ac:dyDescent="0.25">
      <c r="A61" s="1">
        <v>9</v>
      </c>
      <c r="B61" s="114" t="s">
        <v>87</v>
      </c>
      <c r="C61" s="115">
        <v>2893</v>
      </c>
      <c r="D61" s="116">
        <v>-0.25915492957746478</v>
      </c>
      <c r="E61" s="115">
        <v>1767</v>
      </c>
      <c r="F61" s="116">
        <f t="shared" si="8"/>
        <v>-0.38921534739025232</v>
      </c>
      <c r="G61" s="115">
        <v>3457</v>
      </c>
      <c r="H61" s="116">
        <f t="shared" si="9"/>
        <v>0.95642331635540456</v>
      </c>
      <c r="I61" s="115">
        <v>3921</v>
      </c>
      <c r="J61" s="116">
        <f t="shared" si="10"/>
        <v>0.13422042233150133</v>
      </c>
      <c r="K61" s="115">
        <v>4892</v>
      </c>
      <c r="L61" s="116">
        <f t="shared" si="11"/>
        <v>0.24764090793165017</v>
      </c>
      <c r="M61" s="115">
        <v>4736</v>
      </c>
      <c r="N61" s="116">
        <v>-3.1888798037612465E-2</v>
      </c>
      <c r="O61" s="116">
        <v>0.63705496024887664</v>
      </c>
    </row>
    <row r="62" spans="1:16" x14ac:dyDescent="0.25">
      <c r="A62" s="1">
        <v>10</v>
      </c>
      <c r="B62" s="114" t="s">
        <v>89</v>
      </c>
      <c r="C62" s="115">
        <v>2880</v>
      </c>
      <c r="D62" s="116">
        <v>-7.1566731141199269E-2</v>
      </c>
      <c r="E62" s="115">
        <v>1904</v>
      </c>
      <c r="F62" s="116">
        <f t="shared" si="8"/>
        <v>-0.33888888888888891</v>
      </c>
      <c r="G62" s="115">
        <v>1744</v>
      </c>
      <c r="H62" s="116">
        <f t="shared" si="9"/>
        <v>-8.4033613445378186E-2</v>
      </c>
      <c r="I62" s="115">
        <v>3593</v>
      </c>
      <c r="J62" s="116">
        <f t="shared" si="10"/>
        <v>1.0602064220183487</v>
      </c>
      <c r="K62" s="115">
        <v>4470</v>
      </c>
      <c r="L62" s="116">
        <f t="shared" si="11"/>
        <v>0.24408572223768443</v>
      </c>
      <c r="M62" s="115"/>
      <c r="N62" s="116" t="s">
        <v>229</v>
      </c>
      <c r="O62" s="116" t="s">
        <v>229</v>
      </c>
    </row>
    <row r="63" spans="1:16" x14ac:dyDescent="0.25">
      <c r="A63" s="1">
        <v>11</v>
      </c>
      <c r="B63" s="114" t="s">
        <v>91</v>
      </c>
      <c r="C63" s="115">
        <v>3283</v>
      </c>
      <c r="D63" s="116">
        <v>-0.25555555555555554</v>
      </c>
      <c r="E63" s="115">
        <v>1069</v>
      </c>
      <c r="F63" s="116">
        <f t="shared" si="8"/>
        <v>-0.67438318611026493</v>
      </c>
      <c r="G63" s="115">
        <v>2739</v>
      </c>
      <c r="H63" s="116">
        <f t="shared" si="9"/>
        <v>1.5622076707202992</v>
      </c>
      <c r="I63" s="115">
        <v>3349</v>
      </c>
      <c r="J63" s="116">
        <f t="shared" si="10"/>
        <v>0.22270901788974085</v>
      </c>
      <c r="K63" s="115">
        <v>3373</v>
      </c>
      <c r="L63" s="116">
        <f t="shared" si="11"/>
        <v>7.1663183039714085E-3</v>
      </c>
      <c r="M63" s="115"/>
      <c r="N63" s="116" t="s">
        <v>229</v>
      </c>
      <c r="O63" s="116" t="s">
        <v>229</v>
      </c>
    </row>
    <row r="64" spans="1:16" x14ac:dyDescent="0.25">
      <c r="A64" s="1">
        <v>12</v>
      </c>
      <c r="B64" s="114" t="s">
        <v>93</v>
      </c>
      <c r="C64" s="115">
        <v>2793</v>
      </c>
      <c r="D64" s="116">
        <v>-0.17610619469026545</v>
      </c>
      <c r="E64" s="115">
        <v>681</v>
      </c>
      <c r="F64" s="116">
        <f t="shared" si="8"/>
        <v>-0.7561761546723953</v>
      </c>
      <c r="G64" s="115">
        <v>3189</v>
      </c>
      <c r="H64" s="116">
        <f t="shared" si="9"/>
        <v>3.6828193832599121</v>
      </c>
      <c r="I64" s="115">
        <v>3121</v>
      </c>
      <c r="J64" s="116">
        <f t="shared" si="10"/>
        <v>-2.1323298839761695E-2</v>
      </c>
      <c r="K64" s="115">
        <v>2886</v>
      </c>
      <c r="L64" s="116">
        <f t="shared" si="11"/>
        <v>-7.5296379365587973E-2</v>
      </c>
      <c r="M64" s="115"/>
      <c r="N64" s="116" t="s">
        <v>229</v>
      </c>
      <c r="O64" s="116" t="s">
        <v>229</v>
      </c>
    </row>
    <row r="65" spans="1:16" ht="15.75" x14ac:dyDescent="0.25">
      <c r="B65" s="117" t="s">
        <v>30</v>
      </c>
      <c r="C65" s="118">
        <v>39929</v>
      </c>
      <c r="D65" s="119">
        <v>-2.5408835733463531E-2</v>
      </c>
      <c r="E65" s="118">
        <v>16251</v>
      </c>
      <c r="F65" s="119">
        <f t="shared" si="8"/>
        <v>-0.59300257957875235</v>
      </c>
      <c r="G65" s="118">
        <v>22026</v>
      </c>
      <c r="H65" s="119">
        <f t="shared" si="9"/>
        <v>0.35536274690788261</v>
      </c>
      <c r="I65" s="118">
        <v>40723</v>
      </c>
      <c r="J65" s="119">
        <f t="shared" si="10"/>
        <v>0.8488604376645783</v>
      </c>
      <c r="K65" s="118">
        <v>52826</v>
      </c>
      <c r="L65" s="119">
        <f t="shared" si="11"/>
        <v>0.29720305478476527</v>
      </c>
      <c r="M65" s="118">
        <v>37058</v>
      </c>
      <c r="N65" s="119">
        <v>-0.11969974107418579</v>
      </c>
      <c r="O65" s="119">
        <v>0.19646143415232631</v>
      </c>
    </row>
    <row r="66" spans="1:16" ht="6" customHeight="1" x14ac:dyDescent="0.25"/>
    <row r="67" spans="1:16" x14ac:dyDescent="0.25">
      <c r="B67" s="105" t="s">
        <v>55</v>
      </c>
      <c r="C67" s="105"/>
      <c r="D67" s="105"/>
      <c r="E67" s="105"/>
      <c r="F67" s="105"/>
      <c r="G67" s="105"/>
      <c r="H67" s="105"/>
      <c r="I67" s="105"/>
      <c r="J67" s="105"/>
      <c r="K67" s="105"/>
      <c r="L67" s="105"/>
      <c r="M67" s="105"/>
      <c r="N67" s="105"/>
      <c r="O67" s="105"/>
    </row>
    <row r="68" spans="1:16" x14ac:dyDescent="0.25">
      <c r="C68" s="120"/>
      <c r="K68" s="120"/>
      <c r="N68" s="79"/>
      <c r="O68" s="79"/>
    </row>
    <row r="70" spans="1:16" ht="48.75" customHeight="1" thickBot="1" x14ac:dyDescent="0.3">
      <c r="B70" s="270" t="s">
        <v>276</v>
      </c>
      <c r="C70" s="270"/>
      <c r="D70" s="270"/>
      <c r="E70" s="270"/>
      <c r="F70" s="270"/>
      <c r="G70" s="270"/>
      <c r="H70" s="270"/>
      <c r="I70" s="270"/>
      <c r="J70" s="270"/>
      <c r="K70" s="270"/>
      <c r="L70" s="270"/>
      <c r="M70" s="270"/>
      <c r="N70" s="270"/>
      <c r="O70" s="270"/>
      <c r="P70" s="1" t="s">
        <v>101</v>
      </c>
    </row>
    <row r="71" spans="1:16" ht="10.5" customHeight="1" thickBot="1" x14ac:dyDescent="0.3">
      <c r="B71" s="106"/>
      <c r="C71" s="107"/>
      <c r="D71" s="106"/>
      <c r="E71" s="106"/>
      <c r="F71" s="106"/>
      <c r="G71" s="106"/>
      <c r="H71" s="106"/>
      <c r="I71" s="106"/>
      <c r="J71" s="106"/>
      <c r="K71" s="106"/>
      <c r="L71" s="106"/>
      <c r="M71" s="4"/>
      <c r="N71" s="4"/>
      <c r="P71" s="1" t="s">
        <v>102</v>
      </c>
    </row>
    <row r="72" spans="1:16" ht="22.5" thickTop="1" thickBot="1" x14ac:dyDescent="0.3">
      <c r="B72" s="109"/>
      <c r="C72" s="292" t="s">
        <v>103</v>
      </c>
      <c r="D72" s="293"/>
      <c r="E72" s="293"/>
      <c r="F72" s="293"/>
      <c r="G72" s="293"/>
      <c r="H72" s="293"/>
      <c r="I72" s="293"/>
      <c r="J72" s="293"/>
      <c r="K72" s="293"/>
      <c r="L72" s="293"/>
      <c r="M72" s="293"/>
      <c r="N72" s="293"/>
      <c r="O72" s="294"/>
    </row>
    <row r="73" spans="1:16" ht="22.5" thickTop="1" thickBot="1" x14ac:dyDescent="0.3">
      <c r="B73" s="109"/>
      <c r="C73" s="295">
        <f>C7</f>
        <v>2019</v>
      </c>
      <c r="D73" s="296"/>
      <c r="E73" s="297">
        <v>2020</v>
      </c>
      <c r="F73" s="296"/>
      <c r="G73" s="297">
        <v>2021</v>
      </c>
      <c r="H73" s="296"/>
      <c r="I73" s="297">
        <v>2022</v>
      </c>
      <c r="J73" s="296"/>
      <c r="K73" s="297">
        <v>2023</v>
      </c>
      <c r="L73" s="296"/>
      <c r="M73" s="297">
        <v>2024</v>
      </c>
      <c r="N73" s="298"/>
      <c r="O73" s="299"/>
    </row>
    <row r="74" spans="1:16" ht="16.5" thickTop="1" thickBot="1" x14ac:dyDescent="0.3">
      <c r="B74" s="85"/>
      <c r="C74" s="111" t="s">
        <v>69</v>
      </c>
      <c r="D74" s="112" t="str">
        <f>CONCATENATE("var. ",RIGHT(C73,2),"/",RIGHT(C73-1,2))</f>
        <v>var. 19/18</v>
      </c>
      <c r="E74" s="113" t="s">
        <v>69</v>
      </c>
      <c r="F74" s="112" t="str">
        <f>CONCATENATE("var. ",RIGHT(E73,2),"/",RIGHT(E73-1,2))</f>
        <v>var. 20/19</v>
      </c>
      <c r="G74" s="113" t="s">
        <v>69</v>
      </c>
      <c r="H74" s="112" t="str">
        <f>CONCATENATE("var. ",RIGHT(G73,2),"/",RIGHT(G73-1,2))</f>
        <v>var. 21/20</v>
      </c>
      <c r="I74" s="113" t="s">
        <v>69</v>
      </c>
      <c r="J74" s="112" t="s">
        <v>136</v>
      </c>
      <c r="K74" s="113" t="s">
        <v>69</v>
      </c>
      <c r="L74" s="112" t="s">
        <v>249</v>
      </c>
      <c r="M74" s="113" t="s">
        <v>69</v>
      </c>
      <c r="N74" s="112" t="s">
        <v>273</v>
      </c>
      <c r="O74" s="112" t="s">
        <v>274</v>
      </c>
    </row>
    <row r="75" spans="1:16" x14ac:dyDescent="0.25">
      <c r="A75" s="1">
        <v>1</v>
      </c>
      <c r="B75" s="114" t="s">
        <v>71</v>
      </c>
      <c r="C75" s="115">
        <v>2396</v>
      </c>
      <c r="D75" s="116">
        <v>9.7069597069597169E-2</v>
      </c>
      <c r="E75" s="115">
        <v>2841</v>
      </c>
      <c r="F75" s="116">
        <f t="shared" ref="F75:F87" si="12">IFERROR(E75/C75-1,"-")</f>
        <v>0.18572621035058434</v>
      </c>
      <c r="G75" s="115">
        <v>543</v>
      </c>
      <c r="H75" s="116">
        <f t="shared" ref="H75:H87" si="13">IFERROR(G75/E75-1,"-")</f>
        <v>-0.80887011615628301</v>
      </c>
      <c r="I75" s="115">
        <v>2071</v>
      </c>
      <c r="J75" s="116">
        <f t="shared" ref="J75:J87" si="14">IFERROR(I75/G75-1,"-")</f>
        <v>2.8139963167587476</v>
      </c>
      <c r="K75" s="115">
        <v>2249</v>
      </c>
      <c r="L75" s="116">
        <f>IFERROR(K75/I75-1,"-")</f>
        <v>8.5948816996620048E-2</v>
      </c>
      <c r="M75" s="115">
        <v>1215</v>
      </c>
      <c r="N75" s="116">
        <v>-0.45975989328590483</v>
      </c>
      <c r="O75" s="116">
        <v>-0.49290484140233726</v>
      </c>
    </row>
    <row r="76" spans="1:16" x14ac:dyDescent="0.25">
      <c r="A76" s="1">
        <v>2</v>
      </c>
      <c r="B76" s="114" t="s">
        <v>73</v>
      </c>
      <c r="C76" s="115">
        <v>2306</v>
      </c>
      <c r="D76" s="116">
        <v>6.8087077350625247E-2</v>
      </c>
      <c r="E76" s="115">
        <v>2546</v>
      </c>
      <c r="F76" s="116">
        <f t="shared" si="12"/>
        <v>0.10407632263660016</v>
      </c>
      <c r="G76" s="115">
        <v>721</v>
      </c>
      <c r="H76" s="116">
        <f t="shared" si="13"/>
        <v>-0.71681068342498033</v>
      </c>
      <c r="I76" s="115">
        <v>1841</v>
      </c>
      <c r="J76" s="116">
        <f t="shared" si="14"/>
        <v>1.5533980582524274</v>
      </c>
      <c r="K76" s="115">
        <v>748</v>
      </c>
      <c r="L76" s="116">
        <f t="shared" ref="L76:L87" si="15">IFERROR(K76/I76-1,"-")</f>
        <v>-0.59369907658881038</v>
      </c>
      <c r="M76" s="115">
        <v>1249</v>
      </c>
      <c r="N76" s="116">
        <v>0.66978609625668439</v>
      </c>
      <c r="O76" s="116">
        <v>-0.45836947094535996</v>
      </c>
    </row>
    <row r="77" spans="1:16" x14ac:dyDescent="0.25">
      <c r="A77" s="1">
        <v>3</v>
      </c>
      <c r="B77" s="114" t="s">
        <v>75</v>
      </c>
      <c r="C77" s="115">
        <v>2302</v>
      </c>
      <c r="D77" s="116">
        <v>-0.11495578623606306</v>
      </c>
      <c r="E77" s="115">
        <v>1038</v>
      </c>
      <c r="F77" s="116">
        <f t="shared" si="12"/>
        <v>-0.54908774978279751</v>
      </c>
      <c r="G77" s="115">
        <v>1575</v>
      </c>
      <c r="H77" s="116">
        <f t="shared" si="13"/>
        <v>0.51734104046242768</v>
      </c>
      <c r="I77" s="115">
        <v>2794</v>
      </c>
      <c r="J77" s="116">
        <f t="shared" si="14"/>
        <v>0.77396825396825397</v>
      </c>
      <c r="K77" s="115">
        <v>1106</v>
      </c>
      <c r="L77" s="116">
        <f t="shared" si="15"/>
        <v>-0.60415175375805297</v>
      </c>
      <c r="M77" s="115">
        <v>1224</v>
      </c>
      <c r="N77" s="116">
        <v>0.10669077757685352</v>
      </c>
      <c r="O77" s="116">
        <v>-0.46828844483058207</v>
      </c>
    </row>
    <row r="78" spans="1:16" x14ac:dyDescent="0.25">
      <c r="A78" s="1">
        <v>4</v>
      </c>
      <c r="B78" s="114" t="s">
        <v>77</v>
      </c>
      <c r="C78" s="115">
        <v>2143</v>
      </c>
      <c r="D78" s="116">
        <v>-0.1735441573467027</v>
      </c>
      <c r="E78" s="115">
        <v>0</v>
      </c>
      <c r="F78" s="116">
        <f t="shared" si="12"/>
        <v>-1</v>
      </c>
      <c r="G78" s="115">
        <v>901</v>
      </c>
      <c r="H78" s="116" t="str">
        <f t="shared" si="13"/>
        <v>-</v>
      </c>
      <c r="I78" s="115">
        <v>2457</v>
      </c>
      <c r="J78" s="116">
        <f t="shared" si="14"/>
        <v>1.7269700332963374</v>
      </c>
      <c r="K78" s="115">
        <v>1949</v>
      </c>
      <c r="L78" s="116">
        <f t="shared" si="15"/>
        <v>-0.20675620675620676</v>
      </c>
      <c r="M78" s="115">
        <v>1108</v>
      </c>
      <c r="N78" s="116">
        <v>-0.43150333504361216</v>
      </c>
      <c r="O78" s="116">
        <v>-0.48296780214652357</v>
      </c>
    </row>
    <row r="79" spans="1:16" x14ac:dyDescent="0.25">
      <c r="A79" s="1">
        <v>5</v>
      </c>
      <c r="B79" s="114" t="s">
        <v>79</v>
      </c>
      <c r="C79" s="115">
        <v>2588</v>
      </c>
      <c r="D79" s="116">
        <v>8.8767353807320148E-2</v>
      </c>
      <c r="E79" s="115">
        <v>0</v>
      </c>
      <c r="F79" s="116">
        <f t="shared" si="12"/>
        <v>-1</v>
      </c>
      <c r="G79" s="115">
        <v>1900</v>
      </c>
      <c r="H79" s="116" t="str">
        <f t="shared" si="13"/>
        <v>-</v>
      </c>
      <c r="I79" s="115">
        <v>1685</v>
      </c>
      <c r="J79" s="116">
        <f t="shared" si="14"/>
        <v>-0.11315789473684212</v>
      </c>
      <c r="K79" s="115">
        <v>2115</v>
      </c>
      <c r="L79" s="116">
        <f t="shared" si="15"/>
        <v>0.25519287833827886</v>
      </c>
      <c r="M79" s="115">
        <v>2258</v>
      </c>
      <c r="N79" s="116">
        <v>6.7612293144208024E-2</v>
      </c>
      <c r="O79" s="116">
        <v>-0.12751159196290573</v>
      </c>
    </row>
    <row r="80" spans="1:16" x14ac:dyDescent="0.25">
      <c r="A80" s="1">
        <v>6</v>
      </c>
      <c r="B80" s="114" t="s">
        <v>81</v>
      </c>
      <c r="C80" s="115">
        <v>2770</v>
      </c>
      <c r="D80" s="116">
        <v>0.24048365427675766</v>
      </c>
      <c r="E80" s="115">
        <v>0</v>
      </c>
      <c r="F80" s="116">
        <f t="shared" si="12"/>
        <v>-1</v>
      </c>
      <c r="G80" s="115">
        <v>1771</v>
      </c>
      <c r="H80" s="116" t="str">
        <f t="shared" si="13"/>
        <v>-</v>
      </c>
      <c r="I80" s="115">
        <v>4228</v>
      </c>
      <c r="J80" s="116">
        <f t="shared" si="14"/>
        <v>1.3873517786561265</v>
      </c>
      <c r="K80" s="115">
        <v>1166</v>
      </c>
      <c r="L80" s="116">
        <f t="shared" si="15"/>
        <v>-0.72421948912015144</v>
      </c>
      <c r="M80" s="115">
        <v>1164</v>
      </c>
      <c r="N80" s="116">
        <v>-1.7152658662092923E-3</v>
      </c>
      <c r="O80" s="116">
        <v>-0.57978339350180508</v>
      </c>
    </row>
    <row r="81" spans="1:16" x14ac:dyDescent="0.25">
      <c r="A81" s="1">
        <v>7</v>
      </c>
      <c r="B81" s="114" t="s">
        <v>83</v>
      </c>
      <c r="C81" s="115">
        <v>2820</v>
      </c>
      <c r="D81" s="116">
        <v>-0.18473547267996526</v>
      </c>
      <c r="E81" s="115">
        <v>0</v>
      </c>
      <c r="F81" s="116">
        <f t="shared" si="12"/>
        <v>-1</v>
      </c>
      <c r="G81" s="115">
        <v>1191</v>
      </c>
      <c r="H81" s="116" t="str">
        <f t="shared" si="13"/>
        <v>-</v>
      </c>
      <c r="I81" s="115">
        <v>2851</v>
      </c>
      <c r="J81" s="116">
        <f t="shared" si="14"/>
        <v>1.3937867338371115</v>
      </c>
      <c r="K81" s="115">
        <v>2003</v>
      </c>
      <c r="L81" s="116">
        <f t="shared" si="15"/>
        <v>-0.29743949491406529</v>
      </c>
      <c r="M81" s="115">
        <v>2667</v>
      </c>
      <c r="N81" s="116">
        <v>0.33150274588117834</v>
      </c>
      <c r="O81" s="116">
        <v>-5.4255319148936221E-2</v>
      </c>
    </row>
    <row r="82" spans="1:16" x14ac:dyDescent="0.25">
      <c r="A82" s="1">
        <v>8</v>
      </c>
      <c r="B82" s="114" t="s">
        <v>85</v>
      </c>
      <c r="C82" s="115">
        <v>2886</v>
      </c>
      <c r="D82" s="116">
        <v>0.13577331759149946</v>
      </c>
      <c r="E82" s="115">
        <v>2303</v>
      </c>
      <c r="F82" s="116">
        <f t="shared" si="12"/>
        <v>-0.20200970200970203</v>
      </c>
      <c r="G82" s="115">
        <v>1356</v>
      </c>
      <c r="H82" s="116">
        <f t="shared" si="13"/>
        <v>-0.41120277898393398</v>
      </c>
      <c r="I82" s="115">
        <v>2044</v>
      </c>
      <c r="J82" s="116">
        <f t="shared" si="14"/>
        <v>0.50737463126843663</v>
      </c>
      <c r="K82" s="115">
        <v>2706</v>
      </c>
      <c r="L82" s="116">
        <f t="shared" si="15"/>
        <v>0.3238747553816046</v>
      </c>
      <c r="M82" s="115">
        <v>1092</v>
      </c>
      <c r="N82" s="116">
        <v>-0.59645232815964522</v>
      </c>
      <c r="O82" s="116">
        <v>-0.6216216216216216</v>
      </c>
    </row>
    <row r="83" spans="1:16" x14ac:dyDescent="0.25">
      <c r="A83" s="1">
        <v>9</v>
      </c>
      <c r="B83" s="114" t="s">
        <v>87</v>
      </c>
      <c r="C83" s="115">
        <v>2311</v>
      </c>
      <c r="D83" s="116">
        <v>-4.7403132728771613E-2</v>
      </c>
      <c r="E83" s="115">
        <v>1308</v>
      </c>
      <c r="F83" s="116">
        <f t="shared" si="12"/>
        <v>-0.4340112505408914</v>
      </c>
      <c r="G83" s="115">
        <v>3089</v>
      </c>
      <c r="H83" s="116">
        <f t="shared" si="13"/>
        <v>1.3616207951070338</v>
      </c>
      <c r="I83" s="115">
        <v>2812</v>
      </c>
      <c r="J83" s="116">
        <f t="shared" si="14"/>
        <v>-8.9673033344124353E-2</v>
      </c>
      <c r="K83" s="115">
        <v>1528</v>
      </c>
      <c r="L83" s="116">
        <f t="shared" si="15"/>
        <v>-0.45661450924608815</v>
      </c>
      <c r="M83" s="115">
        <v>2671</v>
      </c>
      <c r="N83" s="116">
        <v>0.74803664921465973</v>
      </c>
      <c r="O83" s="116">
        <v>0.15577672003461696</v>
      </c>
    </row>
    <row r="84" spans="1:16" x14ac:dyDescent="0.25">
      <c r="A84" s="1">
        <v>10</v>
      </c>
      <c r="B84" s="114" t="s">
        <v>89</v>
      </c>
      <c r="C84" s="115">
        <v>3058</v>
      </c>
      <c r="D84" s="116">
        <v>0.33887915936952706</v>
      </c>
      <c r="E84" s="115">
        <v>874</v>
      </c>
      <c r="F84" s="116">
        <f t="shared" si="12"/>
        <v>-0.71419228253760636</v>
      </c>
      <c r="G84" s="115">
        <v>2179</v>
      </c>
      <c r="H84" s="116">
        <f t="shared" si="13"/>
        <v>1.4931350114416477</v>
      </c>
      <c r="I84" s="115">
        <v>1877</v>
      </c>
      <c r="J84" s="116">
        <f t="shared" si="14"/>
        <v>-0.13859568609453876</v>
      </c>
      <c r="K84" s="115">
        <v>1047</v>
      </c>
      <c r="L84" s="116">
        <f t="shared" si="15"/>
        <v>-0.44219499200852419</v>
      </c>
      <c r="M84" s="115"/>
      <c r="N84" s="116" t="s">
        <v>229</v>
      </c>
      <c r="O84" s="116" t="s">
        <v>229</v>
      </c>
    </row>
    <row r="85" spans="1:16" x14ac:dyDescent="0.25">
      <c r="A85" s="1">
        <v>11</v>
      </c>
      <c r="B85" s="114" t="s">
        <v>91</v>
      </c>
      <c r="C85" s="115">
        <v>3310</v>
      </c>
      <c r="D85" s="116">
        <v>0.38493723849372374</v>
      </c>
      <c r="E85" s="115">
        <v>1374</v>
      </c>
      <c r="F85" s="116">
        <f t="shared" si="12"/>
        <v>-0.58489425981873111</v>
      </c>
      <c r="G85" s="115">
        <v>2323</v>
      </c>
      <c r="H85" s="116">
        <f t="shared" si="13"/>
        <v>0.69068413391557493</v>
      </c>
      <c r="I85" s="115">
        <v>2569</v>
      </c>
      <c r="J85" s="116">
        <f t="shared" si="14"/>
        <v>0.10589754627636672</v>
      </c>
      <c r="K85" s="115">
        <v>1075</v>
      </c>
      <c r="L85" s="116">
        <f t="shared" si="15"/>
        <v>-0.58154924094978588</v>
      </c>
      <c r="M85" s="115"/>
      <c r="N85" s="116" t="s">
        <v>229</v>
      </c>
      <c r="O85" s="116" t="s">
        <v>229</v>
      </c>
    </row>
    <row r="86" spans="1:16" x14ac:dyDescent="0.25">
      <c r="A86" s="1">
        <v>12</v>
      </c>
      <c r="B86" s="114" t="s">
        <v>93</v>
      </c>
      <c r="C86" s="115">
        <v>4113</v>
      </c>
      <c r="D86" s="116">
        <v>0.37604550016728</v>
      </c>
      <c r="E86" s="115">
        <v>1793</v>
      </c>
      <c r="F86" s="116">
        <f t="shared" si="12"/>
        <v>-0.56406515925115486</v>
      </c>
      <c r="G86" s="115">
        <v>2488</v>
      </c>
      <c r="H86" s="116">
        <f t="shared" si="13"/>
        <v>0.38761851645287226</v>
      </c>
      <c r="I86" s="115">
        <v>2999</v>
      </c>
      <c r="J86" s="116">
        <f t="shared" si="14"/>
        <v>0.20538585209003224</v>
      </c>
      <c r="K86" s="115">
        <v>1914</v>
      </c>
      <c r="L86" s="116">
        <f t="shared" si="15"/>
        <v>-0.36178726242080694</v>
      </c>
      <c r="M86" s="115"/>
      <c r="N86" s="116" t="s">
        <v>229</v>
      </c>
      <c r="O86" s="116" t="s">
        <v>229</v>
      </c>
    </row>
    <row r="87" spans="1:16" ht="15.75" x14ac:dyDescent="0.25">
      <c r="B87" s="117" t="s">
        <v>30</v>
      </c>
      <c r="C87" s="118">
        <v>33003</v>
      </c>
      <c r="D87" s="119">
        <v>9.1513427702077044E-2</v>
      </c>
      <c r="E87" s="118">
        <v>15549</v>
      </c>
      <c r="F87" s="119">
        <f t="shared" si="12"/>
        <v>-0.5288610126352149</v>
      </c>
      <c r="G87" s="118">
        <v>20037</v>
      </c>
      <c r="H87" s="119">
        <f t="shared" si="13"/>
        <v>0.28863592513988046</v>
      </c>
      <c r="I87" s="118">
        <v>30228</v>
      </c>
      <c r="J87" s="119">
        <f t="shared" si="14"/>
        <v>0.50860907321455318</v>
      </c>
      <c r="K87" s="118">
        <v>19606</v>
      </c>
      <c r="L87" s="119">
        <f t="shared" si="15"/>
        <v>-0.3513960566362313</v>
      </c>
      <c r="M87" s="118">
        <v>14648</v>
      </c>
      <c r="N87" s="119">
        <v>-5.9216441875401427E-2</v>
      </c>
      <c r="O87" s="119">
        <v>-0.34961371103809613</v>
      </c>
    </row>
    <row r="88" spans="1:16" ht="6" customHeight="1" x14ac:dyDescent="0.25"/>
    <row r="89" spans="1:16" x14ac:dyDescent="0.25">
      <c r="B89" s="105" t="s">
        <v>55</v>
      </c>
      <c r="C89" s="105"/>
      <c r="D89" s="105"/>
      <c r="E89" s="105"/>
      <c r="F89" s="105"/>
      <c r="G89" s="105"/>
      <c r="H89" s="105"/>
      <c r="I89" s="105"/>
      <c r="J89" s="105"/>
      <c r="K89" s="105"/>
      <c r="L89" s="105"/>
      <c r="M89" s="105"/>
      <c r="N89" s="105"/>
      <c r="O89" s="105"/>
    </row>
    <row r="90" spans="1:16" x14ac:dyDescent="0.25">
      <c r="C90" s="120"/>
      <c r="K90" s="120"/>
      <c r="N90" s="79"/>
      <c r="O90" s="79"/>
    </row>
    <row r="92" spans="1:16" ht="48.75" customHeight="1" thickBot="1" x14ac:dyDescent="0.3">
      <c r="B92" s="270" t="s">
        <v>277</v>
      </c>
      <c r="C92" s="270"/>
      <c r="D92" s="270"/>
      <c r="E92" s="270"/>
      <c r="F92" s="270"/>
      <c r="G92" s="270"/>
      <c r="H92" s="270"/>
      <c r="I92" s="270"/>
      <c r="J92" s="270"/>
      <c r="K92" s="270"/>
      <c r="L92" s="270"/>
      <c r="M92" s="270"/>
      <c r="N92" s="270"/>
      <c r="O92" s="270"/>
      <c r="P92" s="1" t="s">
        <v>104</v>
      </c>
    </row>
    <row r="93" spans="1:16" ht="10.5" customHeight="1" thickBot="1" x14ac:dyDescent="0.3">
      <c r="B93" s="106"/>
      <c r="C93" s="107"/>
      <c r="D93" s="106"/>
      <c r="E93" s="106"/>
      <c r="F93" s="106"/>
      <c r="G93" s="106"/>
      <c r="H93" s="106"/>
      <c r="I93" s="106"/>
      <c r="J93" s="106"/>
      <c r="K93" s="106"/>
      <c r="L93" s="106"/>
      <c r="M93" s="4"/>
      <c r="N93" s="4"/>
      <c r="P93" s="1" t="s">
        <v>105</v>
      </c>
    </row>
    <row r="94" spans="1:16" ht="22.5" thickTop="1" thickBot="1" x14ac:dyDescent="0.3">
      <c r="B94" s="121" t="s">
        <v>106</v>
      </c>
      <c r="C94" s="292" t="s">
        <v>107</v>
      </c>
      <c r="D94" s="293"/>
      <c r="E94" s="293"/>
      <c r="F94" s="293"/>
      <c r="G94" s="293"/>
      <c r="H94" s="293"/>
      <c r="I94" s="293"/>
      <c r="J94" s="293"/>
      <c r="K94" s="293"/>
      <c r="L94" s="293"/>
      <c r="M94" s="293"/>
      <c r="N94" s="293"/>
      <c r="O94" s="294"/>
    </row>
    <row r="95" spans="1:16" ht="22.5" thickTop="1" thickBot="1" x14ac:dyDescent="0.3">
      <c r="B95" s="109"/>
      <c r="C95" s="295">
        <f>C7</f>
        <v>2019</v>
      </c>
      <c r="D95" s="296"/>
      <c r="E95" s="297">
        <v>2020</v>
      </c>
      <c r="F95" s="296"/>
      <c r="G95" s="297">
        <v>2021</v>
      </c>
      <c r="H95" s="296"/>
      <c r="I95" s="297">
        <v>2022</v>
      </c>
      <c r="J95" s="296"/>
      <c r="K95" s="297">
        <v>2023</v>
      </c>
      <c r="L95" s="296"/>
      <c r="M95" s="297">
        <v>2024</v>
      </c>
      <c r="N95" s="298"/>
      <c r="O95" s="299"/>
    </row>
    <row r="96" spans="1:16" ht="16.5" thickTop="1" thickBot="1" x14ac:dyDescent="0.3">
      <c r="B96" s="85"/>
      <c r="C96" s="111" t="s">
        <v>69</v>
      </c>
      <c r="D96" s="112" t="str">
        <f>CONCATENATE("var. ",RIGHT(C95,2),"/",RIGHT(C95-1,2))</f>
        <v>var. 19/18</v>
      </c>
      <c r="E96" s="113" t="s">
        <v>69</v>
      </c>
      <c r="F96" s="112" t="str">
        <f>CONCATENATE("var. ",RIGHT(E95,2),"/",RIGHT(E95-1,2))</f>
        <v>var. 20/19</v>
      </c>
      <c r="G96" s="113" t="s">
        <v>69</v>
      </c>
      <c r="H96" s="112" t="str">
        <f>CONCATENATE("var. ",RIGHT(G95,2),"/",RIGHT(G95-1,2))</f>
        <v>var. 21/20</v>
      </c>
      <c r="I96" s="113" t="s">
        <v>69</v>
      </c>
      <c r="J96" s="112" t="s">
        <v>136</v>
      </c>
      <c r="K96" s="113" t="s">
        <v>69</v>
      </c>
      <c r="L96" s="112" t="s">
        <v>249</v>
      </c>
      <c r="M96" s="113" t="s">
        <v>69</v>
      </c>
      <c r="N96" s="112" t="s">
        <v>273</v>
      </c>
      <c r="O96" s="112" t="s">
        <v>274</v>
      </c>
    </row>
    <row r="97" spans="2:15" x14ac:dyDescent="0.25">
      <c r="B97" s="114" t="s">
        <v>71</v>
      </c>
      <c r="C97" s="115">
        <v>7193</v>
      </c>
      <c r="D97" s="116">
        <v>-6.0720814834160364E-2</v>
      </c>
      <c r="E97" s="115">
        <v>7778</v>
      </c>
      <c r="F97" s="116">
        <f t="shared" ref="F97:F109" si="16">IFERROR(E97/C97-1,"-")</f>
        <v>8.132906992909783E-2</v>
      </c>
      <c r="G97" s="115">
        <v>1648</v>
      </c>
      <c r="H97" s="116">
        <f t="shared" ref="H97:H109" si="17">IFERROR(G97/E97-1,"-")</f>
        <v>-0.78812033941887372</v>
      </c>
      <c r="I97" s="115">
        <v>6519</v>
      </c>
      <c r="J97" s="116">
        <f t="shared" ref="J97:J109" si="18">IFERROR(I97/G97-1,"-")</f>
        <v>2.9557038834951457</v>
      </c>
      <c r="K97" s="115">
        <v>8713</v>
      </c>
      <c r="L97" s="116">
        <f t="shared" ref="L97:L109" si="19">IFERROR(K97/I97-1,"-")</f>
        <v>0.33655468630158003</v>
      </c>
      <c r="M97" s="115">
        <v>10751</v>
      </c>
      <c r="N97" s="116">
        <v>0.23390336279123147</v>
      </c>
      <c r="O97" s="116">
        <v>0.49464757403030735</v>
      </c>
    </row>
    <row r="98" spans="2:15" x14ac:dyDescent="0.25">
      <c r="B98" s="114" t="s">
        <v>73</v>
      </c>
      <c r="C98" s="115">
        <v>7955</v>
      </c>
      <c r="D98" s="116">
        <v>3.7969728601252584E-2</v>
      </c>
      <c r="E98" s="115">
        <v>8971</v>
      </c>
      <c r="F98" s="116">
        <f t="shared" si="16"/>
        <v>0.12771841609050916</v>
      </c>
      <c r="G98" s="115">
        <v>1772</v>
      </c>
      <c r="H98" s="116">
        <f t="shared" si="17"/>
        <v>-0.80247464050830453</v>
      </c>
      <c r="I98" s="115">
        <v>6908</v>
      </c>
      <c r="J98" s="116">
        <f t="shared" si="18"/>
        <v>2.8984198645598194</v>
      </c>
      <c r="K98" s="115">
        <v>8514</v>
      </c>
      <c r="L98" s="116">
        <f t="shared" si="19"/>
        <v>0.23248407643312108</v>
      </c>
      <c r="M98" s="115">
        <v>10155</v>
      </c>
      <c r="N98" s="116">
        <v>0.19274136715997181</v>
      </c>
      <c r="O98" s="116">
        <v>0.27655562539283474</v>
      </c>
    </row>
    <row r="99" spans="2:15" x14ac:dyDescent="0.25">
      <c r="B99" s="114" t="s">
        <v>75</v>
      </c>
      <c r="C99" s="115">
        <v>8330</v>
      </c>
      <c r="D99" s="116">
        <v>-2.2415209482455123E-2</v>
      </c>
      <c r="E99" s="115">
        <v>3532</v>
      </c>
      <c r="F99" s="116">
        <f t="shared" si="16"/>
        <v>-0.57599039615846337</v>
      </c>
      <c r="G99" s="115">
        <v>2477</v>
      </c>
      <c r="H99" s="116">
        <f t="shared" si="17"/>
        <v>-0.29869762174405434</v>
      </c>
      <c r="I99" s="115">
        <v>7271</v>
      </c>
      <c r="J99" s="116">
        <f t="shared" si="18"/>
        <v>1.9354057327412191</v>
      </c>
      <c r="K99" s="115">
        <v>9155</v>
      </c>
      <c r="L99" s="116">
        <f t="shared" si="19"/>
        <v>0.25911153899051032</v>
      </c>
      <c r="M99" s="115">
        <v>10079</v>
      </c>
      <c r="N99" s="116">
        <v>0.10092845439650455</v>
      </c>
      <c r="O99" s="116">
        <v>0.20996398559423768</v>
      </c>
    </row>
    <row r="100" spans="2:15" x14ac:dyDescent="0.25">
      <c r="B100" s="114" t="s">
        <v>77</v>
      </c>
      <c r="C100" s="115">
        <v>5974</v>
      </c>
      <c r="D100" s="116">
        <v>-5.2798477881718764E-2</v>
      </c>
      <c r="E100" s="115">
        <v>0</v>
      </c>
      <c r="F100" s="116">
        <f t="shared" si="16"/>
        <v>-1</v>
      </c>
      <c r="G100" s="115">
        <v>2226</v>
      </c>
      <c r="H100" s="116" t="str">
        <f t="shared" si="17"/>
        <v>-</v>
      </c>
      <c r="I100" s="115">
        <v>6256</v>
      </c>
      <c r="J100" s="116">
        <f t="shared" si="18"/>
        <v>1.8104222821203955</v>
      </c>
      <c r="K100" s="115">
        <v>6472</v>
      </c>
      <c r="L100" s="116">
        <f t="shared" si="19"/>
        <v>3.4526854219948833E-2</v>
      </c>
      <c r="M100" s="115">
        <v>7484</v>
      </c>
      <c r="N100" s="116">
        <v>0.15636588380716931</v>
      </c>
      <c r="O100" s="116">
        <v>0.25276196853029798</v>
      </c>
    </row>
    <row r="101" spans="2:15" x14ac:dyDescent="0.25">
      <c r="B101" s="114" t="s">
        <v>79</v>
      </c>
      <c r="C101" s="115">
        <v>4374</v>
      </c>
      <c r="D101" s="116">
        <v>-9.3095583661621406E-2</v>
      </c>
      <c r="E101" s="115">
        <v>0</v>
      </c>
      <c r="F101" s="116">
        <f t="shared" si="16"/>
        <v>-1</v>
      </c>
      <c r="G101" s="115">
        <v>2446</v>
      </c>
      <c r="H101" s="116" t="str">
        <f t="shared" si="17"/>
        <v>-</v>
      </c>
      <c r="I101" s="115">
        <v>4867</v>
      </c>
      <c r="J101" s="116">
        <f t="shared" si="18"/>
        <v>0.98977923139820123</v>
      </c>
      <c r="K101" s="115">
        <v>5606</v>
      </c>
      <c r="L101" s="116">
        <f t="shared" si="19"/>
        <v>0.15183891514279835</v>
      </c>
      <c r="M101" s="115">
        <v>5778</v>
      </c>
      <c r="N101" s="116">
        <v>3.068141277203007E-2</v>
      </c>
      <c r="O101" s="116">
        <v>0.32098765432098775</v>
      </c>
    </row>
    <row r="102" spans="2:15" x14ac:dyDescent="0.25">
      <c r="B102" s="114" t="s">
        <v>81</v>
      </c>
      <c r="C102" s="115">
        <v>2472</v>
      </c>
      <c r="D102" s="116">
        <v>-0.30483689538807646</v>
      </c>
      <c r="E102" s="115">
        <v>0</v>
      </c>
      <c r="F102" s="116">
        <f t="shared" si="16"/>
        <v>-1</v>
      </c>
      <c r="G102" s="115">
        <v>2238</v>
      </c>
      <c r="H102" s="116" t="str">
        <f t="shared" si="17"/>
        <v>-</v>
      </c>
      <c r="I102" s="115">
        <v>3323</v>
      </c>
      <c r="J102" s="116">
        <f t="shared" si="18"/>
        <v>0.48480786416443244</v>
      </c>
      <c r="K102" s="115">
        <v>3827</v>
      </c>
      <c r="L102" s="116">
        <f t="shared" si="19"/>
        <v>0.15167017755040635</v>
      </c>
      <c r="M102" s="115">
        <v>3968</v>
      </c>
      <c r="N102" s="116">
        <v>3.684348053305464E-2</v>
      </c>
      <c r="O102" s="116">
        <v>0.60517799352750812</v>
      </c>
    </row>
    <row r="103" spans="2:15" x14ac:dyDescent="0.25">
      <c r="B103" s="114" t="s">
        <v>83</v>
      </c>
      <c r="C103" s="115">
        <v>2842</v>
      </c>
      <c r="D103" s="116">
        <v>0.14366197183098595</v>
      </c>
      <c r="E103" s="115">
        <v>0</v>
      </c>
      <c r="F103" s="116">
        <f t="shared" si="16"/>
        <v>-1</v>
      </c>
      <c r="G103" s="115">
        <v>2500</v>
      </c>
      <c r="H103" s="116" t="str">
        <f t="shared" si="17"/>
        <v>-</v>
      </c>
      <c r="I103" s="115">
        <v>3947</v>
      </c>
      <c r="J103" s="116">
        <f t="shared" si="18"/>
        <v>0.57879999999999998</v>
      </c>
      <c r="K103" s="115">
        <v>3286</v>
      </c>
      <c r="L103" s="116">
        <f t="shared" si="19"/>
        <v>-0.16746896376995191</v>
      </c>
      <c r="M103" s="115">
        <v>3399</v>
      </c>
      <c r="N103" s="116">
        <v>3.438831405964704E-2</v>
      </c>
      <c r="O103" s="116">
        <v>0.19598874032371572</v>
      </c>
    </row>
    <row r="104" spans="2:15" x14ac:dyDescent="0.25">
      <c r="B104" s="114" t="s">
        <v>85</v>
      </c>
      <c r="C104" s="115">
        <v>2874</v>
      </c>
      <c r="D104" s="116">
        <v>-0.19832635983263602</v>
      </c>
      <c r="E104" s="115">
        <v>1922</v>
      </c>
      <c r="F104" s="116">
        <f t="shared" si="16"/>
        <v>-0.33124565066109957</v>
      </c>
      <c r="G104" s="115">
        <v>4135</v>
      </c>
      <c r="H104" s="116">
        <f t="shared" si="17"/>
        <v>1.151404786680541</v>
      </c>
      <c r="I104" s="115">
        <v>4227</v>
      </c>
      <c r="J104" s="116">
        <f t="shared" si="18"/>
        <v>2.2249093107617801E-2</v>
      </c>
      <c r="K104" s="115">
        <v>4721</v>
      </c>
      <c r="L104" s="116">
        <f t="shared" si="19"/>
        <v>0.11686775490891876</v>
      </c>
      <c r="M104" s="115">
        <v>4564</v>
      </c>
      <c r="N104" s="116">
        <v>-3.325566617242115E-2</v>
      </c>
      <c r="O104" s="116">
        <v>0.58803061934585954</v>
      </c>
    </row>
    <row r="105" spans="2:15" x14ac:dyDescent="0.25">
      <c r="B105" s="114" t="s">
        <v>87</v>
      </c>
      <c r="C105" s="115">
        <v>2799</v>
      </c>
      <c r="D105" s="116">
        <v>-0.34663865546218486</v>
      </c>
      <c r="E105" s="115">
        <v>692</v>
      </c>
      <c r="F105" s="116">
        <f t="shared" si="16"/>
        <v>-0.75276884601643446</v>
      </c>
      <c r="G105" s="115">
        <v>3054</v>
      </c>
      <c r="H105" s="116">
        <f t="shared" si="17"/>
        <v>3.4132947976878611</v>
      </c>
      <c r="I105" s="115">
        <v>4234</v>
      </c>
      <c r="J105" s="116">
        <f t="shared" si="18"/>
        <v>0.38637851997380479</v>
      </c>
      <c r="K105" s="115">
        <v>4186</v>
      </c>
      <c r="L105" s="116">
        <f t="shared" si="19"/>
        <v>-1.1336797354747241E-2</v>
      </c>
      <c r="M105" s="115">
        <v>3938</v>
      </c>
      <c r="N105" s="116">
        <v>-5.9245102723363585E-2</v>
      </c>
      <c r="O105" s="116">
        <v>0.40693104680242942</v>
      </c>
    </row>
    <row r="106" spans="2:15" x14ac:dyDescent="0.25">
      <c r="B106" s="114" t="s">
        <v>89</v>
      </c>
      <c r="C106" s="115">
        <v>4698</v>
      </c>
      <c r="D106" s="116">
        <v>-9.7753024774342223E-2</v>
      </c>
      <c r="E106" s="115">
        <v>825</v>
      </c>
      <c r="F106" s="116">
        <f t="shared" si="16"/>
        <v>-0.82439335887611753</v>
      </c>
      <c r="G106" s="115">
        <v>6196</v>
      </c>
      <c r="H106" s="116">
        <f t="shared" si="17"/>
        <v>6.5103030303030307</v>
      </c>
      <c r="I106" s="115">
        <v>6125</v>
      </c>
      <c r="J106" s="116">
        <f t="shared" si="18"/>
        <v>-1.1459005810200096E-2</v>
      </c>
      <c r="K106" s="115">
        <v>5590</v>
      </c>
      <c r="L106" s="116">
        <f t="shared" si="19"/>
        <v>-8.7346938775510252E-2</v>
      </c>
      <c r="M106" s="115"/>
      <c r="N106" s="116" t="s">
        <v>229</v>
      </c>
      <c r="O106" s="116" t="s">
        <v>229</v>
      </c>
    </row>
    <row r="107" spans="2:15" x14ac:dyDescent="0.25">
      <c r="B107" s="114" t="s">
        <v>91</v>
      </c>
      <c r="C107" s="115">
        <v>7569</v>
      </c>
      <c r="D107" s="116">
        <v>5.9193954659949588E-2</v>
      </c>
      <c r="E107" s="115">
        <v>1112</v>
      </c>
      <c r="F107" s="116">
        <f t="shared" si="16"/>
        <v>-0.85308495177698507</v>
      </c>
      <c r="G107" s="115">
        <v>7124</v>
      </c>
      <c r="H107" s="116">
        <f t="shared" si="17"/>
        <v>5.4064748201438846</v>
      </c>
      <c r="I107" s="115">
        <v>7135</v>
      </c>
      <c r="J107" s="116">
        <f t="shared" si="18"/>
        <v>1.5440763615945929E-3</v>
      </c>
      <c r="K107" s="115">
        <v>8768</v>
      </c>
      <c r="L107" s="116">
        <f t="shared" si="19"/>
        <v>0.22887175893482836</v>
      </c>
      <c r="M107" s="115"/>
      <c r="N107" s="116" t="s">
        <v>229</v>
      </c>
      <c r="O107" s="116" t="s">
        <v>229</v>
      </c>
    </row>
    <row r="108" spans="2:15" x14ac:dyDescent="0.25">
      <c r="B108" s="114" t="s">
        <v>93</v>
      </c>
      <c r="C108" s="115">
        <v>6114</v>
      </c>
      <c r="D108" s="116">
        <v>-6.5566254011921177E-2</v>
      </c>
      <c r="E108" s="115">
        <v>1575</v>
      </c>
      <c r="F108" s="116">
        <f t="shared" si="16"/>
        <v>-0.74239450441609423</v>
      </c>
      <c r="G108" s="115">
        <v>5523</v>
      </c>
      <c r="H108" s="116">
        <f t="shared" si="17"/>
        <v>2.5066666666666668</v>
      </c>
      <c r="I108" s="115">
        <v>5994</v>
      </c>
      <c r="J108" s="116">
        <f t="shared" si="18"/>
        <v>8.5279739272134725E-2</v>
      </c>
      <c r="K108" s="115">
        <v>7064</v>
      </c>
      <c r="L108" s="116">
        <f t="shared" si="19"/>
        <v>0.17851184517851193</v>
      </c>
      <c r="M108" s="115"/>
      <c r="N108" s="116" t="s">
        <v>229</v>
      </c>
      <c r="O108" s="116" t="s">
        <v>229</v>
      </c>
    </row>
    <row r="109" spans="2:15" ht="15.75" x14ac:dyDescent="0.25">
      <c r="B109" s="117" t="s">
        <v>30</v>
      </c>
      <c r="C109" s="118">
        <v>63194</v>
      </c>
      <c r="D109" s="119">
        <v>-6.7646321131914044E-2</v>
      </c>
      <c r="E109" s="118">
        <v>27247</v>
      </c>
      <c r="F109" s="119">
        <f t="shared" si="16"/>
        <v>-0.56883564895401462</v>
      </c>
      <c r="G109" s="118">
        <v>41339</v>
      </c>
      <c r="H109" s="119">
        <f t="shared" si="17"/>
        <v>0.51719455352882893</v>
      </c>
      <c r="I109" s="118">
        <v>66806</v>
      </c>
      <c r="J109" s="119">
        <f t="shared" si="18"/>
        <v>0.61605263794479792</v>
      </c>
      <c r="K109" s="118">
        <v>75902</v>
      </c>
      <c r="L109" s="119">
        <f t="shared" si="19"/>
        <v>0.13615543514055628</v>
      </c>
      <c r="M109" s="118">
        <v>60116</v>
      </c>
      <c r="N109" s="119">
        <v>0.10345080763582959</v>
      </c>
      <c r="O109" s="119">
        <v>0.34148572958739654</v>
      </c>
    </row>
    <row r="110" spans="2:15" ht="6" customHeight="1" x14ac:dyDescent="0.25"/>
    <row r="111" spans="2:15" x14ac:dyDescent="0.25">
      <c r="B111" s="105" t="s">
        <v>55</v>
      </c>
      <c r="C111" s="105"/>
      <c r="D111" s="105"/>
      <c r="E111" s="105"/>
      <c r="F111" s="105"/>
      <c r="G111" s="105"/>
      <c r="H111" s="105"/>
      <c r="I111" s="105"/>
      <c r="J111" s="105"/>
      <c r="K111" s="105"/>
      <c r="L111" s="105"/>
      <c r="M111" s="105"/>
      <c r="N111" s="105"/>
      <c r="O111" s="105"/>
    </row>
    <row r="112" spans="2:15" x14ac:dyDescent="0.25">
      <c r="C112" s="120"/>
      <c r="K112" s="120"/>
      <c r="N112" s="79"/>
      <c r="O112" s="79"/>
    </row>
    <row r="114" spans="1:16" ht="48.75" customHeight="1" thickBot="1" x14ac:dyDescent="0.3">
      <c r="B114" s="270" t="s">
        <v>278</v>
      </c>
      <c r="C114" s="270"/>
      <c r="D114" s="270"/>
      <c r="E114" s="270"/>
      <c r="F114" s="270"/>
      <c r="G114" s="270"/>
      <c r="H114" s="270"/>
      <c r="I114" s="270"/>
      <c r="J114" s="270"/>
      <c r="K114" s="270"/>
      <c r="L114" s="270"/>
      <c r="M114" s="270"/>
      <c r="N114" s="270"/>
      <c r="O114" s="270"/>
      <c r="P114" s="1" t="s">
        <v>108</v>
      </c>
    </row>
    <row r="115" spans="1:16" ht="10.5" customHeight="1" thickBot="1" x14ac:dyDescent="0.3">
      <c r="B115" s="106"/>
      <c r="C115" s="107"/>
      <c r="D115" s="106"/>
      <c r="E115" s="106"/>
      <c r="F115" s="106"/>
      <c r="G115" s="106"/>
      <c r="H115" s="106"/>
      <c r="I115" s="106"/>
      <c r="J115" s="106"/>
      <c r="K115" s="106"/>
      <c r="L115" s="106"/>
      <c r="M115" s="4"/>
      <c r="N115" s="4"/>
      <c r="P115" s="1" t="s">
        <v>109</v>
      </c>
    </row>
    <row r="116" spans="1:16" ht="22.5" thickTop="1" thickBot="1" x14ac:dyDescent="0.3">
      <c r="B116" s="121" t="str">
        <f>C116</f>
        <v>Reino Unido</v>
      </c>
      <c r="C116" s="292" t="s">
        <v>110</v>
      </c>
      <c r="D116" s="293"/>
      <c r="E116" s="293"/>
      <c r="F116" s="293"/>
      <c r="G116" s="293"/>
      <c r="H116" s="293"/>
      <c r="I116" s="293"/>
      <c r="J116" s="293"/>
      <c r="K116" s="293"/>
      <c r="L116" s="293"/>
      <c r="M116" s="293"/>
      <c r="N116" s="293"/>
      <c r="O116" s="294"/>
    </row>
    <row r="117" spans="1:16" ht="22.5" thickTop="1" thickBot="1" x14ac:dyDescent="0.3">
      <c r="B117" s="109"/>
      <c r="C117" s="295">
        <f>C7</f>
        <v>2019</v>
      </c>
      <c r="D117" s="296"/>
      <c r="E117" s="297">
        <v>2020</v>
      </c>
      <c r="F117" s="296"/>
      <c r="G117" s="297">
        <v>2021</v>
      </c>
      <c r="H117" s="296"/>
      <c r="I117" s="297">
        <v>2022</v>
      </c>
      <c r="J117" s="296"/>
      <c r="K117" s="297">
        <v>2023</v>
      </c>
      <c r="L117" s="296"/>
      <c r="M117" s="297">
        <v>2024</v>
      </c>
      <c r="N117" s="298"/>
      <c r="O117" s="299"/>
    </row>
    <row r="118" spans="1:16" ht="16.5" thickTop="1" thickBot="1" x14ac:dyDescent="0.3">
      <c r="B118" s="85"/>
      <c r="C118" s="111" t="s">
        <v>69</v>
      </c>
      <c r="D118" s="112" t="str">
        <f>CONCATENATE("var. ",RIGHT(C117,2),"/",RIGHT(C117-1,2))</f>
        <v>var. 19/18</v>
      </c>
      <c r="E118" s="113" t="s">
        <v>69</v>
      </c>
      <c r="F118" s="112" t="str">
        <f>CONCATENATE("var. ",RIGHT(E117,2),"/",RIGHT(E117-1,2))</f>
        <v>var. 20/19</v>
      </c>
      <c r="G118" s="113" t="s">
        <v>69</v>
      </c>
      <c r="H118" s="112" t="str">
        <f>CONCATENATE("var. ",RIGHT(G117,2),"/",RIGHT(G117-1,2))</f>
        <v>var. 21/20</v>
      </c>
      <c r="I118" s="113" t="s">
        <v>69</v>
      </c>
      <c r="J118" s="112" t="s">
        <v>136</v>
      </c>
      <c r="K118" s="113" t="s">
        <v>69</v>
      </c>
      <c r="L118" s="112" t="s">
        <v>249</v>
      </c>
      <c r="M118" s="113" t="s">
        <v>69</v>
      </c>
      <c r="N118" s="112" t="s">
        <v>273</v>
      </c>
      <c r="O118" s="112" t="s">
        <v>274</v>
      </c>
    </row>
    <row r="119" spans="1:16" x14ac:dyDescent="0.25">
      <c r="B119" s="114" t="s">
        <v>71</v>
      </c>
      <c r="C119" s="115">
        <v>1359</v>
      </c>
      <c r="D119" s="116">
        <v>0.41858037578288099</v>
      </c>
      <c r="E119" s="115">
        <v>1433</v>
      </c>
      <c r="F119" s="116">
        <f t="shared" ref="F119:F131" si="20">IFERROR(E119/C119-1,"-")</f>
        <v>5.4451802796173565E-2</v>
      </c>
      <c r="G119" s="115">
        <v>40</v>
      </c>
      <c r="H119" s="116">
        <f t="shared" ref="H119:H131" si="21">IFERROR(G119/E119-1,"-")</f>
        <v>-0.97208653175157012</v>
      </c>
      <c r="I119" s="115">
        <v>1082</v>
      </c>
      <c r="J119" s="116">
        <f t="shared" ref="J119:J131" si="22">IFERROR(I119/G119-1,"-")</f>
        <v>26.05</v>
      </c>
      <c r="K119" s="115">
        <v>1714</v>
      </c>
      <c r="L119" s="116">
        <f t="shared" ref="L119:L131" si="23">IFERROR(K119/I119-1,"-")</f>
        <v>0.5841035120147875</v>
      </c>
      <c r="M119" s="115">
        <v>1480</v>
      </c>
      <c r="N119" s="116">
        <v>-0.13652275379229872</v>
      </c>
      <c r="O119" s="116">
        <v>8.9036055923473079E-2</v>
      </c>
    </row>
    <row r="120" spans="1:16" x14ac:dyDescent="0.25">
      <c r="B120" s="114" t="s">
        <v>73</v>
      </c>
      <c r="C120" s="115">
        <v>1613</v>
      </c>
      <c r="D120" s="116">
        <v>0.75326086956521743</v>
      </c>
      <c r="E120" s="115">
        <v>2393</v>
      </c>
      <c r="F120" s="116">
        <f t="shared" si="20"/>
        <v>0.48357098574085544</v>
      </c>
      <c r="G120" s="115">
        <v>45</v>
      </c>
      <c r="H120" s="116">
        <f t="shared" si="21"/>
        <v>-0.98119515252820722</v>
      </c>
      <c r="I120" s="115">
        <v>1253</v>
      </c>
      <c r="J120" s="116">
        <f t="shared" si="22"/>
        <v>26.844444444444445</v>
      </c>
      <c r="K120" s="115">
        <v>1744</v>
      </c>
      <c r="L120" s="116">
        <f t="shared" si="23"/>
        <v>0.39185953711093369</v>
      </c>
      <c r="M120" s="115">
        <v>2068</v>
      </c>
      <c r="N120" s="116">
        <v>0.18577981651376141</v>
      </c>
      <c r="O120" s="116">
        <v>0.28208307501549901</v>
      </c>
    </row>
    <row r="121" spans="1:16" x14ac:dyDescent="0.25">
      <c r="B121" s="114" t="s">
        <v>75</v>
      </c>
      <c r="C121" s="115">
        <v>1121</v>
      </c>
      <c r="D121" s="116">
        <v>4.6685340802987918E-2</v>
      </c>
      <c r="E121" s="115">
        <v>615</v>
      </c>
      <c r="F121" s="116">
        <f t="shared" si="20"/>
        <v>-0.45138269402319353</v>
      </c>
      <c r="G121" s="115">
        <v>44</v>
      </c>
      <c r="H121" s="116">
        <f t="shared" si="21"/>
        <v>-0.92845528455284554</v>
      </c>
      <c r="I121" s="115">
        <v>1088</v>
      </c>
      <c r="J121" s="116">
        <f t="shared" si="22"/>
        <v>23.727272727272727</v>
      </c>
      <c r="K121" s="115">
        <v>1558</v>
      </c>
      <c r="L121" s="116">
        <f t="shared" si="23"/>
        <v>0.43198529411764697</v>
      </c>
      <c r="M121" s="115">
        <v>1890</v>
      </c>
      <c r="N121" s="116">
        <v>0.21309370988446719</v>
      </c>
      <c r="O121" s="116">
        <v>0.68599464763603923</v>
      </c>
    </row>
    <row r="122" spans="1:16" x14ac:dyDescent="0.25">
      <c r="B122" s="114" t="s">
        <v>77</v>
      </c>
      <c r="C122" s="115">
        <v>616</v>
      </c>
      <c r="D122" s="116">
        <v>0.1079136690647482</v>
      </c>
      <c r="E122" s="115">
        <v>0</v>
      </c>
      <c r="F122" s="116">
        <f t="shared" si="20"/>
        <v>-1</v>
      </c>
      <c r="G122" s="115">
        <v>55</v>
      </c>
      <c r="H122" s="116" t="str">
        <f t="shared" si="21"/>
        <v>-</v>
      </c>
      <c r="I122" s="115">
        <v>541</v>
      </c>
      <c r="J122" s="116">
        <f t="shared" si="22"/>
        <v>8.836363636363636</v>
      </c>
      <c r="K122" s="115">
        <v>682</v>
      </c>
      <c r="L122" s="116">
        <f t="shared" si="23"/>
        <v>0.26062846580406651</v>
      </c>
      <c r="M122" s="115">
        <v>1379</v>
      </c>
      <c r="N122" s="116">
        <v>1.0219941348973607</v>
      </c>
      <c r="O122" s="116">
        <v>1.2386363636363638</v>
      </c>
    </row>
    <row r="123" spans="1:16" x14ac:dyDescent="0.25">
      <c r="B123" s="114" t="s">
        <v>79</v>
      </c>
      <c r="C123" s="115">
        <v>420</v>
      </c>
      <c r="D123" s="116">
        <v>9.0909090909090828E-2</v>
      </c>
      <c r="E123" s="115">
        <v>0</v>
      </c>
      <c r="F123" s="116">
        <f t="shared" si="20"/>
        <v>-1</v>
      </c>
      <c r="G123" s="115">
        <v>44</v>
      </c>
      <c r="H123" s="116" t="str">
        <f t="shared" si="21"/>
        <v>-</v>
      </c>
      <c r="I123" s="115">
        <v>524</v>
      </c>
      <c r="J123" s="116">
        <f t="shared" si="22"/>
        <v>10.909090909090908</v>
      </c>
      <c r="K123" s="115">
        <v>550</v>
      </c>
      <c r="L123" s="116">
        <f t="shared" si="23"/>
        <v>4.961832061068705E-2</v>
      </c>
      <c r="M123" s="115">
        <v>732</v>
      </c>
      <c r="N123" s="116">
        <v>0.33090909090909082</v>
      </c>
      <c r="O123" s="116">
        <v>0.74285714285714288</v>
      </c>
    </row>
    <row r="124" spans="1:16" x14ac:dyDescent="0.25">
      <c r="B124" s="114" t="s">
        <v>81</v>
      </c>
      <c r="C124" s="115">
        <v>198</v>
      </c>
      <c r="D124" s="116">
        <v>-0.32191780821917804</v>
      </c>
      <c r="E124" s="115">
        <v>0</v>
      </c>
      <c r="F124" s="116">
        <f t="shared" si="20"/>
        <v>-1</v>
      </c>
      <c r="G124" s="115">
        <v>121</v>
      </c>
      <c r="H124" s="116" t="str">
        <f t="shared" si="21"/>
        <v>-</v>
      </c>
      <c r="I124" s="115">
        <v>530</v>
      </c>
      <c r="J124" s="116">
        <f t="shared" si="22"/>
        <v>3.3801652892561984</v>
      </c>
      <c r="K124" s="115">
        <v>510</v>
      </c>
      <c r="L124" s="116">
        <f t="shared" si="23"/>
        <v>-3.7735849056603765E-2</v>
      </c>
      <c r="M124" s="115">
        <v>471</v>
      </c>
      <c r="N124" s="116">
        <v>-7.6470588235294068E-2</v>
      </c>
      <c r="O124" s="116">
        <v>1.3787878787878789</v>
      </c>
    </row>
    <row r="125" spans="1:16" x14ac:dyDescent="0.25">
      <c r="B125" s="114" t="s">
        <v>83</v>
      </c>
      <c r="C125" s="115">
        <v>319</v>
      </c>
      <c r="D125" s="116">
        <v>-0.16927083333333337</v>
      </c>
      <c r="E125" s="115">
        <v>0</v>
      </c>
      <c r="F125" s="116">
        <f t="shared" si="20"/>
        <v>-1</v>
      </c>
      <c r="G125" s="115">
        <v>184</v>
      </c>
      <c r="H125" s="116" t="str">
        <f t="shared" si="21"/>
        <v>-</v>
      </c>
      <c r="I125" s="115">
        <v>456</v>
      </c>
      <c r="J125" s="116">
        <f t="shared" si="22"/>
        <v>1.4782608695652173</v>
      </c>
      <c r="K125" s="115">
        <v>444</v>
      </c>
      <c r="L125" s="116">
        <f t="shared" si="23"/>
        <v>-2.6315789473684181E-2</v>
      </c>
      <c r="M125" s="115">
        <v>401</v>
      </c>
      <c r="N125" s="116">
        <v>-9.6846846846846857E-2</v>
      </c>
      <c r="O125" s="116">
        <v>0.25705329153605017</v>
      </c>
    </row>
    <row r="126" spans="1:16" x14ac:dyDescent="0.25">
      <c r="B126" s="114" t="s">
        <v>85</v>
      </c>
      <c r="C126" s="115">
        <v>223</v>
      </c>
      <c r="D126" s="116">
        <v>4.20560747663552E-2</v>
      </c>
      <c r="E126" s="115">
        <v>66</v>
      </c>
      <c r="F126" s="116">
        <f t="shared" si="20"/>
        <v>-0.70403587443946192</v>
      </c>
      <c r="G126" s="115">
        <v>415</v>
      </c>
      <c r="H126" s="116">
        <f t="shared" si="21"/>
        <v>5.2878787878787881</v>
      </c>
      <c r="I126" s="115">
        <v>482</v>
      </c>
      <c r="J126" s="116">
        <f t="shared" si="22"/>
        <v>0.16144578313253022</v>
      </c>
      <c r="K126" s="115">
        <v>571</v>
      </c>
      <c r="L126" s="116">
        <f t="shared" si="23"/>
        <v>0.18464730290456433</v>
      </c>
      <c r="M126" s="115">
        <v>572</v>
      </c>
      <c r="N126" s="116">
        <v>1.7513134851139256E-3</v>
      </c>
      <c r="O126" s="116">
        <v>1.5650224215246635</v>
      </c>
    </row>
    <row r="127" spans="1:16" x14ac:dyDescent="0.25">
      <c r="B127" s="114" t="s">
        <v>87</v>
      </c>
      <c r="C127" s="115">
        <v>369</v>
      </c>
      <c r="D127" s="116">
        <v>-0.32541133455210236</v>
      </c>
      <c r="E127" s="115">
        <v>42</v>
      </c>
      <c r="F127" s="116">
        <f t="shared" si="20"/>
        <v>-0.88617886178861793</v>
      </c>
      <c r="G127" s="115">
        <v>273</v>
      </c>
      <c r="H127" s="116">
        <f t="shared" si="21"/>
        <v>5.5</v>
      </c>
      <c r="I127" s="115">
        <v>722</v>
      </c>
      <c r="J127" s="116">
        <f t="shared" si="22"/>
        <v>1.6446886446886446</v>
      </c>
      <c r="K127" s="115">
        <v>664</v>
      </c>
      <c r="L127" s="116">
        <f t="shared" si="23"/>
        <v>-8.0332409972299179E-2</v>
      </c>
      <c r="M127" s="115">
        <v>519</v>
      </c>
      <c r="N127" s="116">
        <v>-0.21837349397590367</v>
      </c>
      <c r="O127" s="116">
        <v>0.4065040650406504</v>
      </c>
    </row>
    <row r="128" spans="1:16" x14ac:dyDescent="0.25">
      <c r="A128" s="120"/>
      <c r="B128" s="114" t="s">
        <v>89</v>
      </c>
      <c r="C128" s="115">
        <v>312</v>
      </c>
      <c r="D128" s="116">
        <v>-0.31877729257641918</v>
      </c>
      <c r="E128" s="115">
        <v>90</v>
      </c>
      <c r="F128" s="116">
        <f t="shared" si="20"/>
        <v>-0.71153846153846156</v>
      </c>
      <c r="G128" s="115">
        <v>757</v>
      </c>
      <c r="H128" s="116">
        <f t="shared" si="21"/>
        <v>7.4111111111111114</v>
      </c>
      <c r="I128" s="115">
        <v>676</v>
      </c>
      <c r="J128" s="116">
        <f t="shared" si="22"/>
        <v>-0.10700132100396298</v>
      </c>
      <c r="K128" s="115">
        <v>658</v>
      </c>
      <c r="L128" s="116">
        <f t="shared" si="23"/>
        <v>-2.6627218934911268E-2</v>
      </c>
      <c r="M128" s="115"/>
      <c r="N128" s="116" t="s">
        <v>229</v>
      </c>
      <c r="O128" s="116" t="s">
        <v>229</v>
      </c>
    </row>
    <row r="129" spans="2:16" x14ac:dyDescent="0.25">
      <c r="B129" s="114" t="s">
        <v>91</v>
      </c>
      <c r="C129" s="115">
        <v>765</v>
      </c>
      <c r="D129" s="116">
        <v>2.4096385542168752E-2</v>
      </c>
      <c r="E129" s="115">
        <v>206</v>
      </c>
      <c r="F129" s="116">
        <f t="shared" si="20"/>
        <v>-0.73071895424836608</v>
      </c>
      <c r="G129" s="115">
        <v>836</v>
      </c>
      <c r="H129" s="116">
        <f t="shared" si="21"/>
        <v>3.058252427184466</v>
      </c>
      <c r="I129" s="115">
        <v>947</v>
      </c>
      <c r="J129" s="116">
        <f t="shared" si="22"/>
        <v>0.13277511961722488</v>
      </c>
      <c r="K129" s="115">
        <v>849</v>
      </c>
      <c r="L129" s="116">
        <f t="shared" si="23"/>
        <v>-0.10348468848996828</v>
      </c>
      <c r="M129" s="115"/>
      <c r="N129" s="116" t="s">
        <v>229</v>
      </c>
      <c r="O129" s="116" t="s">
        <v>229</v>
      </c>
    </row>
    <row r="130" spans="2:16" x14ac:dyDescent="0.25">
      <c r="B130" s="114" t="s">
        <v>93</v>
      </c>
      <c r="C130" s="115">
        <v>767</v>
      </c>
      <c r="D130" s="116">
        <v>0.27620632279534107</v>
      </c>
      <c r="E130" s="115">
        <v>136</v>
      </c>
      <c r="F130" s="116">
        <f t="shared" si="20"/>
        <v>-0.82268578878748366</v>
      </c>
      <c r="G130" s="115">
        <v>680</v>
      </c>
      <c r="H130" s="116">
        <f t="shared" si="21"/>
        <v>4</v>
      </c>
      <c r="I130" s="115">
        <v>948</v>
      </c>
      <c r="J130" s="116">
        <f t="shared" si="22"/>
        <v>0.39411764705882346</v>
      </c>
      <c r="K130" s="115">
        <v>1233</v>
      </c>
      <c r="L130" s="116">
        <f t="shared" si="23"/>
        <v>0.30063291139240511</v>
      </c>
      <c r="M130" s="115"/>
      <c r="N130" s="116" t="s">
        <v>229</v>
      </c>
      <c r="O130" s="116" t="s">
        <v>229</v>
      </c>
    </row>
    <row r="131" spans="2:16" ht="15.75" x14ac:dyDescent="0.25">
      <c r="B131" s="117" t="s">
        <v>30</v>
      </c>
      <c r="C131" s="118">
        <v>8082</v>
      </c>
      <c r="D131" s="119">
        <v>0.13304360016823225</v>
      </c>
      <c r="E131" s="118">
        <v>5019</v>
      </c>
      <c r="F131" s="119">
        <f t="shared" si="20"/>
        <v>-0.37899034892353378</v>
      </c>
      <c r="G131" s="118">
        <v>3494</v>
      </c>
      <c r="H131" s="119">
        <f t="shared" si="21"/>
        <v>-0.30384538752739587</v>
      </c>
      <c r="I131" s="118">
        <v>9249</v>
      </c>
      <c r="J131" s="119">
        <f t="shared" si="22"/>
        <v>1.6471093302804807</v>
      </c>
      <c r="K131" s="118">
        <v>11177</v>
      </c>
      <c r="L131" s="119">
        <f t="shared" si="23"/>
        <v>0.20845496810465991</v>
      </c>
      <c r="M131" s="118">
        <v>9512</v>
      </c>
      <c r="N131" s="119">
        <v>0.12741495792343249</v>
      </c>
      <c r="O131" s="119">
        <v>0.52484770759858934</v>
      </c>
    </row>
    <row r="132" spans="2:16" ht="6" customHeight="1" x14ac:dyDescent="0.25"/>
    <row r="133" spans="2:16" x14ac:dyDescent="0.25">
      <c r="B133" s="105" t="s">
        <v>55</v>
      </c>
      <c r="C133" s="105"/>
      <c r="D133" s="105"/>
      <c r="E133" s="105"/>
      <c r="F133" s="105"/>
      <c r="G133" s="105"/>
      <c r="H133" s="105"/>
      <c r="I133" s="105"/>
      <c r="J133" s="105"/>
      <c r="K133" s="105"/>
      <c r="L133" s="105"/>
      <c r="M133" s="105"/>
      <c r="N133" s="105"/>
      <c r="O133" s="105"/>
    </row>
    <row r="134" spans="2:16" x14ac:dyDescent="0.25">
      <c r="C134" s="120"/>
      <c r="K134" s="120"/>
      <c r="N134" s="79"/>
      <c r="O134" s="79"/>
    </row>
    <row r="136" spans="2:16" ht="48.75" customHeight="1" thickBot="1" x14ac:dyDescent="0.3">
      <c r="B136" s="270" t="s">
        <v>279</v>
      </c>
      <c r="C136" s="270"/>
      <c r="D136" s="270"/>
      <c r="E136" s="270"/>
      <c r="F136" s="270"/>
      <c r="G136" s="270"/>
      <c r="H136" s="270"/>
      <c r="I136" s="270"/>
      <c r="J136" s="270"/>
      <c r="K136" s="270"/>
      <c r="L136" s="270"/>
      <c r="M136" s="270"/>
      <c r="N136" s="270"/>
      <c r="O136" s="270"/>
      <c r="P136" s="1" t="s">
        <v>111</v>
      </c>
    </row>
    <row r="137" spans="2:16" ht="10.5" customHeight="1" thickBot="1" x14ac:dyDescent="0.3">
      <c r="B137" s="106"/>
      <c r="C137" s="107"/>
      <c r="D137" s="106"/>
      <c r="E137" s="106"/>
      <c r="F137" s="106"/>
      <c r="G137" s="106"/>
      <c r="H137" s="106"/>
      <c r="I137" s="106"/>
      <c r="J137" s="106"/>
      <c r="K137" s="106"/>
      <c r="L137" s="106"/>
      <c r="M137" s="4"/>
      <c r="N137" s="4"/>
      <c r="P137" s="1" t="s">
        <v>112</v>
      </c>
    </row>
    <row r="138" spans="2:16" ht="22.5" thickTop="1" thickBot="1" x14ac:dyDescent="0.3">
      <c r="B138" s="121" t="str">
        <f>C138</f>
        <v>Alemania</v>
      </c>
      <c r="C138" s="292" t="s">
        <v>113</v>
      </c>
      <c r="D138" s="293"/>
      <c r="E138" s="293"/>
      <c r="F138" s="293"/>
      <c r="G138" s="293"/>
      <c r="H138" s="293"/>
      <c r="I138" s="293"/>
      <c r="J138" s="293"/>
      <c r="K138" s="293"/>
      <c r="L138" s="293"/>
      <c r="M138" s="293"/>
      <c r="N138" s="293"/>
      <c r="O138" s="294"/>
    </row>
    <row r="139" spans="2:16" ht="22.5" thickTop="1" thickBot="1" x14ac:dyDescent="0.3">
      <c r="B139" s="109"/>
      <c r="C139" s="295">
        <f>C7</f>
        <v>2019</v>
      </c>
      <c r="D139" s="296"/>
      <c r="E139" s="297">
        <v>2020</v>
      </c>
      <c r="F139" s="296"/>
      <c r="G139" s="297">
        <v>2021</v>
      </c>
      <c r="H139" s="296"/>
      <c r="I139" s="297">
        <v>2022</v>
      </c>
      <c r="J139" s="296"/>
      <c r="K139" s="297">
        <v>2023</v>
      </c>
      <c r="L139" s="296"/>
      <c r="M139" s="297">
        <v>2024</v>
      </c>
      <c r="N139" s="298"/>
      <c r="O139" s="299"/>
    </row>
    <row r="140" spans="2:16" ht="16.5" thickTop="1" thickBot="1" x14ac:dyDescent="0.3">
      <c r="B140" s="85"/>
      <c r="C140" s="111" t="s">
        <v>69</v>
      </c>
      <c r="D140" s="112" t="str">
        <f>CONCATENATE("var. ",RIGHT(C139,2),"/",RIGHT(C139-1,2))</f>
        <v>var. 19/18</v>
      </c>
      <c r="E140" s="113" t="s">
        <v>69</v>
      </c>
      <c r="F140" s="112" t="str">
        <f>CONCATENATE("var. ",RIGHT(E139,2),"/",RIGHT(E139-1,2))</f>
        <v>var. 20/19</v>
      </c>
      <c r="G140" s="113" t="s">
        <v>69</v>
      </c>
      <c r="H140" s="112" t="str">
        <f>CONCATENATE("var. ",RIGHT(G139,2),"/",RIGHT(G139-1,2))</f>
        <v>var. 21/20</v>
      </c>
      <c r="I140" s="113" t="s">
        <v>69</v>
      </c>
      <c r="J140" s="112" t="s">
        <v>136</v>
      </c>
      <c r="K140" s="113" t="s">
        <v>69</v>
      </c>
      <c r="L140" s="112" t="s">
        <v>249</v>
      </c>
      <c r="M140" s="113" t="s">
        <v>69</v>
      </c>
      <c r="N140" s="112" t="s">
        <v>273</v>
      </c>
      <c r="O140" s="112" t="s">
        <v>274</v>
      </c>
    </row>
    <row r="141" spans="2:16" x14ac:dyDescent="0.25">
      <c r="B141" s="114" t="s">
        <v>71</v>
      </c>
      <c r="C141" s="115">
        <v>2478</v>
      </c>
      <c r="D141" s="116">
        <v>-0.19935379644588047</v>
      </c>
      <c r="E141" s="115">
        <v>2551</v>
      </c>
      <c r="F141" s="116">
        <f t="shared" ref="F141:F153" si="24">IFERROR(E141/C141-1,"-")</f>
        <v>2.9459241323648078E-2</v>
      </c>
      <c r="G141" s="115">
        <v>513</v>
      </c>
      <c r="H141" s="116">
        <f t="shared" ref="H141:H153" si="25">IFERROR(G141/E141-1,"-")</f>
        <v>-0.79890239121912976</v>
      </c>
      <c r="I141" s="115">
        <v>1768</v>
      </c>
      <c r="J141" s="116">
        <f t="shared" ref="J141:J153" si="26">IFERROR(I141/G141-1,"-")</f>
        <v>2.4463937621832357</v>
      </c>
      <c r="K141" s="115">
        <v>2687</v>
      </c>
      <c r="L141" s="116">
        <f t="shared" ref="L141:L153" si="27">IFERROR(K141/I141-1,"-")</f>
        <v>0.51979638009049767</v>
      </c>
      <c r="M141" s="115">
        <v>3551</v>
      </c>
      <c r="N141" s="116">
        <v>0.32154819501302567</v>
      </c>
      <c r="O141" s="116">
        <v>0.4330104923325262</v>
      </c>
    </row>
    <row r="142" spans="2:16" x14ac:dyDescent="0.25">
      <c r="B142" s="114" t="s">
        <v>73</v>
      </c>
      <c r="C142" s="115">
        <v>2866</v>
      </c>
      <c r="D142" s="116">
        <v>1.415428167020516E-2</v>
      </c>
      <c r="E142" s="115">
        <v>2540</v>
      </c>
      <c r="F142" s="116">
        <f t="shared" si="24"/>
        <v>-0.11374738311235166</v>
      </c>
      <c r="G142" s="115">
        <v>554</v>
      </c>
      <c r="H142" s="116">
        <f t="shared" si="25"/>
        <v>-0.78188976377952757</v>
      </c>
      <c r="I142" s="115">
        <v>2351</v>
      </c>
      <c r="J142" s="116">
        <f t="shared" si="26"/>
        <v>3.243682310469314</v>
      </c>
      <c r="K142" s="115">
        <v>2836</v>
      </c>
      <c r="L142" s="116">
        <f t="shared" si="27"/>
        <v>0.20629519353466619</v>
      </c>
      <c r="M142" s="115">
        <v>3116</v>
      </c>
      <c r="N142" s="116">
        <v>9.8730606488011352E-2</v>
      </c>
      <c r="O142" s="116">
        <v>8.7229588276343417E-2</v>
      </c>
    </row>
    <row r="143" spans="2:16" x14ac:dyDescent="0.25">
      <c r="B143" s="114" t="s">
        <v>75</v>
      </c>
      <c r="C143" s="115">
        <v>3115</v>
      </c>
      <c r="D143" s="116">
        <v>-5.1750380517503802E-2</v>
      </c>
      <c r="E143" s="115">
        <v>1376</v>
      </c>
      <c r="F143" s="116">
        <f t="shared" si="24"/>
        <v>-0.55826645264847508</v>
      </c>
      <c r="G143" s="115">
        <v>832</v>
      </c>
      <c r="H143" s="116">
        <f t="shared" si="25"/>
        <v>-0.39534883720930236</v>
      </c>
      <c r="I143" s="115">
        <v>2524</v>
      </c>
      <c r="J143" s="116">
        <f t="shared" si="26"/>
        <v>2.0336538461538463</v>
      </c>
      <c r="K143" s="115">
        <v>2988</v>
      </c>
      <c r="L143" s="116">
        <f t="shared" si="27"/>
        <v>0.1838351822503963</v>
      </c>
      <c r="M143" s="115">
        <v>3366</v>
      </c>
      <c r="N143" s="116">
        <v>0.12650602409638556</v>
      </c>
      <c r="O143" s="116">
        <v>8.0577849117174916E-2</v>
      </c>
    </row>
    <row r="144" spans="2:16" x14ac:dyDescent="0.25">
      <c r="B144" s="114" t="s">
        <v>77</v>
      </c>
      <c r="C144" s="115">
        <v>2355</v>
      </c>
      <c r="D144" s="116">
        <v>-8.8269454123112712E-2</v>
      </c>
      <c r="E144" s="115">
        <v>0</v>
      </c>
      <c r="F144" s="116">
        <f t="shared" si="24"/>
        <v>-1</v>
      </c>
      <c r="G144" s="115">
        <v>529</v>
      </c>
      <c r="H144" s="116" t="str">
        <f t="shared" si="25"/>
        <v>-</v>
      </c>
      <c r="I144" s="115">
        <v>2322</v>
      </c>
      <c r="J144" s="116">
        <f t="shared" si="26"/>
        <v>3.3894139886578447</v>
      </c>
      <c r="K144" s="115">
        <v>2380</v>
      </c>
      <c r="L144" s="116">
        <f t="shared" si="27"/>
        <v>2.4978466838931901E-2</v>
      </c>
      <c r="M144" s="115">
        <v>2313</v>
      </c>
      <c r="N144" s="116">
        <v>-2.8151260504201692E-2</v>
      </c>
      <c r="O144" s="116">
        <v>-1.7834394904458595E-2</v>
      </c>
    </row>
    <row r="145" spans="1:16" x14ac:dyDescent="0.25">
      <c r="B145" s="114" t="s">
        <v>79</v>
      </c>
      <c r="C145" s="115">
        <v>1669</v>
      </c>
      <c r="D145" s="116">
        <v>-7.4833702882483366E-2</v>
      </c>
      <c r="E145" s="115">
        <v>0</v>
      </c>
      <c r="F145" s="116">
        <f t="shared" si="24"/>
        <v>-1</v>
      </c>
      <c r="G145" s="115">
        <v>579</v>
      </c>
      <c r="H145" s="116" t="str">
        <f t="shared" si="25"/>
        <v>-</v>
      </c>
      <c r="I145" s="115">
        <v>1417</v>
      </c>
      <c r="J145" s="116">
        <f t="shared" si="26"/>
        <v>1.4473229706390329</v>
      </c>
      <c r="K145" s="115">
        <v>1273</v>
      </c>
      <c r="L145" s="116">
        <f t="shared" si="27"/>
        <v>-0.10162314749470713</v>
      </c>
      <c r="M145" s="115">
        <v>1592</v>
      </c>
      <c r="N145" s="116">
        <v>0.25058915946582871</v>
      </c>
      <c r="O145" s="116">
        <v>-4.6135410425404477E-2</v>
      </c>
    </row>
    <row r="146" spans="1:16" x14ac:dyDescent="0.25">
      <c r="B146" s="114" t="s">
        <v>81</v>
      </c>
      <c r="C146" s="115">
        <v>365</v>
      </c>
      <c r="D146" s="116">
        <v>-0.73318713450292394</v>
      </c>
      <c r="E146" s="115">
        <v>0</v>
      </c>
      <c r="F146" s="116">
        <f t="shared" si="24"/>
        <v>-1</v>
      </c>
      <c r="G146" s="115">
        <v>885</v>
      </c>
      <c r="H146" s="116" t="str">
        <f t="shared" si="25"/>
        <v>-</v>
      </c>
      <c r="I146" s="115">
        <v>894</v>
      </c>
      <c r="J146" s="116">
        <f t="shared" si="26"/>
        <v>1.0169491525423791E-2</v>
      </c>
      <c r="K146" s="115">
        <v>831</v>
      </c>
      <c r="L146" s="116">
        <f t="shared" si="27"/>
        <v>-7.0469798657718075E-2</v>
      </c>
      <c r="M146" s="115">
        <v>1011</v>
      </c>
      <c r="N146" s="116">
        <v>0.21660649819494582</v>
      </c>
      <c r="O146" s="116">
        <v>1.7698630136986302</v>
      </c>
    </row>
    <row r="147" spans="1:16" x14ac:dyDescent="0.25">
      <c r="B147" s="114" t="s">
        <v>83</v>
      </c>
      <c r="C147" s="115">
        <v>235</v>
      </c>
      <c r="D147" s="116">
        <v>-0.55238095238095242</v>
      </c>
      <c r="E147" s="115">
        <v>0</v>
      </c>
      <c r="F147" s="116">
        <f t="shared" si="24"/>
        <v>-1</v>
      </c>
      <c r="G147" s="115">
        <v>856</v>
      </c>
      <c r="H147" s="116" t="str">
        <f t="shared" si="25"/>
        <v>-</v>
      </c>
      <c r="I147" s="115">
        <v>945</v>
      </c>
      <c r="J147" s="116">
        <f t="shared" si="26"/>
        <v>0.10397196261682251</v>
      </c>
      <c r="K147" s="115">
        <v>427</v>
      </c>
      <c r="L147" s="116">
        <f t="shared" si="27"/>
        <v>-0.54814814814814816</v>
      </c>
      <c r="M147" s="115">
        <v>454</v>
      </c>
      <c r="N147" s="116">
        <v>6.3231850117096089E-2</v>
      </c>
      <c r="O147" s="116">
        <v>0.93191489361702118</v>
      </c>
    </row>
    <row r="148" spans="1:16" x14ac:dyDescent="0.25">
      <c r="B148" s="114" t="s">
        <v>85</v>
      </c>
      <c r="C148" s="115">
        <v>549</v>
      </c>
      <c r="D148" s="116">
        <v>-0.58999253174010458</v>
      </c>
      <c r="E148" s="115">
        <v>307</v>
      </c>
      <c r="F148" s="116">
        <f t="shared" si="24"/>
        <v>-0.44080145719489983</v>
      </c>
      <c r="G148" s="115">
        <v>1325</v>
      </c>
      <c r="H148" s="116">
        <f t="shared" si="25"/>
        <v>3.315960912052117</v>
      </c>
      <c r="I148" s="115">
        <v>1073</v>
      </c>
      <c r="J148" s="116">
        <f t="shared" si="26"/>
        <v>-0.19018867924528304</v>
      </c>
      <c r="K148" s="115">
        <v>1227</v>
      </c>
      <c r="L148" s="116">
        <f t="shared" si="27"/>
        <v>0.14352283317800563</v>
      </c>
      <c r="M148" s="115">
        <v>1129</v>
      </c>
      <c r="N148" s="116">
        <v>-7.9869600651996775E-2</v>
      </c>
      <c r="O148" s="116">
        <v>1.0564663023679417</v>
      </c>
    </row>
    <row r="149" spans="1:16" x14ac:dyDescent="0.25">
      <c r="B149" s="114" t="s">
        <v>87</v>
      </c>
      <c r="C149" s="115">
        <v>592</v>
      </c>
      <c r="D149" s="116">
        <v>-0.57924662402274341</v>
      </c>
      <c r="E149" s="115">
        <v>72</v>
      </c>
      <c r="F149" s="116">
        <f t="shared" si="24"/>
        <v>-0.8783783783783784</v>
      </c>
      <c r="G149" s="115">
        <v>1236</v>
      </c>
      <c r="H149" s="116">
        <f t="shared" si="25"/>
        <v>16.166666666666668</v>
      </c>
      <c r="I149" s="115">
        <v>1386</v>
      </c>
      <c r="J149" s="116">
        <f t="shared" si="26"/>
        <v>0.12135922330097082</v>
      </c>
      <c r="K149" s="115">
        <v>1288</v>
      </c>
      <c r="L149" s="116">
        <f t="shared" si="27"/>
        <v>-7.0707070707070718E-2</v>
      </c>
      <c r="M149" s="115">
        <v>1311</v>
      </c>
      <c r="N149" s="116">
        <v>1.7857142857142794E-2</v>
      </c>
      <c r="O149" s="116">
        <v>1.2145270270270272</v>
      </c>
    </row>
    <row r="150" spans="1:16" x14ac:dyDescent="0.25">
      <c r="A150" s="120"/>
      <c r="B150" s="114" t="s">
        <v>89</v>
      </c>
      <c r="C150" s="115">
        <v>1681</v>
      </c>
      <c r="D150" s="116">
        <v>-8.5916258836324144E-2</v>
      </c>
      <c r="E150" s="115">
        <v>122</v>
      </c>
      <c r="F150" s="116">
        <f t="shared" si="24"/>
        <v>-0.92742415229030339</v>
      </c>
      <c r="G150" s="115">
        <v>3442</v>
      </c>
      <c r="H150" s="116">
        <f t="shared" si="25"/>
        <v>27.21311475409836</v>
      </c>
      <c r="I150" s="115">
        <v>2114</v>
      </c>
      <c r="J150" s="116">
        <f t="shared" si="26"/>
        <v>-0.38582219639744331</v>
      </c>
      <c r="K150" s="115">
        <v>1758</v>
      </c>
      <c r="L150" s="116">
        <f t="shared" si="27"/>
        <v>-0.16840113528855249</v>
      </c>
      <c r="M150" s="115"/>
      <c r="N150" s="116" t="s">
        <v>229</v>
      </c>
      <c r="O150" s="116" t="s">
        <v>229</v>
      </c>
    </row>
    <row r="151" spans="1:16" x14ac:dyDescent="0.25">
      <c r="B151" s="114" t="s">
        <v>91</v>
      </c>
      <c r="C151" s="115">
        <v>3204</v>
      </c>
      <c r="D151" s="116">
        <v>5.6379821958457033E-2</v>
      </c>
      <c r="E151" s="115">
        <v>210</v>
      </c>
      <c r="F151" s="116">
        <f t="shared" si="24"/>
        <v>-0.93445692883895126</v>
      </c>
      <c r="G151" s="115">
        <v>2718</v>
      </c>
      <c r="H151" s="116">
        <f t="shared" si="25"/>
        <v>11.942857142857143</v>
      </c>
      <c r="I151" s="115">
        <v>2423</v>
      </c>
      <c r="J151" s="116">
        <f t="shared" si="26"/>
        <v>-0.10853568800588664</v>
      </c>
      <c r="K151" s="115">
        <v>2908</v>
      </c>
      <c r="L151" s="116">
        <f t="shared" si="27"/>
        <v>0.20016508460586047</v>
      </c>
      <c r="M151" s="115"/>
      <c r="N151" s="116" t="s">
        <v>229</v>
      </c>
      <c r="O151" s="116" t="s">
        <v>229</v>
      </c>
    </row>
    <row r="152" spans="1:16" x14ac:dyDescent="0.25">
      <c r="B152" s="114" t="s">
        <v>93</v>
      </c>
      <c r="C152" s="115">
        <v>2257</v>
      </c>
      <c r="D152" s="116">
        <v>-0.10613861386138612</v>
      </c>
      <c r="E152" s="115">
        <v>199</v>
      </c>
      <c r="F152" s="116">
        <f t="shared" si="24"/>
        <v>-0.91182986264953481</v>
      </c>
      <c r="G152" s="115">
        <v>1924</v>
      </c>
      <c r="H152" s="116">
        <f t="shared" si="25"/>
        <v>8.6683417085427141</v>
      </c>
      <c r="I152" s="115">
        <v>1833</v>
      </c>
      <c r="J152" s="116">
        <f t="shared" si="26"/>
        <v>-4.7297297297297258E-2</v>
      </c>
      <c r="K152" s="115">
        <v>2036</v>
      </c>
      <c r="L152" s="116">
        <f t="shared" si="27"/>
        <v>0.11074740861974908</v>
      </c>
      <c r="M152" s="115"/>
      <c r="N152" s="116" t="s">
        <v>229</v>
      </c>
      <c r="O152" s="116" t="s">
        <v>229</v>
      </c>
    </row>
    <row r="153" spans="1:16" ht="15.75" x14ac:dyDescent="0.25">
      <c r="B153" s="117" t="s">
        <v>30</v>
      </c>
      <c r="C153" s="118">
        <v>21366</v>
      </c>
      <c r="D153" s="119">
        <v>-0.16633501112021543</v>
      </c>
      <c r="E153" s="118">
        <v>7473</v>
      </c>
      <c r="F153" s="119">
        <f t="shared" si="24"/>
        <v>-0.65023869699522607</v>
      </c>
      <c r="G153" s="118">
        <v>15393</v>
      </c>
      <c r="H153" s="119">
        <f t="shared" si="25"/>
        <v>1.0598153352067441</v>
      </c>
      <c r="I153" s="118">
        <v>21050</v>
      </c>
      <c r="J153" s="119">
        <f t="shared" si="26"/>
        <v>0.36750470993308637</v>
      </c>
      <c r="K153" s="118">
        <v>22639</v>
      </c>
      <c r="L153" s="119">
        <f t="shared" si="27"/>
        <v>7.5486935866983407E-2</v>
      </c>
      <c r="M153" s="118">
        <v>17843</v>
      </c>
      <c r="N153" s="119">
        <v>0.11959590889125926</v>
      </c>
      <c r="O153" s="119">
        <v>0.25442913385826782</v>
      </c>
    </row>
    <row r="154" spans="1:16" ht="6" customHeight="1" x14ac:dyDescent="0.25"/>
    <row r="155" spans="1:16" x14ac:dyDescent="0.25">
      <c r="B155" s="105" t="s">
        <v>55</v>
      </c>
      <c r="C155" s="105"/>
      <c r="D155" s="105"/>
      <c r="E155" s="105"/>
      <c r="F155" s="105"/>
      <c r="G155" s="105"/>
      <c r="H155" s="105"/>
      <c r="I155" s="105"/>
      <c r="J155" s="105"/>
      <c r="K155" s="105"/>
      <c r="L155" s="105"/>
      <c r="M155" s="105"/>
      <c r="N155" s="105"/>
      <c r="O155" s="105"/>
    </row>
    <row r="156" spans="1:16" x14ac:dyDescent="0.25">
      <c r="C156" s="120"/>
      <c r="K156" s="120"/>
      <c r="N156" s="79"/>
      <c r="O156" s="79"/>
    </row>
    <row r="157" spans="1:16" x14ac:dyDescent="0.25">
      <c r="O157" s="122"/>
    </row>
    <row r="158" spans="1:16" ht="48.75" customHeight="1" thickBot="1" x14ac:dyDescent="0.3">
      <c r="B158" s="270" t="s">
        <v>280</v>
      </c>
      <c r="C158" s="270"/>
      <c r="D158" s="270"/>
      <c r="E158" s="270"/>
      <c r="F158" s="270"/>
      <c r="G158" s="270"/>
      <c r="H158" s="270"/>
      <c r="I158" s="270"/>
      <c r="J158" s="270"/>
      <c r="K158" s="270"/>
      <c r="L158" s="270"/>
      <c r="M158" s="270"/>
      <c r="N158" s="270"/>
      <c r="O158" s="270"/>
      <c r="P158" s="1" t="s">
        <v>114</v>
      </c>
    </row>
    <row r="159" spans="1:16" ht="10.5" customHeight="1" thickBot="1" x14ac:dyDescent="0.3">
      <c r="B159" s="106"/>
      <c r="C159" s="107"/>
      <c r="D159" s="106"/>
      <c r="E159" s="106"/>
      <c r="F159" s="106"/>
      <c r="G159" s="106"/>
      <c r="H159" s="106"/>
      <c r="I159" s="106"/>
      <c r="J159" s="106"/>
      <c r="K159" s="106"/>
      <c r="L159" s="106"/>
      <c r="M159" s="4"/>
      <c r="N159" s="4"/>
      <c r="P159" s="1" t="s">
        <v>115</v>
      </c>
    </row>
    <row r="160" spans="1:16" ht="22.5" thickTop="1" thickBot="1" x14ac:dyDescent="0.3">
      <c r="B160" s="121" t="str">
        <f>C160</f>
        <v>Francia</v>
      </c>
      <c r="C160" s="292" t="s">
        <v>116</v>
      </c>
      <c r="D160" s="293"/>
      <c r="E160" s="293"/>
      <c r="F160" s="293"/>
      <c r="G160" s="293"/>
      <c r="H160" s="293"/>
      <c r="I160" s="293"/>
      <c r="J160" s="293"/>
      <c r="K160" s="293"/>
      <c r="L160" s="293"/>
      <c r="M160" s="293"/>
      <c r="N160" s="293"/>
      <c r="O160" s="294"/>
    </row>
    <row r="161" spans="2:15" ht="22.5" thickTop="1" thickBot="1" x14ac:dyDescent="0.3">
      <c r="B161" s="109"/>
      <c r="C161" s="295">
        <f>C7</f>
        <v>2019</v>
      </c>
      <c r="D161" s="296"/>
      <c r="E161" s="297">
        <v>2020</v>
      </c>
      <c r="F161" s="296"/>
      <c r="G161" s="297">
        <v>2021</v>
      </c>
      <c r="H161" s="296"/>
      <c r="I161" s="297">
        <v>2022</v>
      </c>
      <c r="J161" s="296"/>
      <c r="K161" s="297">
        <v>2023</v>
      </c>
      <c r="L161" s="296"/>
      <c r="M161" s="297">
        <v>2024</v>
      </c>
      <c r="N161" s="298"/>
      <c r="O161" s="299"/>
    </row>
    <row r="162" spans="2:15" ht="16.5" thickTop="1" thickBot="1" x14ac:dyDescent="0.3">
      <c r="B162" s="85"/>
      <c r="C162" s="111" t="s">
        <v>69</v>
      </c>
      <c r="D162" s="112" t="str">
        <f>CONCATENATE("var. ",RIGHT(C161,2),"/",RIGHT(C161-1,2))</f>
        <v>var. 19/18</v>
      </c>
      <c r="E162" s="113" t="s">
        <v>69</v>
      </c>
      <c r="F162" s="112" t="str">
        <f>CONCATENATE("var. ",RIGHT(E161,2),"/",RIGHT(E161-1,2))</f>
        <v>var. 20/19</v>
      </c>
      <c r="G162" s="113" t="s">
        <v>69</v>
      </c>
      <c r="H162" s="112" t="str">
        <f>CONCATENATE("var. ",RIGHT(G161,2),"/",RIGHT(G161-1,2))</f>
        <v>var. 21/20</v>
      </c>
      <c r="I162" s="113" t="s">
        <v>69</v>
      </c>
      <c r="J162" s="112" t="s">
        <v>136</v>
      </c>
      <c r="K162" s="113" t="s">
        <v>69</v>
      </c>
      <c r="L162" s="112" t="s">
        <v>249</v>
      </c>
      <c r="M162" s="113" t="s">
        <v>69</v>
      </c>
      <c r="N162" s="112" t="s">
        <v>273</v>
      </c>
      <c r="O162" s="112" t="s">
        <v>274</v>
      </c>
    </row>
    <row r="163" spans="2:15" x14ac:dyDescent="0.25">
      <c r="B163" s="114" t="s">
        <v>71</v>
      </c>
      <c r="C163" s="115">
        <v>720</v>
      </c>
      <c r="D163" s="116">
        <v>-0.21311475409836067</v>
      </c>
      <c r="E163" s="115">
        <v>944</v>
      </c>
      <c r="F163" s="116">
        <f t="shared" ref="F163:F175" si="28">IFERROR(E163/C163-1,"-")</f>
        <v>0.31111111111111112</v>
      </c>
      <c r="G163" s="115">
        <v>372</v>
      </c>
      <c r="H163" s="116">
        <f t="shared" ref="H163:H175" si="29">IFERROR(G163/E163-1,"-")</f>
        <v>-0.60593220338983045</v>
      </c>
      <c r="I163" s="115">
        <v>771</v>
      </c>
      <c r="J163" s="116">
        <f t="shared" ref="J163:J175" si="30">IFERROR(I163/G163-1,"-")</f>
        <v>1.0725806451612905</v>
      </c>
      <c r="K163" s="115">
        <v>1006</v>
      </c>
      <c r="L163" s="116">
        <f t="shared" ref="L163:L175" si="31">IFERROR(K163/I163-1,"-")</f>
        <v>0.30479896238651105</v>
      </c>
      <c r="M163" s="115">
        <v>991</v>
      </c>
      <c r="N163" s="116">
        <v>-1.491053677932408E-2</v>
      </c>
      <c r="O163" s="116">
        <v>0.37638888888888888</v>
      </c>
    </row>
    <row r="164" spans="2:15" x14ac:dyDescent="0.25">
      <c r="B164" s="114" t="s">
        <v>73</v>
      </c>
      <c r="C164" s="115">
        <v>948</v>
      </c>
      <c r="D164" s="116">
        <v>-8.1395348837209336E-2</v>
      </c>
      <c r="E164" s="115">
        <v>1207</v>
      </c>
      <c r="F164" s="116">
        <f t="shared" si="28"/>
        <v>0.27320675105485237</v>
      </c>
      <c r="G164" s="115">
        <v>546</v>
      </c>
      <c r="H164" s="116">
        <f t="shared" si="29"/>
        <v>-0.54763877381938686</v>
      </c>
      <c r="I164" s="115">
        <v>863</v>
      </c>
      <c r="J164" s="116">
        <f t="shared" si="30"/>
        <v>0.58058608058608052</v>
      </c>
      <c r="K164" s="115">
        <v>1019</v>
      </c>
      <c r="L164" s="116">
        <f t="shared" si="31"/>
        <v>0.18076477404403235</v>
      </c>
      <c r="M164" s="115">
        <v>1220</v>
      </c>
      <c r="N164" s="116">
        <v>0.19725220804710508</v>
      </c>
      <c r="O164" s="116">
        <v>0.28691983122362874</v>
      </c>
    </row>
    <row r="165" spans="2:15" x14ac:dyDescent="0.25">
      <c r="B165" s="114" t="s">
        <v>75</v>
      </c>
      <c r="C165" s="115">
        <v>1044</v>
      </c>
      <c r="D165" s="116">
        <v>7.186858316221767E-2</v>
      </c>
      <c r="E165" s="115">
        <v>505</v>
      </c>
      <c r="F165" s="116">
        <f t="shared" si="28"/>
        <v>-0.51628352490421459</v>
      </c>
      <c r="G165" s="115">
        <v>843</v>
      </c>
      <c r="H165" s="116">
        <f t="shared" si="29"/>
        <v>0.66930693069306924</v>
      </c>
      <c r="I165" s="115">
        <v>945</v>
      </c>
      <c r="J165" s="116">
        <f t="shared" si="30"/>
        <v>0.12099644128113884</v>
      </c>
      <c r="K165" s="115">
        <v>1138</v>
      </c>
      <c r="L165" s="116">
        <f t="shared" si="31"/>
        <v>0.20423280423280432</v>
      </c>
      <c r="M165" s="115">
        <v>1305</v>
      </c>
      <c r="N165" s="116">
        <v>0.14674868189806678</v>
      </c>
      <c r="O165" s="116">
        <v>0.25</v>
      </c>
    </row>
    <row r="166" spans="2:15" x14ac:dyDescent="0.25">
      <c r="B166" s="114" t="s">
        <v>77</v>
      </c>
      <c r="C166" s="115">
        <v>826</v>
      </c>
      <c r="D166" s="116">
        <v>-1.4319809069212375E-2</v>
      </c>
      <c r="E166" s="115">
        <v>0</v>
      </c>
      <c r="F166" s="116">
        <f t="shared" si="28"/>
        <v>-1</v>
      </c>
      <c r="G166" s="115">
        <v>695</v>
      </c>
      <c r="H166" s="116" t="str">
        <f t="shared" si="29"/>
        <v>-</v>
      </c>
      <c r="I166" s="115">
        <v>745</v>
      </c>
      <c r="J166" s="116">
        <f t="shared" si="30"/>
        <v>7.1942446043165464E-2</v>
      </c>
      <c r="K166" s="115">
        <v>650</v>
      </c>
      <c r="L166" s="116">
        <f t="shared" si="31"/>
        <v>-0.12751677852348997</v>
      </c>
      <c r="M166" s="115">
        <v>832</v>
      </c>
      <c r="N166" s="116">
        <v>0.28000000000000003</v>
      </c>
      <c r="O166" s="116">
        <v>7.2639225181598821E-3</v>
      </c>
    </row>
    <row r="167" spans="2:15" x14ac:dyDescent="0.25">
      <c r="B167" s="114" t="s">
        <v>79</v>
      </c>
      <c r="C167" s="115">
        <v>715</v>
      </c>
      <c r="D167" s="116">
        <v>0.2543859649122806</v>
      </c>
      <c r="E167" s="115">
        <v>0</v>
      </c>
      <c r="F167" s="116">
        <f t="shared" si="28"/>
        <v>-1</v>
      </c>
      <c r="G167" s="115">
        <v>723</v>
      </c>
      <c r="H167" s="116" t="str">
        <f t="shared" si="29"/>
        <v>-</v>
      </c>
      <c r="I167" s="115">
        <v>572</v>
      </c>
      <c r="J167" s="116">
        <f t="shared" si="30"/>
        <v>-0.20885200553250349</v>
      </c>
      <c r="K167" s="115">
        <v>732</v>
      </c>
      <c r="L167" s="116">
        <f t="shared" si="31"/>
        <v>0.2797202797202798</v>
      </c>
      <c r="M167" s="115">
        <v>862</v>
      </c>
      <c r="N167" s="116">
        <v>0.17759562841530063</v>
      </c>
      <c r="O167" s="116">
        <v>0.20559440559440567</v>
      </c>
    </row>
    <row r="168" spans="2:15" x14ac:dyDescent="0.25">
      <c r="B168" s="114" t="s">
        <v>81</v>
      </c>
      <c r="C168" s="115">
        <v>429</v>
      </c>
      <c r="D168" s="116">
        <v>-6.9414316702819945E-2</v>
      </c>
      <c r="E168" s="115">
        <v>0</v>
      </c>
      <c r="F168" s="116">
        <f t="shared" si="28"/>
        <v>-1</v>
      </c>
      <c r="G168" s="115">
        <v>357</v>
      </c>
      <c r="H168" s="116" t="str">
        <f t="shared" si="29"/>
        <v>-</v>
      </c>
      <c r="I168" s="115">
        <v>278</v>
      </c>
      <c r="J168" s="116">
        <f t="shared" si="30"/>
        <v>-0.22128851540616246</v>
      </c>
      <c r="K168" s="115">
        <v>374</v>
      </c>
      <c r="L168" s="116">
        <f t="shared" si="31"/>
        <v>0.34532374100719432</v>
      </c>
      <c r="M168" s="115">
        <v>426</v>
      </c>
      <c r="N168" s="116">
        <v>0.1390374331550801</v>
      </c>
      <c r="O168" s="116">
        <v>-6.9930069930069783E-3</v>
      </c>
    </row>
    <row r="169" spans="2:15" x14ac:dyDescent="0.25">
      <c r="B169" s="114" t="s">
        <v>83</v>
      </c>
      <c r="C169" s="115">
        <v>548</v>
      </c>
      <c r="D169" s="116">
        <v>5.1823416506717956E-2</v>
      </c>
      <c r="E169" s="115">
        <v>0</v>
      </c>
      <c r="F169" s="116">
        <f t="shared" si="28"/>
        <v>-1</v>
      </c>
      <c r="G169" s="115">
        <v>421</v>
      </c>
      <c r="H169" s="116" t="str">
        <f t="shared" si="29"/>
        <v>-</v>
      </c>
      <c r="I169" s="115">
        <v>580</v>
      </c>
      <c r="J169" s="116">
        <f t="shared" si="30"/>
        <v>0.37767220902612819</v>
      </c>
      <c r="K169" s="115">
        <v>379</v>
      </c>
      <c r="L169" s="116">
        <f t="shared" si="31"/>
        <v>-0.34655172413793101</v>
      </c>
      <c r="M169" s="115">
        <v>596</v>
      </c>
      <c r="N169" s="116">
        <v>0.57255936675461738</v>
      </c>
      <c r="O169" s="116">
        <v>8.7591240875912302E-2</v>
      </c>
    </row>
    <row r="170" spans="2:15" x14ac:dyDescent="0.25">
      <c r="B170" s="114" t="s">
        <v>85</v>
      </c>
      <c r="C170" s="115">
        <v>723</v>
      </c>
      <c r="D170" s="116">
        <v>0.14037854889589907</v>
      </c>
      <c r="E170" s="115">
        <v>912</v>
      </c>
      <c r="F170" s="116">
        <f t="shared" si="28"/>
        <v>0.2614107883817427</v>
      </c>
      <c r="G170" s="115">
        <v>932</v>
      </c>
      <c r="H170" s="116">
        <f t="shared" si="29"/>
        <v>2.1929824561403466E-2</v>
      </c>
      <c r="I170" s="115">
        <v>860</v>
      </c>
      <c r="J170" s="116">
        <f t="shared" si="30"/>
        <v>-7.7253218884120178E-2</v>
      </c>
      <c r="K170" s="115">
        <v>734</v>
      </c>
      <c r="L170" s="116">
        <f t="shared" si="31"/>
        <v>-0.14651162790697669</v>
      </c>
      <c r="M170" s="115">
        <v>989</v>
      </c>
      <c r="N170" s="116">
        <v>0.34741144414168934</v>
      </c>
      <c r="O170" s="116">
        <v>0.36791147994467499</v>
      </c>
    </row>
    <row r="171" spans="2:15" x14ac:dyDescent="0.25">
      <c r="B171" s="114" t="s">
        <v>87</v>
      </c>
      <c r="C171" s="115">
        <v>504</v>
      </c>
      <c r="D171" s="116">
        <v>0.24137931034482762</v>
      </c>
      <c r="E171" s="115">
        <v>104</v>
      </c>
      <c r="F171" s="116">
        <f t="shared" si="28"/>
        <v>-0.79365079365079372</v>
      </c>
      <c r="G171" s="115">
        <v>357</v>
      </c>
      <c r="H171" s="116">
        <f t="shared" si="29"/>
        <v>2.4326923076923075</v>
      </c>
      <c r="I171" s="115">
        <v>390</v>
      </c>
      <c r="J171" s="116">
        <f t="shared" si="30"/>
        <v>9.243697478991586E-2</v>
      </c>
      <c r="K171" s="115">
        <v>486</v>
      </c>
      <c r="L171" s="116">
        <f t="shared" si="31"/>
        <v>0.24615384615384617</v>
      </c>
      <c r="M171" s="115">
        <v>421</v>
      </c>
      <c r="N171" s="116">
        <v>-0.13374485596707819</v>
      </c>
      <c r="O171" s="116">
        <v>-0.16468253968253965</v>
      </c>
    </row>
    <row r="172" spans="2:15" x14ac:dyDescent="0.25">
      <c r="B172" s="114" t="s">
        <v>89</v>
      </c>
      <c r="C172" s="115">
        <v>638</v>
      </c>
      <c r="D172" s="116">
        <v>-0.25467289719626163</v>
      </c>
      <c r="E172" s="115">
        <v>266</v>
      </c>
      <c r="F172" s="116">
        <f t="shared" si="28"/>
        <v>-0.58307210031347956</v>
      </c>
      <c r="G172" s="115">
        <v>399</v>
      </c>
      <c r="H172" s="116">
        <f t="shared" si="29"/>
        <v>0.5</v>
      </c>
      <c r="I172" s="115">
        <v>484</v>
      </c>
      <c r="J172" s="116">
        <f t="shared" si="30"/>
        <v>0.21303258145363402</v>
      </c>
      <c r="K172" s="115">
        <v>565</v>
      </c>
      <c r="L172" s="116">
        <f t="shared" si="31"/>
        <v>0.1673553719008265</v>
      </c>
      <c r="M172" s="115"/>
      <c r="N172" s="116" t="s">
        <v>229</v>
      </c>
      <c r="O172" s="116" t="s">
        <v>229</v>
      </c>
    </row>
    <row r="173" spans="2:15" x14ac:dyDescent="0.25">
      <c r="B173" s="114" t="s">
        <v>91</v>
      </c>
      <c r="C173" s="115">
        <v>727</v>
      </c>
      <c r="D173" s="116">
        <v>0.34629629629629632</v>
      </c>
      <c r="E173" s="115">
        <v>143</v>
      </c>
      <c r="F173" s="116">
        <f t="shared" si="28"/>
        <v>-0.80330123796423658</v>
      </c>
      <c r="G173" s="115">
        <v>704</v>
      </c>
      <c r="H173" s="116">
        <f t="shared" si="29"/>
        <v>3.9230769230769234</v>
      </c>
      <c r="I173" s="115">
        <v>676</v>
      </c>
      <c r="J173" s="116">
        <f t="shared" si="30"/>
        <v>-3.9772727272727293E-2</v>
      </c>
      <c r="K173" s="115">
        <v>1140</v>
      </c>
      <c r="L173" s="116">
        <f t="shared" si="31"/>
        <v>0.68639053254437865</v>
      </c>
      <c r="M173" s="115"/>
      <c r="N173" s="116" t="s">
        <v>229</v>
      </c>
      <c r="O173" s="116" t="s">
        <v>229</v>
      </c>
    </row>
    <row r="174" spans="2:15" x14ac:dyDescent="0.25">
      <c r="B174" s="114" t="s">
        <v>93</v>
      </c>
      <c r="C174" s="115">
        <v>835</v>
      </c>
      <c r="D174" s="116">
        <v>0.1103723404255319</v>
      </c>
      <c r="E174" s="115">
        <v>445</v>
      </c>
      <c r="F174" s="116">
        <f t="shared" si="28"/>
        <v>-0.46706586826347307</v>
      </c>
      <c r="G174" s="115">
        <v>799</v>
      </c>
      <c r="H174" s="116">
        <f t="shared" si="29"/>
        <v>0.79550561797752817</v>
      </c>
      <c r="I174" s="115">
        <v>717</v>
      </c>
      <c r="J174" s="116">
        <f t="shared" si="30"/>
        <v>-0.10262828535669588</v>
      </c>
      <c r="K174" s="115">
        <v>679</v>
      </c>
      <c r="L174" s="116">
        <f t="shared" si="31"/>
        <v>-5.2998605299860557E-2</v>
      </c>
      <c r="M174" s="115"/>
      <c r="N174" s="116" t="s">
        <v>229</v>
      </c>
      <c r="O174" s="116" t="s">
        <v>229</v>
      </c>
    </row>
    <row r="175" spans="2:15" ht="15.75" x14ac:dyDescent="0.25">
      <c r="B175" s="117" t="s">
        <v>30</v>
      </c>
      <c r="C175" s="118">
        <v>8657</v>
      </c>
      <c r="D175" s="119">
        <v>1.8590422402635642E-2</v>
      </c>
      <c r="E175" s="118">
        <v>4658</v>
      </c>
      <c r="F175" s="119">
        <f t="shared" si="28"/>
        <v>-0.4619383158137923</v>
      </c>
      <c r="G175" s="118">
        <v>7148</v>
      </c>
      <c r="H175" s="119">
        <f t="shared" si="29"/>
        <v>0.53456419063975957</v>
      </c>
      <c r="I175" s="118">
        <v>7881</v>
      </c>
      <c r="J175" s="119">
        <f t="shared" si="30"/>
        <v>0.10254616675993278</v>
      </c>
      <c r="K175" s="118">
        <v>8902</v>
      </c>
      <c r="L175" s="119">
        <f t="shared" si="31"/>
        <v>0.12955208729856627</v>
      </c>
      <c r="M175" s="118">
        <v>7642</v>
      </c>
      <c r="N175" s="119">
        <v>0.17244553544031915</v>
      </c>
      <c r="O175" s="119">
        <v>0.1835217593309586</v>
      </c>
    </row>
    <row r="176" spans="2:15" ht="6" customHeight="1" x14ac:dyDescent="0.25"/>
    <row r="177" spans="1:16" x14ac:dyDescent="0.25">
      <c r="B177" s="105" t="s">
        <v>55</v>
      </c>
      <c r="C177" s="105"/>
      <c r="D177" s="105"/>
      <c r="E177" s="105"/>
      <c r="F177" s="105"/>
      <c r="G177" s="105"/>
      <c r="H177" s="105"/>
      <c r="I177" s="105"/>
      <c r="J177" s="105"/>
      <c r="K177" s="105"/>
      <c r="L177" s="105"/>
      <c r="M177" s="105"/>
      <c r="N177" s="105"/>
      <c r="O177" s="105"/>
    </row>
    <row r="178" spans="1:16" x14ac:dyDescent="0.25">
      <c r="C178" s="120"/>
      <c r="K178" s="120"/>
      <c r="N178" s="79"/>
      <c r="O178" s="79"/>
    </row>
    <row r="180" spans="1:16" ht="48.75" customHeight="1" thickBot="1" x14ac:dyDescent="0.3">
      <c r="B180" s="270" t="s">
        <v>281</v>
      </c>
      <c r="C180" s="270"/>
      <c r="D180" s="270"/>
      <c r="E180" s="270"/>
      <c r="F180" s="270"/>
      <c r="G180" s="270"/>
      <c r="H180" s="270"/>
      <c r="I180" s="270"/>
      <c r="J180" s="270"/>
      <c r="K180" s="270"/>
      <c r="L180" s="270"/>
      <c r="M180" s="270"/>
      <c r="N180" s="270"/>
      <c r="O180" s="270"/>
      <c r="P180" s="1" t="s">
        <v>117</v>
      </c>
    </row>
    <row r="181" spans="1:16" ht="10.5" customHeight="1" thickBot="1" x14ac:dyDescent="0.3">
      <c r="B181" s="106"/>
      <c r="C181" s="107"/>
      <c r="D181" s="106"/>
      <c r="E181" s="106"/>
      <c r="F181" s="106"/>
      <c r="G181" s="106"/>
      <c r="H181" s="106"/>
      <c r="I181" s="106"/>
      <c r="J181" s="106"/>
      <c r="K181" s="106"/>
      <c r="L181" s="106"/>
      <c r="M181" s="4"/>
      <c r="N181" s="4"/>
      <c r="P181" s="1" t="s">
        <v>118</v>
      </c>
    </row>
    <row r="182" spans="1:16" ht="22.5" thickTop="1" thickBot="1" x14ac:dyDescent="0.3">
      <c r="B182" s="121" t="str">
        <f>C182</f>
        <v>Bélgica</v>
      </c>
      <c r="C182" s="292" t="s">
        <v>119</v>
      </c>
      <c r="D182" s="293"/>
      <c r="E182" s="293"/>
      <c r="F182" s="293"/>
      <c r="G182" s="293"/>
      <c r="H182" s="293"/>
      <c r="I182" s="293"/>
      <c r="J182" s="293"/>
      <c r="K182" s="293"/>
      <c r="L182" s="293"/>
      <c r="M182" s="293"/>
      <c r="N182" s="293"/>
      <c r="O182" s="294"/>
    </row>
    <row r="183" spans="1:16" ht="22.5" thickTop="1" thickBot="1" x14ac:dyDescent="0.3">
      <c r="B183" s="109"/>
      <c r="C183" s="295">
        <f>C7</f>
        <v>2019</v>
      </c>
      <c r="D183" s="296"/>
      <c r="E183" s="297">
        <v>2020</v>
      </c>
      <c r="F183" s="296"/>
      <c r="G183" s="297">
        <v>2021</v>
      </c>
      <c r="H183" s="296"/>
      <c r="I183" s="297">
        <v>2022</v>
      </c>
      <c r="J183" s="296"/>
      <c r="K183" s="297">
        <v>2023</v>
      </c>
      <c r="L183" s="296"/>
      <c r="M183" s="297">
        <v>2024</v>
      </c>
      <c r="N183" s="298"/>
      <c r="O183" s="299"/>
    </row>
    <row r="184" spans="1:16" ht="16.5" thickTop="1" thickBot="1" x14ac:dyDescent="0.3">
      <c r="B184" s="85"/>
      <c r="C184" s="111" t="s">
        <v>69</v>
      </c>
      <c r="D184" s="112" t="str">
        <f>CONCATENATE("var. ",RIGHT(C183,2),"/",RIGHT(C183-1,2))</f>
        <v>var. 19/18</v>
      </c>
      <c r="E184" s="113" t="s">
        <v>69</v>
      </c>
      <c r="F184" s="112" t="str">
        <f>CONCATENATE("var. ",RIGHT(E183,2),"/",RIGHT(E183-1,2))</f>
        <v>var. 20/19</v>
      </c>
      <c r="G184" s="113" t="s">
        <v>69</v>
      </c>
      <c r="H184" s="112" t="str">
        <f>CONCATENATE("var. ",RIGHT(G183,2),"/",RIGHT(G183-1,2))</f>
        <v>var. 21/20</v>
      </c>
      <c r="I184" s="113" t="s">
        <v>69</v>
      </c>
      <c r="J184" s="112" t="s">
        <v>136</v>
      </c>
      <c r="K184" s="113" t="s">
        <v>69</v>
      </c>
      <c r="L184" s="112" t="s">
        <v>249</v>
      </c>
      <c r="M184" s="113" t="s">
        <v>69</v>
      </c>
      <c r="N184" s="112" t="s">
        <v>273</v>
      </c>
      <c r="O184" s="112" t="s">
        <v>274</v>
      </c>
    </row>
    <row r="185" spans="1:16" x14ac:dyDescent="0.25">
      <c r="A185" s="120"/>
      <c r="B185" s="114" t="s">
        <v>71</v>
      </c>
      <c r="C185" s="115">
        <v>191</v>
      </c>
      <c r="D185" s="116">
        <v>0.24836601307189543</v>
      </c>
      <c r="E185" s="115">
        <v>171</v>
      </c>
      <c r="F185" s="116">
        <f t="shared" ref="F185:F197" si="32">IFERROR(E185/C185-1,"-")</f>
        <v>-0.10471204188481675</v>
      </c>
      <c r="G185" s="115">
        <v>81</v>
      </c>
      <c r="H185" s="116">
        <f t="shared" ref="H185:H197" si="33">IFERROR(G185/E185-1,"-")</f>
        <v>-0.52631578947368429</v>
      </c>
      <c r="I185" s="115">
        <v>235</v>
      </c>
      <c r="J185" s="116">
        <f t="shared" ref="J185:J197" si="34">IFERROR(I185/G185-1,"-")</f>
        <v>1.9012345679012346</v>
      </c>
      <c r="K185" s="115">
        <v>204</v>
      </c>
      <c r="L185" s="116">
        <f t="shared" ref="L185:L197" si="35">IFERROR(K185/I185-1,"-")</f>
        <v>-0.13191489361702124</v>
      </c>
      <c r="M185" s="115">
        <v>391</v>
      </c>
      <c r="N185" s="116">
        <v>0.91666666666666674</v>
      </c>
      <c r="O185" s="116">
        <v>1.0471204188481678</v>
      </c>
    </row>
    <row r="186" spans="1:16" x14ac:dyDescent="0.25">
      <c r="B186" s="114" t="s">
        <v>73</v>
      </c>
      <c r="C186" s="115">
        <v>192</v>
      </c>
      <c r="D186" s="116">
        <v>9.7142857142857197E-2</v>
      </c>
      <c r="E186" s="115">
        <v>80</v>
      </c>
      <c r="F186" s="116">
        <f t="shared" si="32"/>
        <v>-0.58333333333333326</v>
      </c>
      <c r="G186" s="115">
        <v>56</v>
      </c>
      <c r="H186" s="116">
        <f t="shared" si="33"/>
        <v>-0.30000000000000004</v>
      </c>
      <c r="I186" s="115">
        <v>237</v>
      </c>
      <c r="J186" s="116">
        <f t="shared" si="34"/>
        <v>3.2321428571428568</v>
      </c>
      <c r="K186" s="115">
        <v>99</v>
      </c>
      <c r="L186" s="116">
        <f t="shared" si="35"/>
        <v>-0.58227848101265822</v>
      </c>
      <c r="M186" s="115">
        <v>311</v>
      </c>
      <c r="N186" s="116">
        <v>2.1414141414141414</v>
      </c>
      <c r="O186" s="116">
        <v>0.61979166666666674</v>
      </c>
    </row>
    <row r="187" spans="1:16" x14ac:dyDescent="0.25">
      <c r="B187" s="114" t="s">
        <v>75</v>
      </c>
      <c r="C187" s="115">
        <v>234</v>
      </c>
      <c r="D187" s="116">
        <v>6.3636363636363713E-2</v>
      </c>
      <c r="E187" s="115">
        <v>43</v>
      </c>
      <c r="F187" s="116">
        <f t="shared" si="32"/>
        <v>-0.81623931623931623</v>
      </c>
      <c r="G187" s="115">
        <v>49</v>
      </c>
      <c r="H187" s="116">
        <f t="shared" si="33"/>
        <v>0.13953488372093026</v>
      </c>
      <c r="I187" s="115">
        <v>269</v>
      </c>
      <c r="J187" s="116">
        <f t="shared" si="34"/>
        <v>4.4897959183673466</v>
      </c>
      <c r="K187" s="115">
        <v>302</v>
      </c>
      <c r="L187" s="116">
        <f t="shared" si="35"/>
        <v>0.12267657992565062</v>
      </c>
      <c r="M187" s="115">
        <v>283</v>
      </c>
      <c r="N187" s="116">
        <v>-6.29139072847682E-2</v>
      </c>
      <c r="O187" s="116">
        <v>0.20940170940170932</v>
      </c>
    </row>
    <row r="188" spans="1:16" x14ac:dyDescent="0.25">
      <c r="B188" s="114" t="s">
        <v>77</v>
      </c>
      <c r="C188" s="115">
        <v>119</v>
      </c>
      <c r="D188" s="116">
        <v>-0.40201005025125625</v>
      </c>
      <c r="E188" s="115">
        <v>0</v>
      </c>
      <c r="F188" s="116">
        <f t="shared" si="32"/>
        <v>-1</v>
      </c>
      <c r="G188" s="115">
        <v>73</v>
      </c>
      <c r="H188" s="116" t="str">
        <f t="shared" si="33"/>
        <v>-</v>
      </c>
      <c r="I188" s="115">
        <v>157</v>
      </c>
      <c r="J188" s="116">
        <f t="shared" si="34"/>
        <v>1.1506849315068495</v>
      </c>
      <c r="K188" s="115">
        <v>114</v>
      </c>
      <c r="L188" s="116">
        <f t="shared" si="35"/>
        <v>-0.27388535031847139</v>
      </c>
      <c r="M188" s="115">
        <v>234</v>
      </c>
      <c r="N188" s="116">
        <v>1.0526315789473686</v>
      </c>
      <c r="O188" s="116">
        <v>0.96638655462184864</v>
      </c>
    </row>
    <row r="189" spans="1:16" x14ac:dyDescent="0.25">
      <c r="B189" s="114" t="s">
        <v>79</v>
      </c>
      <c r="C189" s="115">
        <v>80</v>
      </c>
      <c r="D189" s="116">
        <v>-8.0459770114942541E-2</v>
      </c>
      <c r="E189" s="115">
        <v>0</v>
      </c>
      <c r="F189" s="116">
        <f t="shared" si="32"/>
        <v>-1</v>
      </c>
      <c r="G189" s="115">
        <v>68</v>
      </c>
      <c r="H189" s="116" t="str">
        <f t="shared" si="33"/>
        <v>-</v>
      </c>
      <c r="I189" s="115">
        <v>104</v>
      </c>
      <c r="J189" s="116">
        <f t="shared" si="34"/>
        <v>0.52941176470588225</v>
      </c>
      <c r="K189" s="115">
        <v>83</v>
      </c>
      <c r="L189" s="116">
        <f t="shared" si="35"/>
        <v>-0.20192307692307687</v>
      </c>
      <c r="M189" s="115">
        <v>66</v>
      </c>
      <c r="N189" s="116">
        <v>-0.20481927710843373</v>
      </c>
      <c r="O189" s="116">
        <v>-0.17500000000000004</v>
      </c>
    </row>
    <row r="190" spans="1:16" x14ac:dyDescent="0.25">
      <c r="B190" s="114" t="s">
        <v>120</v>
      </c>
      <c r="C190" s="115">
        <v>84</v>
      </c>
      <c r="D190" s="116">
        <v>0.16666666666666674</v>
      </c>
      <c r="E190" s="115">
        <v>0</v>
      </c>
      <c r="F190" s="116">
        <f t="shared" si="32"/>
        <v>-1</v>
      </c>
      <c r="G190" s="115">
        <v>84</v>
      </c>
      <c r="H190" s="116" t="str">
        <f t="shared" si="33"/>
        <v>-</v>
      </c>
      <c r="I190" s="115">
        <v>70</v>
      </c>
      <c r="J190" s="116">
        <f t="shared" si="34"/>
        <v>-0.16666666666666663</v>
      </c>
      <c r="K190" s="115">
        <v>73</v>
      </c>
      <c r="L190" s="116">
        <f t="shared" si="35"/>
        <v>4.2857142857142927E-2</v>
      </c>
      <c r="M190" s="115">
        <v>55</v>
      </c>
      <c r="N190" s="116">
        <v>-0.24657534246575341</v>
      </c>
      <c r="O190" s="116">
        <v>-0.34523809523809523</v>
      </c>
    </row>
    <row r="191" spans="1:16" x14ac:dyDescent="0.25">
      <c r="B191" s="114" t="s">
        <v>83</v>
      </c>
      <c r="C191" s="115">
        <v>43</v>
      </c>
      <c r="D191" s="116">
        <v>-0.24561403508771928</v>
      </c>
      <c r="E191" s="115">
        <v>0</v>
      </c>
      <c r="F191" s="116">
        <f t="shared" si="32"/>
        <v>-1</v>
      </c>
      <c r="G191" s="115">
        <v>108</v>
      </c>
      <c r="H191" s="116" t="str">
        <f t="shared" si="33"/>
        <v>-</v>
      </c>
      <c r="I191" s="115">
        <v>209</v>
      </c>
      <c r="J191" s="116">
        <f t="shared" si="34"/>
        <v>0.93518518518518512</v>
      </c>
      <c r="K191" s="115">
        <v>111</v>
      </c>
      <c r="L191" s="116">
        <f t="shared" si="35"/>
        <v>-0.46889952153110048</v>
      </c>
      <c r="M191" s="115">
        <v>59</v>
      </c>
      <c r="N191" s="116">
        <v>-0.46846846846846846</v>
      </c>
      <c r="O191" s="116">
        <v>0.37209302325581395</v>
      </c>
    </row>
    <row r="192" spans="1:16" x14ac:dyDescent="0.25">
      <c r="B192" s="114" t="s">
        <v>85</v>
      </c>
      <c r="C192" s="115">
        <v>40</v>
      </c>
      <c r="D192" s="116">
        <v>-0.14893617021276595</v>
      </c>
      <c r="E192" s="115">
        <v>120</v>
      </c>
      <c r="F192" s="116">
        <f t="shared" si="32"/>
        <v>2</v>
      </c>
      <c r="G192" s="115">
        <v>67</v>
      </c>
      <c r="H192" s="116">
        <f t="shared" si="33"/>
        <v>-0.44166666666666665</v>
      </c>
      <c r="I192" s="115">
        <v>142</v>
      </c>
      <c r="J192" s="116">
        <f t="shared" si="34"/>
        <v>1.1194029850746268</v>
      </c>
      <c r="K192" s="115">
        <v>117</v>
      </c>
      <c r="L192" s="116">
        <f t="shared" si="35"/>
        <v>-0.176056338028169</v>
      </c>
      <c r="M192" s="115">
        <v>136</v>
      </c>
      <c r="N192" s="116">
        <v>0.16239316239316248</v>
      </c>
      <c r="O192" s="116">
        <v>2.4</v>
      </c>
    </row>
    <row r="193" spans="2:16" x14ac:dyDescent="0.25">
      <c r="B193" s="114" t="s">
        <v>87</v>
      </c>
      <c r="C193" s="115">
        <v>24</v>
      </c>
      <c r="D193" s="116">
        <v>-0.70731707317073167</v>
      </c>
      <c r="E193" s="115">
        <v>86</v>
      </c>
      <c r="F193" s="116">
        <f t="shared" si="32"/>
        <v>2.5833333333333335</v>
      </c>
      <c r="G193" s="115">
        <v>72</v>
      </c>
      <c r="H193" s="116">
        <f t="shared" si="33"/>
        <v>-0.16279069767441856</v>
      </c>
      <c r="I193" s="115">
        <v>117</v>
      </c>
      <c r="J193" s="116">
        <f t="shared" si="34"/>
        <v>0.625</v>
      </c>
      <c r="K193" s="115">
        <v>120</v>
      </c>
      <c r="L193" s="116">
        <f t="shared" si="35"/>
        <v>2.564102564102555E-2</v>
      </c>
      <c r="M193" s="115">
        <v>158</v>
      </c>
      <c r="N193" s="116">
        <v>0.31666666666666665</v>
      </c>
      <c r="O193" s="116">
        <v>5.583333333333333</v>
      </c>
    </row>
    <row r="194" spans="2:16" x14ac:dyDescent="0.25">
      <c r="B194" s="114" t="s">
        <v>89</v>
      </c>
      <c r="C194" s="115">
        <v>56</v>
      </c>
      <c r="D194" s="116">
        <v>-0.49090909090909096</v>
      </c>
      <c r="E194" s="115">
        <v>74</v>
      </c>
      <c r="F194" s="116">
        <f t="shared" si="32"/>
        <v>0.3214285714285714</v>
      </c>
      <c r="G194" s="115">
        <v>171</v>
      </c>
      <c r="H194" s="116">
        <f t="shared" si="33"/>
        <v>1.310810810810811</v>
      </c>
      <c r="I194" s="115">
        <v>83</v>
      </c>
      <c r="J194" s="116">
        <f t="shared" si="34"/>
        <v>-0.51461988304093564</v>
      </c>
      <c r="K194" s="115">
        <v>116</v>
      </c>
      <c r="L194" s="116">
        <f t="shared" si="35"/>
        <v>0.39759036144578319</v>
      </c>
      <c r="M194" s="115"/>
      <c r="N194" s="116" t="s">
        <v>229</v>
      </c>
      <c r="O194" s="116" t="s">
        <v>229</v>
      </c>
    </row>
    <row r="195" spans="2:16" x14ac:dyDescent="0.25">
      <c r="B195" s="114" t="s">
        <v>91</v>
      </c>
      <c r="C195" s="115">
        <v>121</v>
      </c>
      <c r="D195" s="116">
        <v>-0.33149171270718236</v>
      </c>
      <c r="E195" s="115">
        <v>125</v>
      </c>
      <c r="F195" s="116">
        <f t="shared" si="32"/>
        <v>3.3057851239669311E-2</v>
      </c>
      <c r="G195" s="115">
        <v>319</v>
      </c>
      <c r="H195" s="116">
        <f t="shared" si="33"/>
        <v>1.552</v>
      </c>
      <c r="I195" s="115">
        <v>157</v>
      </c>
      <c r="J195" s="116">
        <f t="shared" si="34"/>
        <v>-0.50783699059561127</v>
      </c>
      <c r="K195" s="115">
        <v>311</v>
      </c>
      <c r="L195" s="116">
        <f t="shared" si="35"/>
        <v>0.98089171974522293</v>
      </c>
      <c r="M195" s="115"/>
      <c r="N195" s="116" t="s">
        <v>229</v>
      </c>
      <c r="O195" s="116" t="s">
        <v>229</v>
      </c>
    </row>
    <row r="196" spans="2:16" x14ac:dyDescent="0.25">
      <c r="B196" s="114" t="s">
        <v>93</v>
      </c>
      <c r="C196" s="115">
        <v>114</v>
      </c>
      <c r="D196" s="116">
        <v>-0.38043478260869568</v>
      </c>
      <c r="E196" s="115">
        <v>36</v>
      </c>
      <c r="F196" s="116">
        <f t="shared" si="32"/>
        <v>-0.68421052631578949</v>
      </c>
      <c r="G196" s="115">
        <v>167</v>
      </c>
      <c r="H196" s="116">
        <f t="shared" si="33"/>
        <v>3.6388888888888893</v>
      </c>
      <c r="I196" s="115">
        <v>112</v>
      </c>
      <c r="J196" s="116">
        <f t="shared" si="34"/>
        <v>-0.3293413173652695</v>
      </c>
      <c r="K196" s="115">
        <v>162</v>
      </c>
      <c r="L196" s="116">
        <f t="shared" si="35"/>
        <v>0.4464285714285714</v>
      </c>
      <c r="M196" s="115"/>
      <c r="N196" s="116" t="s">
        <v>229</v>
      </c>
      <c r="O196" s="116" t="s">
        <v>229</v>
      </c>
    </row>
    <row r="197" spans="2:16" ht="15.75" x14ac:dyDescent="0.25">
      <c r="B197" s="117" t="s">
        <v>30</v>
      </c>
      <c r="C197" s="118">
        <v>1298</v>
      </c>
      <c r="D197" s="119">
        <v>-0.17166560306317802</v>
      </c>
      <c r="E197" s="118">
        <v>788</v>
      </c>
      <c r="F197" s="119">
        <f t="shared" si="32"/>
        <v>-0.39291217257318956</v>
      </c>
      <c r="G197" s="118">
        <v>1315</v>
      </c>
      <c r="H197" s="119">
        <f t="shared" si="33"/>
        <v>0.66878172588832485</v>
      </c>
      <c r="I197" s="118">
        <v>1892</v>
      </c>
      <c r="J197" s="119">
        <f t="shared" si="34"/>
        <v>0.43878326996197714</v>
      </c>
      <c r="K197" s="118">
        <v>1812</v>
      </c>
      <c r="L197" s="119">
        <f t="shared" si="35"/>
        <v>-4.228329809725162E-2</v>
      </c>
      <c r="M197" s="118">
        <v>1693</v>
      </c>
      <c r="N197" s="119">
        <v>0.3843008994276369</v>
      </c>
      <c r="O197" s="119">
        <v>0.68123138033763664</v>
      </c>
    </row>
    <row r="198" spans="2:16" ht="6" customHeight="1" x14ac:dyDescent="0.25"/>
    <row r="199" spans="2:16" x14ac:dyDescent="0.25">
      <c r="B199" s="105" t="s">
        <v>55</v>
      </c>
      <c r="C199" s="105"/>
      <c r="D199" s="105"/>
      <c r="E199" s="105"/>
      <c r="F199" s="105"/>
      <c r="G199" s="105"/>
      <c r="H199" s="105"/>
      <c r="I199" s="105"/>
      <c r="J199" s="105"/>
      <c r="K199" s="105"/>
      <c r="L199" s="105"/>
      <c r="M199" s="105"/>
      <c r="N199" s="105"/>
      <c r="O199" s="105"/>
    </row>
    <row r="200" spans="2:16" x14ac:dyDescent="0.25">
      <c r="C200" s="120"/>
      <c r="K200" s="120"/>
      <c r="N200" s="79"/>
      <c r="O200" s="79"/>
    </row>
    <row r="202" spans="2:16" ht="48.75" customHeight="1" thickBot="1" x14ac:dyDescent="0.3">
      <c r="B202" s="270" t="s">
        <v>282</v>
      </c>
      <c r="C202" s="270"/>
      <c r="D202" s="270"/>
      <c r="E202" s="270"/>
      <c r="F202" s="270"/>
      <c r="G202" s="270"/>
      <c r="H202" s="270"/>
      <c r="I202" s="270"/>
      <c r="J202" s="270"/>
      <c r="K202" s="270"/>
      <c r="L202" s="270"/>
      <c r="M202" s="270"/>
      <c r="N202" s="270"/>
      <c r="O202" s="270"/>
      <c r="P202" s="1" t="s">
        <v>121</v>
      </c>
    </row>
    <row r="203" spans="2:16" ht="10.5" customHeight="1" thickBot="1" x14ac:dyDescent="0.3">
      <c r="B203" s="106"/>
      <c r="C203" s="107"/>
      <c r="D203" s="106"/>
      <c r="E203" s="106"/>
      <c r="F203" s="106"/>
      <c r="G203" s="106"/>
      <c r="H203" s="106"/>
      <c r="I203" s="106"/>
      <c r="J203" s="106"/>
      <c r="K203" s="106"/>
      <c r="L203" s="106"/>
      <c r="M203" s="4"/>
      <c r="N203" s="4"/>
      <c r="P203" s="1" t="s">
        <v>122</v>
      </c>
    </row>
    <row r="204" spans="2:16" ht="22.5" thickTop="1" thickBot="1" x14ac:dyDescent="0.3">
      <c r="B204" s="121" t="str">
        <f>C204</f>
        <v>Países Bajos</v>
      </c>
      <c r="C204" s="292" t="s">
        <v>123</v>
      </c>
      <c r="D204" s="293"/>
      <c r="E204" s="293"/>
      <c r="F204" s="293"/>
      <c r="G204" s="293"/>
      <c r="H204" s="293"/>
      <c r="I204" s="293"/>
      <c r="J204" s="293"/>
      <c r="K204" s="293"/>
      <c r="L204" s="293"/>
      <c r="M204" s="293"/>
      <c r="N204" s="293"/>
      <c r="O204" s="294"/>
    </row>
    <row r="205" spans="2:16" ht="22.5" thickTop="1" thickBot="1" x14ac:dyDescent="0.3">
      <c r="B205" s="109"/>
      <c r="C205" s="295">
        <f>C7</f>
        <v>2019</v>
      </c>
      <c r="D205" s="296"/>
      <c r="E205" s="297">
        <v>2020</v>
      </c>
      <c r="F205" s="296"/>
      <c r="G205" s="297">
        <v>2021</v>
      </c>
      <c r="H205" s="296"/>
      <c r="I205" s="297">
        <v>2022</v>
      </c>
      <c r="J205" s="296"/>
      <c r="K205" s="297">
        <v>2023</v>
      </c>
      <c r="L205" s="296"/>
      <c r="M205" s="297">
        <v>2024</v>
      </c>
      <c r="N205" s="298"/>
      <c r="O205" s="299"/>
    </row>
    <row r="206" spans="2:16" ht="16.5" thickTop="1" thickBot="1" x14ac:dyDescent="0.3">
      <c r="B206" s="85"/>
      <c r="C206" s="111" t="s">
        <v>69</v>
      </c>
      <c r="D206" s="112" t="str">
        <f>CONCATENATE("var. ",RIGHT(C205,2),"/",RIGHT(C205-1,2))</f>
        <v>var. 19/18</v>
      </c>
      <c r="E206" s="113" t="s">
        <v>69</v>
      </c>
      <c r="F206" s="112" t="str">
        <f>CONCATENATE("var. ",RIGHT(E205,2),"/",RIGHT(E205-1,2))</f>
        <v>var. 20/19</v>
      </c>
      <c r="G206" s="113" t="s">
        <v>69</v>
      </c>
      <c r="H206" s="112" t="str">
        <f>CONCATENATE("var. ",RIGHT(G205,2),"/",RIGHT(G205-1,2))</f>
        <v>var. 21/20</v>
      </c>
      <c r="I206" s="113" t="s">
        <v>69</v>
      </c>
      <c r="J206" s="112" t="s">
        <v>136</v>
      </c>
      <c r="K206" s="113" t="s">
        <v>69</v>
      </c>
      <c r="L206" s="112" t="s">
        <v>249</v>
      </c>
      <c r="M206" s="113" t="s">
        <v>69</v>
      </c>
      <c r="N206" s="112" t="s">
        <v>273</v>
      </c>
      <c r="O206" s="112" t="s">
        <v>274</v>
      </c>
    </row>
    <row r="207" spans="2:16" x14ac:dyDescent="0.25">
      <c r="B207" s="114" t="s">
        <v>71</v>
      </c>
      <c r="C207" s="115">
        <v>273</v>
      </c>
      <c r="D207" s="116">
        <v>-8.0808080808080773E-2</v>
      </c>
      <c r="E207" s="115">
        <v>207</v>
      </c>
      <c r="F207" s="116">
        <f t="shared" ref="F207:F219" si="36">IFERROR(E207/C207-1,"-")</f>
        <v>-0.24175824175824179</v>
      </c>
      <c r="G207" s="115">
        <v>8</v>
      </c>
      <c r="H207" s="116">
        <f t="shared" ref="H207:H219" si="37">IFERROR(G207/E207-1,"-")</f>
        <v>-0.96135265700483097</v>
      </c>
      <c r="I207" s="115">
        <v>500</v>
      </c>
      <c r="J207" s="116">
        <f t="shared" ref="J207:J219" si="38">IFERROR(I207/G207-1,"-")</f>
        <v>61.5</v>
      </c>
      <c r="K207" s="115">
        <v>587</v>
      </c>
      <c r="L207" s="116">
        <f t="shared" ref="L207:L219" si="39">IFERROR(K207/I207-1,"-")</f>
        <v>0.17399999999999993</v>
      </c>
      <c r="M207" s="115">
        <v>618</v>
      </c>
      <c r="N207" s="116">
        <v>5.2810902896081702E-2</v>
      </c>
      <c r="O207" s="116">
        <v>1.2637362637362637</v>
      </c>
    </row>
    <row r="208" spans="2:16" x14ac:dyDescent="0.25">
      <c r="B208" s="114" t="s">
        <v>73</v>
      </c>
      <c r="C208" s="115">
        <v>211</v>
      </c>
      <c r="D208" s="116">
        <v>-0.50469483568075124</v>
      </c>
      <c r="E208" s="115">
        <v>537</v>
      </c>
      <c r="F208" s="116">
        <f t="shared" si="36"/>
        <v>1.5450236966824646</v>
      </c>
      <c r="G208" s="115">
        <v>17</v>
      </c>
      <c r="H208" s="116">
        <f t="shared" si="37"/>
        <v>-0.96834264432029793</v>
      </c>
      <c r="I208" s="115">
        <v>376</v>
      </c>
      <c r="J208" s="116">
        <f t="shared" si="38"/>
        <v>21.117647058823529</v>
      </c>
      <c r="K208" s="115">
        <v>398</v>
      </c>
      <c r="L208" s="116">
        <f t="shared" si="39"/>
        <v>5.8510638297872397E-2</v>
      </c>
      <c r="M208" s="115">
        <v>524</v>
      </c>
      <c r="N208" s="116">
        <v>0.31658291457286425</v>
      </c>
      <c r="O208" s="116">
        <v>1.4834123222748814</v>
      </c>
    </row>
    <row r="209" spans="2:16" x14ac:dyDescent="0.25">
      <c r="B209" s="114" t="s">
        <v>75</v>
      </c>
      <c r="C209" s="115">
        <v>272</v>
      </c>
      <c r="D209" s="116">
        <v>-0.28421052631578947</v>
      </c>
      <c r="E209" s="115">
        <v>95</v>
      </c>
      <c r="F209" s="116">
        <f t="shared" si="36"/>
        <v>-0.65073529411764708</v>
      </c>
      <c r="G209" s="115">
        <v>49</v>
      </c>
      <c r="H209" s="116">
        <f t="shared" si="37"/>
        <v>-0.48421052631578942</v>
      </c>
      <c r="I209" s="115">
        <v>467</v>
      </c>
      <c r="J209" s="116">
        <f t="shared" si="38"/>
        <v>8.5306122448979593</v>
      </c>
      <c r="K209" s="115">
        <v>596</v>
      </c>
      <c r="L209" s="116">
        <f t="shared" si="39"/>
        <v>0.27623126338329773</v>
      </c>
      <c r="M209" s="115">
        <v>525</v>
      </c>
      <c r="N209" s="116">
        <v>-0.11912751677852351</v>
      </c>
      <c r="O209" s="116">
        <v>0.93014705882352944</v>
      </c>
    </row>
    <row r="210" spans="2:16" x14ac:dyDescent="0.25">
      <c r="B210" s="114" t="s">
        <v>77</v>
      </c>
      <c r="C210" s="115">
        <v>128</v>
      </c>
      <c r="D210" s="116">
        <v>-0.36633663366336633</v>
      </c>
      <c r="E210" s="115">
        <v>0</v>
      </c>
      <c r="F210" s="116">
        <f t="shared" si="36"/>
        <v>-1</v>
      </c>
      <c r="G210" s="115">
        <v>45</v>
      </c>
      <c r="H210" s="116" t="str">
        <f t="shared" si="37"/>
        <v>-</v>
      </c>
      <c r="I210" s="115">
        <v>402</v>
      </c>
      <c r="J210" s="116">
        <f t="shared" si="38"/>
        <v>7.9333333333333336</v>
      </c>
      <c r="K210" s="115">
        <v>239</v>
      </c>
      <c r="L210" s="116">
        <f t="shared" si="39"/>
        <v>-0.40547263681592038</v>
      </c>
      <c r="M210" s="115">
        <v>478</v>
      </c>
      <c r="N210" s="116">
        <v>1</v>
      </c>
      <c r="O210" s="116">
        <v>2.734375</v>
      </c>
    </row>
    <row r="211" spans="2:16" x14ac:dyDescent="0.25">
      <c r="B211" s="114" t="s">
        <v>79</v>
      </c>
      <c r="C211" s="115">
        <v>98</v>
      </c>
      <c r="D211" s="116">
        <v>-0.43678160919540232</v>
      </c>
      <c r="E211" s="115">
        <v>0</v>
      </c>
      <c r="F211" s="116">
        <f t="shared" si="36"/>
        <v>-1</v>
      </c>
      <c r="G211" s="115">
        <v>57</v>
      </c>
      <c r="H211" s="116" t="str">
        <f t="shared" si="37"/>
        <v>-</v>
      </c>
      <c r="I211" s="115">
        <v>372</v>
      </c>
      <c r="J211" s="116">
        <f t="shared" si="38"/>
        <v>5.5263157894736841</v>
      </c>
      <c r="K211" s="115">
        <v>200</v>
      </c>
      <c r="L211" s="116">
        <f t="shared" si="39"/>
        <v>-0.4623655913978495</v>
      </c>
      <c r="M211" s="115">
        <v>229</v>
      </c>
      <c r="N211" s="116">
        <v>0.14500000000000002</v>
      </c>
      <c r="O211" s="116">
        <v>1.3367346938775508</v>
      </c>
    </row>
    <row r="212" spans="2:16" x14ac:dyDescent="0.25">
      <c r="B212" s="114" t="s">
        <v>81</v>
      </c>
      <c r="C212" s="115">
        <v>161</v>
      </c>
      <c r="D212" s="116">
        <v>1.1466666666666665</v>
      </c>
      <c r="E212" s="115">
        <v>0</v>
      </c>
      <c r="F212" s="116">
        <f t="shared" si="36"/>
        <v>-1</v>
      </c>
      <c r="G212" s="115">
        <v>52</v>
      </c>
      <c r="H212" s="116" t="str">
        <f t="shared" si="37"/>
        <v>-</v>
      </c>
      <c r="I212" s="115">
        <v>448</v>
      </c>
      <c r="J212" s="116">
        <f t="shared" si="38"/>
        <v>7.615384615384615</v>
      </c>
      <c r="K212" s="115">
        <v>127</v>
      </c>
      <c r="L212" s="116">
        <f t="shared" si="39"/>
        <v>-0.71651785714285721</v>
      </c>
      <c r="M212" s="115">
        <v>314</v>
      </c>
      <c r="N212" s="116">
        <v>1.4724409448818898</v>
      </c>
      <c r="O212" s="116">
        <v>0.95031055900621109</v>
      </c>
    </row>
    <row r="213" spans="2:16" x14ac:dyDescent="0.25">
      <c r="B213" s="114" t="s">
        <v>83</v>
      </c>
      <c r="C213" s="115">
        <v>180</v>
      </c>
      <c r="D213" s="116">
        <v>8</v>
      </c>
      <c r="E213" s="115">
        <v>0</v>
      </c>
      <c r="F213" s="116">
        <f t="shared" si="36"/>
        <v>-1</v>
      </c>
      <c r="G213" s="115">
        <v>37</v>
      </c>
      <c r="H213" s="116" t="str">
        <f t="shared" si="37"/>
        <v>-</v>
      </c>
      <c r="I213" s="115">
        <v>155</v>
      </c>
      <c r="J213" s="116">
        <f t="shared" si="38"/>
        <v>3.1891891891891895</v>
      </c>
      <c r="K213" s="115">
        <v>176</v>
      </c>
      <c r="L213" s="116">
        <f t="shared" si="39"/>
        <v>0.13548387096774195</v>
      </c>
      <c r="M213" s="115">
        <v>134</v>
      </c>
      <c r="N213" s="116">
        <v>-0.23863636363636365</v>
      </c>
      <c r="O213" s="116">
        <v>-0.25555555555555554</v>
      </c>
    </row>
    <row r="214" spans="2:16" x14ac:dyDescent="0.25">
      <c r="B214" s="114" t="s">
        <v>85</v>
      </c>
      <c r="C214" s="115">
        <v>291</v>
      </c>
      <c r="D214" s="116">
        <v>1.4049586776859506</v>
      </c>
      <c r="E214" s="115">
        <v>19</v>
      </c>
      <c r="F214" s="116">
        <f t="shared" si="36"/>
        <v>-0.93470790378006874</v>
      </c>
      <c r="G214" s="115">
        <v>76</v>
      </c>
      <c r="H214" s="116">
        <f t="shared" si="37"/>
        <v>3</v>
      </c>
      <c r="I214" s="115">
        <v>383</v>
      </c>
      <c r="J214" s="116">
        <f t="shared" si="38"/>
        <v>4.0394736842105265</v>
      </c>
      <c r="K214" s="115">
        <v>153</v>
      </c>
      <c r="L214" s="116">
        <f t="shared" si="39"/>
        <v>-0.60052219321148825</v>
      </c>
      <c r="M214" s="115">
        <v>219</v>
      </c>
      <c r="N214" s="116">
        <v>0.43137254901960786</v>
      </c>
      <c r="O214" s="116">
        <v>-0.24742268041237114</v>
      </c>
    </row>
    <row r="215" spans="2:16" x14ac:dyDescent="0.25">
      <c r="B215" s="114" t="s">
        <v>87</v>
      </c>
      <c r="C215" s="115">
        <v>116</v>
      </c>
      <c r="D215" s="116">
        <v>2.6548672566371723E-2</v>
      </c>
      <c r="E215" s="115">
        <v>6</v>
      </c>
      <c r="F215" s="116">
        <f t="shared" si="36"/>
        <v>-0.94827586206896552</v>
      </c>
      <c r="G215" s="115">
        <v>243</v>
      </c>
      <c r="H215" s="116">
        <f t="shared" si="37"/>
        <v>39.5</v>
      </c>
      <c r="I215" s="115">
        <v>333</v>
      </c>
      <c r="J215" s="116">
        <f t="shared" si="38"/>
        <v>0.37037037037037046</v>
      </c>
      <c r="K215" s="115">
        <v>194</v>
      </c>
      <c r="L215" s="116">
        <f t="shared" si="39"/>
        <v>-0.41741741741741745</v>
      </c>
      <c r="M215" s="115">
        <v>121</v>
      </c>
      <c r="N215" s="116">
        <v>-0.37628865979381443</v>
      </c>
      <c r="O215" s="116">
        <v>4.31034482758621E-2</v>
      </c>
    </row>
    <row r="216" spans="2:16" x14ac:dyDescent="0.25">
      <c r="B216" s="114" t="s">
        <v>89</v>
      </c>
      <c r="C216" s="115">
        <v>243</v>
      </c>
      <c r="D216" s="116">
        <v>2.3287671232876712</v>
      </c>
      <c r="E216" s="115">
        <v>5</v>
      </c>
      <c r="F216" s="116">
        <f t="shared" si="36"/>
        <v>-0.97942386831275718</v>
      </c>
      <c r="G216" s="115">
        <v>136</v>
      </c>
      <c r="H216" s="116">
        <f t="shared" si="37"/>
        <v>26.2</v>
      </c>
      <c r="I216" s="115">
        <v>458</v>
      </c>
      <c r="J216" s="116">
        <f t="shared" si="38"/>
        <v>2.3676470588235294</v>
      </c>
      <c r="K216" s="115">
        <v>266</v>
      </c>
      <c r="L216" s="116">
        <f t="shared" si="39"/>
        <v>-0.41921397379912662</v>
      </c>
      <c r="M216" s="115"/>
      <c r="N216" s="116" t="s">
        <v>229</v>
      </c>
      <c r="O216" s="116" t="s">
        <v>229</v>
      </c>
    </row>
    <row r="217" spans="2:16" x14ac:dyDescent="0.25">
      <c r="B217" s="114" t="s">
        <v>91</v>
      </c>
      <c r="C217" s="115">
        <v>220</v>
      </c>
      <c r="D217" s="116">
        <v>0.67938931297709915</v>
      </c>
      <c r="E217" s="115">
        <v>24</v>
      </c>
      <c r="F217" s="116">
        <f t="shared" si="36"/>
        <v>-0.89090909090909087</v>
      </c>
      <c r="G217" s="115">
        <v>317</v>
      </c>
      <c r="H217" s="116">
        <f t="shared" si="37"/>
        <v>12.208333333333334</v>
      </c>
      <c r="I217" s="115">
        <v>713</v>
      </c>
      <c r="J217" s="116">
        <f t="shared" si="38"/>
        <v>1.2492113564668768</v>
      </c>
      <c r="K217" s="115">
        <v>322</v>
      </c>
      <c r="L217" s="116">
        <f t="shared" si="39"/>
        <v>-0.54838709677419351</v>
      </c>
      <c r="M217" s="115"/>
      <c r="N217" s="116" t="s">
        <v>229</v>
      </c>
      <c r="O217" s="116" t="s">
        <v>229</v>
      </c>
    </row>
    <row r="218" spans="2:16" x14ac:dyDescent="0.25">
      <c r="B218" s="114" t="s">
        <v>93</v>
      </c>
      <c r="C218" s="115">
        <v>197</v>
      </c>
      <c r="D218" s="116">
        <v>0.26282051282051277</v>
      </c>
      <c r="E218" s="115">
        <v>14</v>
      </c>
      <c r="F218" s="116">
        <f t="shared" si="36"/>
        <v>-0.92893401015228427</v>
      </c>
      <c r="G218" s="115">
        <v>348</v>
      </c>
      <c r="H218" s="116">
        <f t="shared" si="37"/>
        <v>23.857142857142858</v>
      </c>
      <c r="I218" s="115">
        <v>374</v>
      </c>
      <c r="J218" s="116">
        <f t="shared" si="38"/>
        <v>7.4712643678160884E-2</v>
      </c>
      <c r="K218" s="115">
        <v>365</v>
      </c>
      <c r="L218" s="116">
        <f t="shared" si="39"/>
        <v>-2.4064171122994638E-2</v>
      </c>
      <c r="M218" s="115"/>
      <c r="N218" s="116" t="s">
        <v>229</v>
      </c>
      <c r="O218" s="116" t="s">
        <v>229</v>
      </c>
    </row>
    <row r="219" spans="2:16" ht="15.75" x14ac:dyDescent="0.25">
      <c r="B219" s="117" t="s">
        <v>30</v>
      </c>
      <c r="C219" s="118">
        <v>2390</v>
      </c>
      <c r="D219" s="119">
        <v>0.10239852398523985</v>
      </c>
      <c r="E219" s="118">
        <v>940</v>
      </c>
      <c r="F219" s="119">
        <f t="shared" si="36"/>
        <v>-0.60669456066945604</v>
      </c>
      <c r="G219" s="118">
        <v>1385</v>
      </c>
      <c r="H219" s="119">
        <f t="shared" si="37"/>
        <v>0.47340425531914887</v>
      </c>
      <c r="I219" s="118">
        <v>4981</v>
      </c>
      <c r="J219" s="119">
        <f t="shared" si="38"/>
        <v>2.5963898916967509</v>
      </c>
      <c r="K219" s="118">
        <v>3623</v>
      </c>
      <c r="L219" s="119">
        <f t="shared" si="39"/>
        <v>-0.27263601686408356</v>
      </c>
      <c r="M219" s="118">
        <v>3162</v>
      </c>
      <c r="N219" s="119">
        <v>0.18426966292134828</v>
      </c>
      <c r="O219" s="119">
        <v>0.82774566473988442</v>
      </c>
    </row>
    <row r="220" spans="2:16" ht="6" customHeight="1" x14ac:dyDescent="0.25"/>
    <row r="221" spans="2:16" x14ac:dyDescent="0.25">
      <c r="B221" s="105" t="s">
        <v>55</v>
      </c>
      <c r="C221" s="105"/>
      <c r="D221" s="105"/>
      <c r="E221" s="105"/>
      <c r="F221" s="105"/>
      <c r="G221" s="105"/>
      <c r="H221" s="105"/>
      <c r="I221" s="105"/>
      <c r="J221" s="105"/>
      <c r="K221" s="105"/>
      <c r="L221" s="105"/>
      <c r="M221" s="105"/>
      <c r="N221" s="105"/>
      <c r="O221" s="105"/>
    </row>
    <row r="222" spans="2:16" x14ac:dyDescent="0.25">
      <c r="C222" s="120"/>
      <c r="K222" s="120"/>
      <c r="N222" s="79"/>
      <c r="O222" s="79"/>
    </row>
    <row r="224" spans="2:16" ht="48.75" customHeight="1" thickBot="1" x14ac:dyDescent="0.3">
      <c r="B224" s="270" t="s">
        <v>283</v>
      </c>
      <c r="C224" s="270"/>
      <c r="D224" s="270"/>
      <c r="E224" s="270"/>
      <c r="F224" s="270"/>
      <c r="G224" s="270"/>
      <c r="H224" s="270"/>
      <c r="I224" s="270"/>
      <c r="J224" s="270"/>
      <c r="K224" s="270"/>
      <c r="L224" s="270"/>
      <c r="M224" s="270"/>
      <c r="N224" s="270"/>
      <c r="O224" s="270"/>
      <c r="P224" s="1" t="s">
        <v>147</v>
      </c>
    </row>
    <row r="225" spans="2:16" ht="10.5" customHeight="1" thickBot="1" x14ac:dyDescent="0.3">
      <c r="B225" s="106"/>
      <c r="C225" s="107"/>
      <c r="D225" s="106"/>
      <c r="E225" s="106"/>
      <c r="F225" s="106"/>
      <c r="G225" s="106"/>
      <c r="H225" s="106"/>
      <c r="I225" s="106"/>
      <c r="J225" s="106"/>
      <c r="K225" s="106"/>
      <c r="L225" s="106"/>
      <c r="M225" s="4"/>
      <c r="N225" s="4"/>
      <c r="P225" s="1" t="s">
        <v>148</v>
      </c>
    </row>
    <row r="226" spans="2:16" ht="22.5" thickTop="1" thickBot="1" x14ac:dyDescent="0.3">
      <c r="B226" s="121" t="str">
        <f>C226</f>
        <v>Dinamarca</v>
      </c>
      <c r="C226" s="292" t="s">
        <v>128</v>
      </c>
      <c r="D226" s="293"/>
      <c r="E226" s="293"/>
      <c r="F226" s="293"/>
      <c r="G226" s="293"/>
      <c r="H226" s="293"/>
      <c r="I226" s="293"/>
      <c r="J226" s="293"/>
      <c r="K226" s="293"/>
      <c r="L226" s="293"/>
      <c r="M226" s="293"/>
      <c r="N226" s="293"/>
      <c r="O226" s="294"/>
    </row>
    <row r="227" spans="2:16" ht="22.5" thickTop="1" thickBot="1" x14ac:dyDescent="0.3">
      <c r="B227" s="109"/>
      <c r="C227" s="295">
        <f>C7</f>
        <v>2019</v>
      </c>
      <c r="D227" s="296"/>
      <c r="E227" s="297">
        <v>2020</v>
      </c>
      <c r="F227" s="296"/>
      <c r="G227" s="297">
        <v>2021</v>
      </c>
      <c r="H227" s="296"/>
      <c r="I227" s="297">
        <v>2022</v>
      </c>
      <c r="J227" s="296"/>
      <c r="K227" s="297">
        <v>2023</v>
      </c>
      <c r="L227" s="296"/>
      <c r="M227" s="297">
        <v>2024</v>
      </c>
      <c r="N227" s="298"/>
      <c r="O227" s="299"/>
    </row>
    <row r="228" spans="2:16" ht="16.5" thickTop="1" thickBot="1" x14ac:dyDescent="0.3">
      <c r="B228" s="85"/>
      <c r="C228" s="111" t="s">
        <v>69</v>
      </c>
      <c r="D228" s="112" t="str">
        <f>CONCATENATE("var. ",RIGHT(C227,2),"/",RIGHT(C227-1,2))</f>
        <v>var. 19/18</v>
      </c>
      <c r="E228" s="113" t="s">
        <v>69</v>
      </c>
      <c r="F228" s="112" t="str">
        <f>CONCATENATE("var. ",RIGHT(E227,2),"/",RIGHT(E227-1,2))</f>
        <v>var. 20/19</v>
      </c>
      <c r="G228" s="113" t="s">
        <v>69</v>
      </c>
      <c r="H228" s="112" t="str">
        <f>CONCATENATE("var. ",RIGHT(G227,2),"/",RIGHT(G227-1,2))</f>
        <v>var. 21/20</v>
      </c>
      <c r="I228" s="113" t="s">
        <v>69</v>
      </c>
      <c r="J228" s="112" t="s">
        <v>136</v>
      </c>
      <c r="K228" s="113" t="s">
        <v>69</v>
      </c>
      <c r="L228" s="112" t="s">
        <v>249</v>
      </c>
      <c r="M228" s="113" t="s">
        <v>69</v>
      </c>
      <c r="N228" s="112" t="s">
        <v>273</v>
      </c>
      <c r="O228" s="112" t="s">
        <v>274</v>
      </c>
    </row>
    <row r="229" spans="2:16" x14ac:dyDescent="0.25">
      <c r="B229" s="114" t="s">
        <v>71</v>
      </c>
      <c r="C229" s="115">
        <v>118</v>
      </c>
      <c r="D229" s="116">
        <v>1.4081632653061225</v>
      </c>
      <c r="E229" s="115">
        <v>324</v>
      </c>
      <c r="F229" s="116">
        <f t="shared" ref="F229:F241" si="40">IFERROR(E229/C229-1,"-")</f>
        <v>1.7457627118644066</v>
      </c>
      <c r="G229" s="115">
        <v>5</v>
      </c>
      <c r="H229" s="116">
        <f t="shared" ref="H229:H241" si="41">IFERROR(G229/E229-1,"-")</f>
        <v>-0.98456790123456794</v>
      </c>
      <c r="I229" s="115">
        <v>202</v>
      </c>
      <c r="J229" s="116">
        <f t="shared" ref="J229:J241" si="42">IFERROR(I229/G229-1,"-")</f>
        <v>39.4</v>
      </c>
      <c r="K229" s="115">
        <v>130</v>
      </c>
      <c r="L229" s="116">
        <f t="shared" ref="L229:L241" si="43">IFERROR(K229/I229-1,"-")</f>
        <v>-0.35643564356435642</v>
      </c>
      <c r="M229" s="115">
        <v>167</v>
      </c>
      <c r="N229" s="116">
        <v>0.28461538461538471</v>
      </c>
      <c r="O229" s="116">
        <v>0.4152542372881356</v>
      </c>
    </row>
    <row r="230" spans="2:16" x14ac:dyDescent="0.25">
      <c r="B230" s="114" t="s">
        <v>73</v>
      </c>
      <c r="C230" s="115">
        <v>79</v>
      </c>
      <c r="D230" s="116">
        <v>0</v>
      </c>
      <c r="E230" s="115">
        <v>73</v>
      </c>
      <c r="F230" s="116">
        <f t="shared" si="40"/>
        <v>-7.5949367088607556E-2</v>
      </c>
      <c r="G230" s="115">
        <v>5</v>
      </c>
      <c r="H230" s="116">
        <f t="shared" si="41"/>
        <v>-0.93150684931506844</v>
      </c>
      <c r="I230" s="115">
        <v>191</v>
      </c>
      <c r="J230" s="116">
        <f t="shared" si="42"/>
        <v>37.200000000000003</v>
      </c>
      <c r="K230" s="115">
        <v>31</v>
      </c>
      <c r="L230" s="116">
        <f t="shared" si="43"/>
        <v>-0.83769633507853403</v>
      </c>
      <c r="M230" s="115">
        <v>140</v>
      </c>
      <c r="N230" s="116">
        <v>3.5161290322580649</v>
      </c>
      <c r="O230" s="116">
        <v>0.77215189873417711</v>
      </c>
    </row>
    <row r="231" spans="2:16" x14ac:dyDescent="0.25">
      <c r="B231" s="114" t="s">
        <v>75</v>
      </c>
      <c r="C231" s="115">
        <v>57</v>
      </c>
      <c r="D231" s="116">
        <v>1.7857142857142794E-2</v>
      </c>
      <c r="E231" s="115">
        <v>168</v>
      </c>
      <c r="F231" s="116">
        <f t="shared" si="40"/>
        <v>1.9473684210526314</v>
      </c>
      <c r="G231" s="115">
        <v>7</v>
      </c>
      <c r="H231" s="116">
        <f t="shared" si="41"/>
        <v>-0.95833333333333337</v>
      </c>
      <c r="I231" s="115">
        <v>85</v>
      </c>
      <c r="J231" s="116">
        <f t="shared" si="42"/>
        <v>11.142857142857142</v>
      </c>
      <c r="K231" s="115">
        <v>28</v>
      </c>
      <c r="L231" s="116">
        <f t="shared" si="43"/>
        <v>-0.67058823529411771</v>
      </c>
      <c r="M231" s="115">
        <v>62</v>
      </c>
      <c r="N231" s="116">
        <v>1.2142857142857144</v>
      </c>
      <c r="O231" s="116">
        <v>8.7719298245614086E-2</v>
      </c>
    </row>
    <row r="232" spans="2:16" x14ac:dyDescent="0.25">
      <c r="B232" s="114" t="s">
        <v>77</v>
      </c>
      <c r="C232" s="115">
        <v>16</v>
      </c>
      <c r="D232" s="116">
        <v>-0.44827586206896552</v>
      </c>
      <c r="E232" s="115">
        <v>0</v>
      </c>
      <c r="F232" s="116">
        <f t="shared" si="40"/>
        <v>-1</v>
      </c>
      <c r="G232" s="115">
        <v>9</v>
      </c>
      <c r="H232" s="116" t="str">
        <f t="shared" si="41"/>
        <v>-</v>
      </c>
      <c r="I232" s="115">
        <v>17</v>
      </c>
      <c r="J232" s="116">
        <f t="shared" si="42"/>
        <v>0.88888888888888884</v>
      </c>
      <c r="K232" s="115">
        <v>42</v>
      </c>
      <c r="L232" s="116">
        <f t="shared" si="43"/>
        <v>1.4705882352941178</v>
      </c>
      <c r="M232" s="115">
        <v>2</v>
      </c>
      <c r="N232" s="116">
        <v>-0.95238095238095233</v>
      </c>
      <c r="O232" s="116">
        <v>-0.875</v>
      </c>
    </row>
    <row r="233" spans="2:16" x14ac:dyDescent="0.25">
      <c r="B233" s="114" t="s">
        <v>79</v>
      </c>
      <c r="C233" s="115">
        <v>10</v>
      </c>
      <c r="D233" s="116">
        <v>1.5</v>
      </c>
      <c r="E233" s="115">
        <v>0</v>
      </c>
      <c r="F233" s="116">
        <f t="shared" si="40"/>
        <v>-1</v>
      </c>
      <c r="G233" s="115">
        <v>12</v>
      </c>
      <c r="H233" s="116" t="str">
        <f t="shared" si="41"/>
        <v>-</v>
      </c>
      <c r="I233" s="115">
        <v>21</v>
      </c>
      <c r="J233" s="116">
        <f t="shared" si="42"/>
        <v>0.75</v>
      </c>
      <c r="K233" s="115">
        <v>10</v>
      </c>
      <c r="L233" s="116">
        <f t="shared" si="43"/>
        <v>-0.52380952380952384</v>
      </c>
      <c r="M233" s="115">
        <v>0</v>
      </c>
      <c r="N233" s="116">
        <v>-1</v>
      </c>
      <c r="O233" s="116">
        <v>-1</v>
      </c>
    </row>
    <row r="234" spans="2:16" x14ac:dyDescent="0.25">
      <c r="B234" s="114" t="s">
        <v>81</v>
      </c>
      <c r="C234" s="115">
        <v>23</v>
      </c>
      <c r="D234" s="116" t="s">
        <v>229</v>
      </c>
      <c r="E234" s="115">
        <v>0</v>
      </c>
      <c r="F234" s="116">
        <f t="shared" si="40"/>
        <v>-1</v>
      </c>
      <c r="G234" s="115">
        <v>0</v>
      </c>
      <c r="H234" s="116" t="str">
        <f t="shared" si="41"/>
        <v>-</v>
      </c>
      <c r="I234" s="115">
        <v>7</v>
      </c>
      <c r="J234" s="116" t="str">
        <f t="shared" si="42"/>
        <v>-</v>
      </c>
      <c r="K234" s="115">
        <v>2</v>
      </c>
      <c r="L234" s="116">
        <f t="shared" si="43"/>
        <v>-0.7142857142857143</v>
      </c>
      <c r="M234" s="115">
        <v>176</v>
      </c>
      <c r="N234" s="116">
        <v>87</v>
      </c>
      <c r="O234" s="116">
        <v>6.6521739130434785</v>
      </c>
    </row>
    <row r="235" spans="2:16" x14ac:dyDescent="0.25">
      <c r="B235" s="114" t="s">
        <v>83</v>
      </c>
      <c r="C235" s="115">
        <v>9</v>
      </c>
      <c r="D235" s="116">
        <v>1.25</v>
      </c>
      <c r="E235" s="115">
        <v>0</v>
      </c>
      <c r="F235" s="116">
        <f t="shared" si="40"/>
        <v>-1</v>
      </c>
      <c r="G235" s="115">
        <v>2</v>
      </c>
      <c r="H235" s="116" t="str">
        <f t="shared" si="41"/>
        <v>-</v>
      </c>
      <c r="I235" s="115">
        <v>17</v>
      </c>
      <c r="J235" s="116">
        <f t="shared" si="42"/>
        <v>7.5</v>
      </c>
      <c r="K235" s="115">
        <v>35</v>
      </c>
      <c r="L235" s="116">
        <f t="shared" si="43"/>
        <v>1.0588235294117645</v>
      </c>
      <c r="M235" s="115">
        <v>45</v>
      </c>
      <c r="N235" s="116">
        <v>0.28571428571428581</v>
      </c>
      <c r="O235" s="116">
        <v>4</v>
      </c>
    </row>
    <row r="236" spans="2:16" x14ac:dyDescent="0.25">
      <c r="B236" s="114" t="s">
        <v>85</v>
      </c>
      <c r="C236" s="115">
        <v>1</v>
      </c>
      <c r="D236" s="116" t="s">
        <v>229</v>
      </c>
      <c r="E236" s="115">
        <v>1</v>
      </c>
      <c r="F236" s="116">
        <f t="shared" si="40"/>
        <v>0</v>
      </c>
      <c r="G236" s="115">
        <v>0</v>
      </c>
      <c r="H236" s="116">
        <f t="shared" si="41"/>
        <v>-1</v>
      </c>
      <c r="I236" s="115">
        <v>63</v>
      </c>
      <c r="J236" s="116" t="str">
        <f t="shared" si="42"/>
        <v>-</v>
      </c>
      <c r="K236" s="115">
        <v>6</v>
      </c>
      <c r="L236" s="116">
        <f t="shared" si="43"/>
        <v>-0.90476190476190477</v>
      </c>
      <c r="M236" s="115">
        <v>4</v>
      </c>
      <c r="N236" s="116">
        <v>-0.33333333333333337</v>
      </c>
      <c r="O236" s="116">
        <v>3</v>
      </c>
    </row>
    <row r="237" spans="2:16" x14ac:dyDescent="0.25">
      <c r="B237" s="114" t="s">
        <v>87</v>
      </c>
      <c r="C237" s="115">
        <v>2</v>
      </c>
      <c r="D237" s="116" t="s">
        <v>229</v>
      </c>
      <c r="E237" s="115">
        <v>2</v>
      </c>
      <c r="F237" s="116">
        <f t="shared" si="40"/>
        <v>0</v>
      </c>
      <c r="G237" s="115">
        <v>1</v>
      </c>
      <c r="H237" s="116">
        <f t="shared" si="41"/>
        <v>-0.5</v>
      </c>
      <c r="I237" s="115">
        <v>27</v>
      </c>
      <c r="J237" s="116">
        <f t="shared" si="42"/>
        <v>26</v>
      </c>
      <c r="K237" s="115">
        <v>14</v>
      </c>
      <c r="L237" s="116">
        <f t="shared" si="43"/>
        <v>-0.48148148148148151</v>
      </c>
      <c r="M237" s="115">
        <v>36</v>
      </c>
      <c r="N237" s="116">
        <v>1.5714285714285716</v>
      </c>
      <c r="O237" s="116">
        <v>17</v>
      </c>
    </row>
    <row r="238" spans="2:16" x14ac:dyDescent="0.25">
      <c r="B238" s="114" t="s">
        <v>89</v>
      </c>
      <c r="C238" s="115">
        <v>16</v>
      </c>
      <c r="D238" s="116">
        <v>-0.23809523809523814</v>
      </c>
      <c r="E238" s="115">
        <v>0</v>
      </c>
      <c r="F238" s="116">
        <f t="shared" si="40"/>
        <v>-1</v>
      </c>
      <c r="G238" s="115">
        <v>100</v>
      </c>
      <c r="H238" s="116" t="str">
        <f t="shared" si="41"/>
        <v>-</v>
      </c>
      <c r="I238" s="115">
        <v>46</v>
      </c>
      <c r="J238" s="116">
        <f t="shared" si="42"/>
        <v>-0.54</v>
      </c>
      <c r="K238" s="115">
        <v>6</v>
      </c>
      <c r="L238" s="116">
        <f t="shared" si="43"/>
        <v>-0.86956521739130432</v>
      </c>
      <c r="M238" s="115"/>
      <c r="N238" s="116" t="s">
        <v>229</v>
      </c>
      <c r="O238" s="116" t="s">
        <v>229</v>
      </c>
    </row>
    <row r="239" spans="2:16" x14ac:dyDescent="0.25">
      <c r="B239" s="114" t="s">
        <v>91</v>
      </c>
      <c r="C239" s="115">
        <v>39</v>
      </c>
      <c r="D239" s="116">
        <v>-0.52439024390243905</v>
      </c>
      <c r="E239" s="115">
        <v>18</v>
      </c>
      <c r="F239" s="116">
        <f t="shared" si="40"/>
        <v>-0.53846153846153844</v>
      </c>
      <c r="G239" s="115">
        <v>57</v>
      </c>
      <c r="H239" s="116">
        <f t="shared" si="41"/>
        <v>2.1666666666666665</v>
      </c>
      <c r="I239" s="115">
        <v>40</v>
      </c>
      <c r="J239" s="116">
        <f t="shared" si="42"/>
        <v>-0.29824561403508776</v>
      </c>
      <c r="K239" s="115">
        <v>82</v>
      </c>
      <c r="L239" s="116">
        <f t="shared" si="43"/>
        <v>1.0499999999999998</v>
      </c>
      <c r="M239" s="115"/>
      <c r="N239" s="116" t="s">
        <v>229</v>
      </c>
      <c r="O239" s="116" t="s">
        <v>229</v>
      </c>
    </row>
    <row r="240" spans="2:16" x14ac:dyDescent="0.25">
      <c r="B240" s="114" t="s">
        <v>93</v>
      </c>
      <c r="C240" s="115">
        <v>74</v>
      </c>
      <c r="D240" s="116">
        <v>-0.35652173913043483</v>
      </c>
      <c r="E240" s="115">
        <v>2</v>
      </c>
      <c r="F240" s="116">
        <f t="shared" si="40"/>
        <v>-0.97297297297297303</v>
      </c>
      <c r="G240" s="115">
        <v>77</v>
      </c>
      <c r="H240" s="116">
        <f t="shared" si="41"/>
        <v>37.5</v>
      </c>
      <c r="I240" s="115">
        <v>101</v>
      </c>
      <c r="J240" s="116">
        <f t="shared" si="42"/>
        <v>0.31168831168831179</v>
      </c>
      <c r="K240" s="115">
        <v>34</v>
      </c>
      <c r="L240" s="116">
        <f t="shared" si="43"/>
        <v>-0.66336633663366329</v>
      </c>
      <c r="M240" s="115"/>
      <c r="N240" s="116" t="s">
        <v>229</v>
      </c>
      <c r="O240" s="116" t="s">
        <v>229</v>
      </c>
    </row>
    <row r="241" spans="2:16" ht="15.75" x14ac:dyDescent="0.25">
      <c r="B241" s="117" t="s">
        <v>30</v>
      </c>
      <c r="C241" s="118">
        <v>444</v>
      </c>
      <c r="D241" s="119">
        <v>1.1389521640091216E-2</v>
      </c>
      <c r="E241" s="118">
        <v>599</v>
      </c>
      <c r="F241" s="119">
        <f t="shared" si="40"/>
        <v>0.3490990990990992</v>
      </c>
      <c r="G241" s="118">
        <v>275</v>
      </c>
      <c r="H241" s="119">
        <f t="shared" si="41"/>
        <v>-0.54090150250417368</v>
      </c>
      <c r="I241" s="118">
        <v>817</v>
      </c>
      <c r="J241" s="119">
        <f t="shared" si="42"/>
        <v>1.9709090909090907</v>
      </c>
      <c r="K241" s="118">
        <v>420</v>
      </c>
      <c r="L241" s="119">
        <f t="shared" si="43"/>
        <v>-0.48592411260709911</v>
      </c>
      <c r="M241" s="118">
        <v>632</v>
      </c>
      <c r="N241" s="119">
        <v>1.1208053691275168</v>
      </c>
      <c r="O241" s="119">
        <v>1.0063492063492063</v>
      </c>
    </row>
    <row r="242" spans="2:16" ht="6" customHeight="1" x14ac:dyDescent="0.25"/>
    <row r="243" spans="2:16" x14ac:dyDescent="0.25">
      <c r="B243" s="105" t="s">
        <v>55</v>
      </c>
      <c r="C243" s="105"/>
      <c r="D243" s="105"/>
      <c r="E243" s="105"/>
      <c r="F243" s="105"/>
      <c r="G243" s="105"/>
      <c r="H243" s="105"/>
      <c r="I243" s="105"/>
      <c r="J243" s="105"/>
      <c r="K243" s="105"/>
      <c r="L243" s="105"/>
      <c r="M243" s="105"/>
      <c r="N243" s="105"/>
      <c r="O243" s="105"/>
    </row>
    <row r="244" spans="2:16" x14ac:dyDescent="0.25">
      <c r="C244" s="120"/>
      <c r="K244" s="120"/>
      <c r="N244" s="79"/>
      <c r="O244" s="79"/>
    </row>
    <row r="250" spans="2:16" ht="48.75" customHeight="1" thickBot="1" x14ac:dyDescent="0.3">
      <c r="B250" s="270" t="s">
        <v>284</v>
      </c>
      <c r="C250" s="270"/>
      <c r="D250" s="270"/>
      <c r="E250" s="270"/>
      <c r="F250" s="270"/>
      <c r="G250" s="270"/>
      <c r="H250" s="270"/>
      <c r="I250" s="270"/>
      <c r="J250" s="270"/>
      <c r="K250" s="270"/>
      <c r="L250" s="270"/>
      <c r="M250" s="270"/>
      <c r="N250" s="270"/>
      <c r="O250" s="270"/>
      <c r="P250" s="1" t="s">
        <v>147</v>
      </c>
    </row>
    <row r="251" spans="2:16" ht="10.5" customHeight="1" thickBot="1" x14ac:dyDescent="0.3">
      <c r="B251" s="106"/>
      <c r="C251" s="107"/>
      <c r="D251" s="106"/>
      <c r="E251" s="106"/>
      <c r="F251" s="106"/>
      <c r="G251" s="106"/>
      <c r="H251" s="106"/>
      <c r="I251" s="106"/>
      <c r="J251" s="106"/>
      <c r="K251" s="106"/>
      <c r="L251" s="106"/>
      <c r="M251" s="4"/>
      <c r="N251" s="4"/>
      <c r="P251" s="1" t="s">
        <v>148</v>
      </c>
    </row>
    <row r="252" spans="2:16" ht="22.5" thickTop="1" thickBot="1" x14ac:dyDescent="0.3">
      <c r="B252" s="121" t="str">
        <f>C252</f>
        <v>Suecia</v>
      </c>
      <c r="C252" s="292" t="s">
        <v>131</v>
      </c>
      <c r="D252" s="293"/>
      <c r="E252" s="293"/>
      <c r="F252" s="293"/>
      <c r="G252" s="293"/>
      <c r="H252" s="293"/>
      <c r="I252" s="293"/>
      <c r="J252" s="293"/>
      <c r="K252" s="293"/>
      <c r="L252" s="293"/>
      <c r="M252" s="293"/>
      <c r="N252" s="293"/>
      <c r="O252" s="294"/>
    </row>
    <row r="253" spans="2:16" ht="22.5" thickTop="1" thickBot="1" x14ac:dyDescent="0.3">
      <c r="B253" s="109"/>
      <c r="C253" s="295">
        <f>C7</f>
        <v>2019</v>
      </c>
      <c r="D253" s="296"/>
      <c r="E253" s="297">
        <v>2020</v>
      </c>
      <c r="F253" s="296"/>
      <c r="G253" s="297">
        <v>2021</v>
      </c>
      <c r="H253" s="296"/>
      <c r="I253" s="297">
        <v>2022</v>
      </c>
      <c r="J253" s="296"/>
      <c r="K253" s="297">
        <v>2023</v>
      </c>
      <c r="L253" s="296"/>
      <c r="M253" s="297">
        <v>2024</v>
      </c>
      <c r="N253" s="298"/>
      <c r="O253" s="299"/>
    </row>
    <row r="254" spans="2:16" ht="16.5" thickTop="1" thickBot="1" x14ac:dyDescent="0.3">
      <c r="B254" s="85"/>
      <c r="C254" s="111" t="s">
        <v>69</v>
      </c>
      <c r="D254" s="112" t="str">
        <f>CONCATENATE("var. ",RIGHT(C253,2),"/",RIGHT(C253-1,2))</f>
        <v>var. 19/18</v>
      </c>
      <c r="E254" s="113" t="s">
        <v>69</v>
      </c>
      <c r="F254" s="112" t="str">
        <f>CONCATENATE("var. ",RIGHT(E253,2),"/",RIGHT(E253-1,2))</f>
        <v>var. 20/19</v>
      </c>
      <c r="G254" s="113" t="s">
        <v>69</v>
      </c>
      <c r="H254" s="112" t="str">
        <f>CONCATENATE("var. ",RIGHT(G253,2),"/",RIGHT(G253-1,2))</f>
        <v>var. 21/20</v>
      </c>
      <c r="I254" s="113" t="s">
        <v>69</v>
      </c>
      <c r="J254" s="112" t="s">
        <v>136</v>
      </c>
      <c r="K254" s="113" t="s">
        <v>69</v>
      </c>
      <c r="L254" s="112" t="s">
        <v>249</v>
      </c>
      <c r="M254" s="113" t="s">
        <v>69</v>
      </c>
      <c r="N254" s="112" t="s">
        <v>273</v>
      </c>
      <c r="O254" s="112" t="s">
        <v>274</v>
      </c>
    </row>
    <row r="255" spans="2:16" x14ac:dyDescent="0.25">
      <c r="B255" s="114" t="s">
        <v>71</v>
      </c>
      <c r="C255" s="115">
        <v>56</v>
      </c>
      <c r="D255" s="116">
        <v>-0.60563380281690149</v>
      </c>
      <c r="E255" s="115">
        <v>93</v>
      </c>
      <c r="F255" s="116">
        <f t="shared" ref="F255:J267" si="44">IFERROR(E255/C255-1,"-")</f>
        <v>0.66071428571428581</v>
      </c>
      <c r="G255" s="115">
        <v>23</v>
      </c>
      <c r="H255" s="116">
        <f t="shared" si="44"/>
        <v>-0.75268817204301075</v>
      </c>
      <c r="I255" s="115">
        <v>107</v>
      </c>
      <c r="J255" s="116">
        <f t="shared" si="44"/>
        <v>3.6521739130434785</v>
      </c>
      <c r="K255" s="115">
        <v>236</v>
      </c>
      <c r="L255" s="116">
        <f t="shared" ref="L255:L267" si="45">IFERROR(K255/I255-1,"-")</f>
        <v>1.2056074766355138</v>
      </c>
      <c r="M255" s="115">
        <v>448</v>
      </c>
      <c r="N255" s="116">
        <v>0.89830508474576276</v>
      </c>
      <c r="O255" s="116">
        <v>7</v>
      </c>
    </row>
    <row r="256" spans="2:16" x14ac:dyDescent="0.25">
      <c r="B256" s="114" t="s">
        <v>73</v>
      </c>
      <c r="C256" s="115">
        <v>130</v>
      </c>
      <c r="D256" s="116">
        <v>-0.24855491329479773</v>
      </c>
      <c r="E256" s="115">
        <v>98</v>
      </c>
      <c r="F256" s="116">
        <f t="shared" si="44"/>
        <v>-0.24615384615384617</v>
      </c>
      <c r="G256" s="115">
        <v>14</v>
      </c>
      <c r="H256" s="116">
        <f t="shared" si="44"/>
        <v>-0.85714285714285721</v>
      </c>
      <c r="I256" s="115">
        <v>44</v>
      </c>
      <c r="J256" s="116">
        <f t="shared" si="44"/>
        <v>2.1428571428571428</v>
      </c>
      <c r="K256" s="115">
        <v>59</v>
      </c>
      <c r="L256" s="116">
        <f t="shared" si="45"/>
        <v>0.34090909090909083</v>
      </c>
      <c r="M256" s="115">
        <v>189</v>
      </c>
      <c r="N256" s="116">
        <v>2.2033898305084745</v>
      </c>
      <c r="O256" s="116">
        <v>0.45384615384615379</v>
      </c>
    </row>
    <row r="257" spans="2:15" x14ac:dyDescent="0.25">
      <c r="B257" s="114" t="s">
        <v>75</v>
      </c>
      <c r="C257" s="115">
        <v>99</v>
      </c>
      <c r="D257" s="116">
        <v>-0.57692307692307687</v>
      </c>
      <c r="E257" s="115">
        <v>19</v>
      </c>
      <c r="F257" s="116">
        <f t="shared" si="44"/>
        <v>-0.80808080808080807</v>
      </c>
      <c r="G257" s="115">
        <v>33</v>
      </c>
      <c r="H257" s="116">
        <f t="shared" si="44"/>
        <v>0.73684210526315796</v>
      </c>
      <c r="I257" s="115">
        <v>23</v>
      </c>
      <c r="J257" s="116">
        <f t="shared" si="44"/>
        <v>-0.30303030303030298</v>
      </c>
      <c r="K257" s="115">
        <v>105</v>
      </c>
      <c r="L257" s="116">
        <f t="shared" si="45"/>
        <v>3.5652173913043477</v>
      </c>
      <c r="M257" s="115">
        <v>115</v>
      </c>
      <c r="N257" s="116">
        <v>9.5238095238095344E-2</v>
      </c>
      <c r="O257" s="116">
        <v>0.16161616161616155</v>
      </c>
    </row>
    <row r="258" spans="2:15" x14ac:dyDescent="0.25">
      <c r="B258" s="114" t="s">
        <v>77</v>
      </c>
      <c r="C258" s="115">
        <v>16</v>
      </c>
      <c r="D258" s="116">
        <v>-0.66666666666666674</v>
      </c>
      <c r="E258" s="115">
        <v>0</v>
      </c>
      <c r="F258" s="116">
        <f t="shared" si="44"/>
        <v>-1</v>
      </c>
      <c r="G258" s="115">
        <v>16</v>
      </c>
      <c r="H258" s="116" t="str">
        <f t="shared" si="44"/>
        <v>-</v>
      </c>
      <c r="I258" s="115">
        <v>4</v>
      </c>
      <c r="J258" s="116">
        <f t="shared" si="44"/>
        <v>-0.75</v>
      </c>
      <c r="K258" s="115">
        <v>66</v>
      </c>
      <c r="L258" s="116">
        <f t="shared" si="45"/>
        <v>15.5</v>
      </c>
      <c r="M258" s="115">
        <v>64</v>
      </c>
      <c r="N258" s="116">
        <v>-3.0303030303030276E-2</v>
      </c>
      <c r="O258" s="116">
        <v>3</v>
      </c>
    </row>
    <row r="259" spans="2:15" x14ac:dyDescent="0.25">
      <c r="B259" s="114" t="s">
        <v>79</v>
      </c>
      <c r="C259" s="115">
        <v>3</v>
      </c>
      <c r="D259" s="116">
        <v>-0.9</v>
      </c>
      <c r="E259" s="115">
        <v>0</v>
      </c>
      <c r="F259" s="116">
        <f t="shared" si="44"/>
        <v>-1</v>
      </c>
      <c r="G259" s="115">
        <v>15</v>
      </c>
      <c r="H259" s="116" t="str">
        <f t="shared" si="44"/>
        <v>-</v>
      </c>
      <c r="I259" s="115">
        <v>10</v>
      </c>
      <c r="J259" s="116">
        <f t="shared" si="44"/>
        <v>-0.33333333333333337</v>
      </c>
      <c r="K259" s="115">
        <v>63</v>
      </c>
      <c r="L259" s="116">
        <f t="shared" si="45"/>
        <v>5.3</v>
      </c>
      <c r="M259" s="115">
        <v>6</v>
      </c>
      <c r="N259" s="116">
        <v>-0.90476190476190477</v>
      </c>
      <c r="O259" s="116">
        <v>1</v>
      </c>
    </row>
    <row r="260" spans="2:15" x14ac:dyDescent="0.25">
      <c r="B260" s="114" t="s">
        <v>81</v>
      </c>
      <c r="C260" s="115">
        <v>37</v>
      </c>
      <c r="D260" s="116">
        <v>6.4</v>
      </c>
      <c r="E260" s="115">
        <v>0</v>
      </c>
      <c r="F260" s="116">
        <f t="shared" si="44"/>
        <v>-1</v>
      </c>
      <c r="G260" s="115">
        <v>10</v>
      </c>
      <c r="H260" s="116" t="str">
        <f t="shared" si="44"/>
        <v>-</v>
      </c>
      <c r="I260" s="115">
        <v>29</v>
      </c>
      <c r="J260" s="116">
        <f t="shared" si="44"/>
        <v>1.9</v>
      </c>
      <c r="K260" s="115">
        <v>48</v>
      </c>
      <c r="L260" s="116">
        <f t="shared" si="45"/>
        <v>0.65517241379310343</v>
      </c>
      <c r="M260" s="115">
        <v>0</v>
      </c>
      <c r="N260" s="116">
        <v>-1</v>
      </c>
      <c r="O260" s="116">
        <v>-1</v>
      </c>
    </row>
    <row r="261" spans="2:15" x14ac:dyDescent="0.25">
      <c r="B261" s="114" t="s">
        <v>83</v>
      </c>
      <c r="C261" s="115">
        <v>15</v>
      </c>
      <c r="D261" s="116">
        <v>-0.11764705882352944</v>
      </c>
      <c r="E261" s="115">
        <v>0</v>
      </c>
      <c r="F261" s="116">
        <f t="shared" si="44"/>
        <v>-1</v>
      </c>
      <c r="G261" s="115">
        <v>7</v>
      </c>
      <c r="H261" s="116" t="str">
        <f t="shared" si="44"/>
        <v>-</v>
      </c>
      <c r="I261" s="115">
        <v>10</v>
      </c>
      <c r="J261" s="116">
        <f t="shared" si="44"/>
        <v>0.4285714285714286</v>
      </c>
      <c r="K261" s="115">
        <v>29</v>
      </c>
      <c r="L261" s="116">
        <f t="shared" si="45"/>
        <v>1.9</v>
      </c>
      <c r="M261" s="115">
        <v>2</v>
      </c>
      <c r="N261" s="116">
        <v>-0.93103448275862066</v>
      </c>
      <c r="O261" s="116">
        <v>-0.8666666666666667</v>
      </c>
    </row>
    <row r="262" spans="2:15" x14ac:dyDescent="0.25">
      <c r="B262" s="114" t="s">
        <v>85</v>
      </c>
      <c r="C262" s="115">
        <v>27</v>
      </c>
      <c r="D262" s="116">
        <v>2.8571428571428572</v>
      </c>
      <c r="E262" s="115">
        <v>3</v>
      </c>
      <c r="F262" s="116">
        <f t="shared" si="44"/>
        <v>-0.88888888888888884</v>
      </c>
      <c r="G262" s="115">
        <v>30</v>
      </c>
      <c r="H262" s="116">
        <f t="shared" si="44"/>
        <v>9</v>
      </c>
      <c r="I262" s="115">
        <v>12</v>
      </c>
      <c r="J262" s="116">
        <f t="shared" si="44"/>
        <v>-0.6</v>
      </c>
      <c r="K262" s="115">
        <v>34</v>
      </c>
      <c r="L262" s="116">
        <f t="shared" si="45"/>
        <v>1.8333333333333335</v>
      </c>
      <c r="M262" s="115">
        <v>23</v>
      </c>
      <c r="N262" s="116">
        <v>-0.32352941176470584</v>
      </c>
      <c r="O262" s="116">
        <v>-0.14814814814814814</v>
      </c>
    </row>
    <row r="263" spans="2:15" x14ac:dyDescent="0.25">
      <c r="B263" s="114" t="s">
        <v>87</v>
      </c>
      <c r="C263" s="115">
        <v>0</v>
      </c>
      <c r="D263" s="116">
        <v>-1</v>
      </c>
      <c r="E263" s="115">
        <v>6</v>
      </c>
      <c r="F263" s="116" t="str">
        <f t="shared" si="44"/>
        <v>-</v>
      </c>
      <c r="G263" s="115">
        <v>17</v>
      </c>
      <c r="H263" s="116">
        <f t="shared" si="44"/>
        <v>1.8333333333333335</v>
      </c>
      <c r="I263" s="115">
        <v>8</v>
      </c>
      <c r="J263" s="116">
        <f t="shared" si="44"/>
        <v>-0.52941176470588236</v>
      </c>
      <c r="K263" s="115">
        <v>40</v>
      </c>
      <c r="L263" s="116">
        <f t="shared" si="45"/>
        <v>4</v>
      </c>
      <c r="M263" s="115">
        <v>24</v>
      </c>
      <c r="N263" s="116">
        <v>-0.4</v>
      </c>
      <c r="O263" s="116" t="s">
        <v>229</v>
      </c>
    </row>
    <row r="264" spans="2:15" x14ac:dyDescent="0.25">
      <c r="B264" s="114" t="s">
        <v>89</v>
      </c>
      <c r="C264" s="115">
        <v>48</v>
      </c>
      <c r="D264" s="116">
        <v>0.11627906976744184</v>
      </c>
      <c r="E264" s="115">
        <v>6</v>
      </c>
      <c r="F264" s="116">
        <f t="shared" si="44"/>
        <v>-0.875</v>
      </c>
      <c r="G264" s="115">
        <v>7</v>
      </c>
      <c r="H264" s="116">
        <f t="shared" si="44"/>
        <v>0.16666666666666674</v>
      </c>
      <c r="I264" s="115">
        <v>20</v>
      </c>
      <c r="J264" s="116">
        <f t="shared" si="44"/>
        <v>1.8571428571428572</v>
      </c>
      <c r="K264" s="115">
        <v>26</v>
      </c>
      <c r="L264" s="116">
        <f t="shared" si="45"/>
        <v>0.30000000000000004</v>
      </c>
      <c r="M264" s="115"/>
      <c r="N264" s="116" t="s">
        <v>229</v>
      </c>
      <c r="O264" s="116" t="s">
        <v>229</v>
      </c>
    </row>
    <row r="265" spans="2:15" x14ac:dyDescent="0.25">
      <c r="B265" s="114" t="s">
        <v>91</v>
      </c>
      <c r="C265" s="115">
        <v>158</v>
      </c>
      <c r="D265" s="116">
        <v>-0.5</v>
      </c>
      <c r="E265" s="115">
        <v>20</v>
      </c>
      <c r="F265" s="116">
        <f t="shared" si="44"/>
        <v>-0.87341772151898733</v>
      </c>
      <c r="G265" s="115">
        <v>45</v>
      </c>
      <c r="H265" s="116">
        <f t="shared" si="44"/>
        <v>1.25</v>
      </c>
      <c r="I265" s="115">
        <v>24</v>
      </c>
      <c r="J265" s="116">
        <f t="shared" si="44"/>
        <v>-0.46666666666666667</v>
      </c>
      <c r="K265" s="115">
        <v>97</v>
      </c>
      <c r="L265" s="116">
        <f t="shared" si="45"/>
        <v>3.041666666666667</v>
      </c>
      <c r="M265" s="115"/>
      <c r="N265" s="116" t="s">
        <v>229</v>
      </c>
      <c r="O265" s="116" t="s">
        <v>229</v>
      </c>
    </row>
    <row r="266" spans="2:15" x14ac:dyDescent="0.25">
      <c r="B266" s="114" t="s">
        <v>93</v>
      </c>
      <c r="C266" s="115">
        <v>110</v>
      </c>
      <c r="D266" s="116">
        <v>0.134020618556701</v>
      </c>
      <c r="E266" s="115">
        <v>10</v>
      </c>
      <c r="F266" s="116">
        <f t="shared" si="44"/>
        <v>-0.90909090909090906</v>
      </c>
      <c r="G266" s="115">
        <v>42</v>
      </c>
      <c r="H266" s="116">
        <f t="shared" si="44"/>
        <v>3.2</v>
      </c>
      <c r="I266" s="115">
        <v>94</v>
      </c>
      <c r="J266" s="116">
        <f t="shared" si="44"/>
        <v>1.2380952380952381</v>
      </c>
      <c r="K266" s="115">
        <v>147</v>
      </c>
      <c r="L266" s="116">
        <f t="shared" si="45"/>
        <v>0.56382978723404253</v>
      </c>
      <c r="M266" s="115"/>
      <c r="N266" s="116" t="s">
        <v>229</v>
      </c>
      <c r="O266" s="116" t="s">
        <v>229</v>
      </c>
    </row>
    <row r="267" spans="2:15" ht="15.75" x14ac:dyDescent="0.25">
      <c r="B267" s="117" t="s">
        <v>30</v>
      </c>
      <c r="C267" s="118">
        <v>699</v>
      </c>
      <c r="D267" s="119">
        <v>-0.39637305699481862</v>
      </c>
      <c r="E267" s="118">
        <v>259</v>
      </c>
      <c r="F267" s="119">
        <f t="shared" si="44"/>
        <v>-0.62947067238912735</v>
      </c>
      <c r="G267" s="118">
        <v>259</v>
      </c>
      <c r="H267" s="119">
        <f t="shared" si="44"/>
        <v>0</v>
      </c>
      <c r="I267" s="118">
        <v>385</v>
      </c>
      <c r="J267" s="119">
        <f t="shared" si="44"/>
        <v>0.4864864864864864</v>
      </c>
      <c r="K267" s="118">
        <v>950</v>
      </c>
      <c r="L267" s="119">
        <f t="shared" si="45"/>
        <v>1.4675324675324677</v>
      </c>
      <c r="M267" s="118">
        <v>871</v>
      </c>
      <c r="N267" s="119">
        <v>0.28088235294117636</v>
      </c>
      <c r="O267" s="119">
        <v>1.2741514360313317</v>
      </c>
    </row>
    <row r="268" spans="2:15" ht="6" customHeight="1" x14ac:dyDescent="0.25"/>
    <row r="269" spans="2:15" x14ac:dyDescent="0.25">
      <c r="B269" s="105" t="s">
        <v>55</v>
      </c>
      <c r="C269" s="105"/>
      <c r="D269" s="105"/>
      <c r="E269" s="105"/>
      <c r="F269" s="105"/>
      <c r="G269" s="105"/>
      <c r="H269" s="105"/>
      <c r="I269" s="105"/>
      <c r="J269" s="105"/>
      <c r="K269" s="105"/>
      <c r="L269" s="105"/>
      <c r="M269" s="105"/>
      <c r="N269" s="105"/>
      <c r="O269" s="105"/>
    </row>
    <row r="270" spans="2:15" x14ac:dyDescent="0.25">
      <c r="C270" s="120"/>
      <c r="K270" s="120"/>
      <c r="N270" s="79"/>
      <c r="O270" s="79"/>
    </row>
  </sheetData>
  <mergeCells count="96">
    <mergeCell ref="B4:O4"/>
    <mergeCell ref="C6:O6"/>
    <mergeCell ref="C7:D7"/>
    <mergeCell ref="E7:F7"/>
    <mergeCell ref="G7:H7"/>
    <mergeCell ref="I7:J7"/>
    <mergeCell ref="K7:L7"/>
    <mergeCell ref="M7:O7"/>
    <mergeCell ref="B26:O26"/>
    <mergeCell ref="C28:O28"/>
    <mergeCell ref="C29:D29"/>
    <mergeCell ref="E29:F29"/>
    <mergeCell ref="G29:H29"/>
    <mergeCell ref="I29:J29"/>
    <mergeCell ref="K29:L29"/>
    <mergeCell ref="M29:O29"/>
    <mergeCell ref="B48:O48"/>
    <mergeCell ref="C50:O50"/>
    <mergeCell ref="C51:D51"/>
    <mergeCell ref="E51:F51"/>
    <mergeCell ref="G51:H51"/>
    <mergeCell ref="I51:J51"/>
    <mergeCell ref="K51:L51"/>
    <mergeCell ref="M51:O51"/>
    <mergeCell ref="B70:O70"/>
    <mergeCell ref="C72:O72"/>
    <mergeCell ref="C73:D73"/>
    <mergeCell ref="E73:F73"/>
    <mergeCell ref="G73:H73"/>
    <mergeCell ref="I73:J73"/>
    <mergeCell ref="K73:L73"/>
    <mergeCell ref="M73:O73"/>
    <mergeCell ref="B92:O92"/>
    <mergeCell ref="C94:O94"/>
    <mergeCell ref="C95:D95"/>
    <mergeCell ref="E95:F95"/>
    <mergeCell ref="G95:H95"/>
    <mergeCell ref="I95:J95"/>
    <mergeCell ref="K95:L95"/>
    <mergeCell ref="M95:O95"/>
    <mergeCell ref="B114:O114"/>
    <mergeCell ref="C116:O116"/>
    <mergeCell ref="C117:D117"/>
    <mergeCell ref="E117:F117"/>
    <mergeCell ref="G117:H117"/>
    <mergeCell ref="I117:J117"/>
    <mergeCell ref="K117:L117"/>
    <mergeCell ref="M117:O117"/>
    <mergeCell ref="B136:O136"/>
    <mergeCell ref="C138:O138"/>
    <mergeCell ref="C139:D139"/>
    <mergeCell ref="E139:F139"/>
    <mergeCell ref="G139:H139"/>
    <mergeCell ref="I139:J139"/>
    <mergeCell ref="K139:L139"/>
    <mergeCell ref="M139:O139"/>
    <mergeCell ref="B158:O158"/>
    <mergeCell ref="C160:O160"/>
    <mergeCell ref="C161:D161"/>
    <mergeCell ref="E161:F161"/>
    <mergeCell ref="G161:H161"/>
    <mergeCell ref="I161:J161"/>
    <mergeCell ref="K161:L161"/>
    <mergeCell ref="M161:O161"/>
    <mergeCell ref="B180:O180"/>
    <mergeCell ref="C182:O182"/>
    <mergeCell ref="C183:D183"/>
    <mergeCell ref="E183:F183"/>
    <mergeCell ref="G183:H183"/>
    <mergeCell ref="I183:J183"/>
    <mergeCell ref="K183:L183"/>
    <mergeCell ref="M183:O183"/>
    <mergeCell ref="B202:O202"/>
    <mergeCell ref="C204:O204"/>
    <mergeCell ref="C205:D205"/>
    <mergeCell ref="E205:F205"/>
    <mergeCell ref="G205:H205"/>
    <mergeCell ref="I205:J205"/>
    <mergeCell ref="K205:L205"/>
    <mergeCell ref="M205:O205"/>
    <mergeCell ref="B224:O224"/>
    <mergeCell ref="C226:O226"/>
    <mergeCell ref="C227:D227"/>
    <mergeCell ref="E227:F227"/>
    <mergeCell ref="G227:H227"/>
    <mergeCell ref="I227:J227"/>
    <mergeCell ref="K227:L227"/>
    <mergeCell ref="M227:O227"/>
    <mergeCell ref="B250:O250"/>
    <mergeCell ref="C252:O252"/>
    <mergeCell ref="C253:D253"/>
    <mergeCell ref="E253:F253"/>
    <mergeCell ref="G253:H253"/>
    <mergeCell ref="I253:J253"/>
    <mergeCell ref="K253:L253"/>
    <mergeCell ref="M253:O253"/>
  </mergeCells>
  <pageMargins left="0.7" right="0.7" top="0.75" bottom="0.75" header="0.3" footer="0.3"/>
  <pageSetup paperSize="9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1E9593-6726-4439-9E03-EE0397E6BFC8}">
  <sheetPr>
    <tabColor rgb="FFF29140"/>
  </sheetPr>
  <dimension ref="A4:P113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4" max="4" width="12.140625" bestFit="1" customWidth="1"/>
    <col min="14" max="14" width="13.5703125" bestFit="1" customWidth="1"/>
    <col min="15" max="15" width="11.140625" customWidth="1"/>
  </cols>
  <sheetData>
    <row r="4" spans="1:16" ht="48.75" customHeight="1" thickBot="1" x14ac:dyDescent="0.3">
      <c r="B4" s="270" t="s">
        <v>271</v>
      </c>
      <c r="C4" s="270"/>
      <c r="D4" s="270"/>
      <c r="E4" s="270"/>
      <c r="F4" s="270"/>
      <c r="G4" s="270"/>
      <c r="H4" s="270"/>
      <c r="I4" s="270"/>
      <c r="J4" s="270"/>
      <c r="K4" s="270"/>
      <c r="L4" s="270"/>
      <c r="M4" s="270"/>
      <c r="N4" s="270"/>
      <c r="O4" s="270"/>
      <c r="P4" s="1" t="s">
        <v>66</v>
      </c>
    </row>
    <row r="5" spans="1:16" ht="10.5" customHeight="1" thickBot="1" x14ac:dyDescent="0.3">
      <c r="B5" s="106"/>
      <c r="C5" s="107"/>
      <c r="D5" s="106"/>
      <c r="E5" s="106"/>
      <c r="F5" s="106"/>
      <c r="G5" s="106"/>
      <c r="H5" s="106"/>
      <c r="I5" s="106"/>
      <c r="J5" s="106"/>
      <c r="K5" s="106"/>
      <c r="L5" s="106"/>
      <c r="M5" s="4"/>
      <c r="N5" s="4"/>
      <c r="P5" s="1" t="s">
        <v>67</v>
      </c>
    </row>
    <row r="6" spans="1:16" ht="22.5" thickTop="1" thickBot="1" x14ac:dyDescent="0.3">
      <c r="B6" s="108" t="s">
        <v>30</v>
      </c>
      <c r="C6" s="292" t="s">
        <v>132</v>
      </c>
      <c r="D6" s="293"/>
      <c r="E6" s="293"/>
      <c r="F6" s="293"/>
      <c r="G6" s="293"/>
      <c r="H6" s="293"/>
      <c r="I6" s="293"/>
      <c r="J6" s="293"/>
      <c r="K6" s="293"/>
      <c r="L6" s="293"/>
      <c r="M6" s="293"/>
      <c r="N6" s="293"/>
      <c r="O6" s="294"/>
    </row>
    <row r="7" spans="1:16" ht="22.5" thickTop="1" thickBot="1" x14ac:dyDescent="0.3">
      <c r="B7" s="109"/>
      <c r="C7" s="295">
        <v>2019</v>
      </c>
      <c r="D7" s="296"/>
      <c r="E7" s="297" t="s">
        <v>285</v>
      </c>
      <c r="F7" s="296"/>
      <c r="G7" s="297" t="s">
        <v>286</v>
      </c>
      <c r="H7" s="296"/>
      <c r="I7" s="297" t="s">
        <v>287</v>
      </c>
      <c r="J7" s="296"/>
      <c r="K7" s="297">
        <v>2023</v>
      </c>
      <c r="L7" s="296"/>
      <c r="M7" s="297">
        <v>2024</v>
      </c>
      <c r="N7" s="298"/>
      <c r="O7" s="299"/>
    </row>
    <row r="8" spans="1:16" ht="16.5" thickTop="1" thickBot="1" x14ac:dyDescent="0.3">
      <c r="B8" s="85"/>
      <c r="C8" s="111" t="s">
        <v>69</v>
      </c>
      <c r="D8" s="112" t="str">
        <f>CONCATENATE("var ",RIGHT(C7,2),"/",RIGHT(C7-1,2))</f>
        <v>var 19/18</v>
      </c>
      <c r="E8" s="113" t="s">
        <v>69</v>
      </c>
      <c r="F8" s="112" t="str">
        <f>CONCATENATE("var ",RIGHT(E7,2),"/",RIGHT(C7,2))</f>
        <v>var 20/19</v>
      </c>
      <c r="G8" s="113" t="s">
        <v>69</v>
      </c>
      <c r="H8" s="112" t="str">
        <f>CONCATENATE("var ",RIGHT(G7,2),"/",RIGHT(E7,2))</f>
        <v>var 21/20</v>
      </c>
      <c r="I8" s="113" t="s">
        <v>69</v>
      </c>
      <c r="J8" s="112" t="str">
        <f>CONCATENATE("var ",RIGHT(I7,2),"/",RIGHT(G7,2))</f>
        <v>var 22/21</v>
      </c>
      <c r="K8" s="113" t="s">
        <v>69</v>
      </c>
      <c r="L8" s="112" t="str">
        <f>CONCATENATE("var ",RIGHT(K7,2),"/",RIGHT(I7,2))</f>
        <v>var 23/22</v>
      </c>
      <c r="M8" s="113" t="s">
        <v>69</v>
      </c>
      <c r="N8" s="112" t="s">
        <v>273</v>
      </c>
      <c r="O8" s="112" t="s">
        <v>274</v>
      </c>
    </row>
    <row r="9" spans="1:16" x14ac:dyDescent="0.25">
      <c r="A9" s="1" t="s">
        <v>70</v>
      </c>
      <c r="B9" s="114" t="s">
        <v>71</v>
      </c>
      <c r="C9" s="115">
        <v>12429</v>
      </c>
      <c r="D9" s="116">
        <v>-8.3136618471525536E-2</v>
      </c>
      <c r="E9" s="115">
        <v>13603</v>
      </c>
      <c r="F9" s="116">
        <f t="shared" ref="F9:L21" si="0">IFERROR(E9/C9-1,"-")</f>
        <v>9.4456512993804864E-2</v>
      </c>
      <c r="G9" s="115">
        <v>2763</v>
      </c>
      <c r="H9" s="116">
        <f t="shared" si="0"/>
        <v>-0.79688304050577075</v>
      </c>
      <c r="I9" s="115">
        <v>11400</v>
      </c>
      <c r="J9" s="116">
        <f t="shared" si="0"/>
        <v>3.1259500542888166</v>
      </c>
      <c r="K9" s="115">
        <v>14353</v>
      </c>
      <c r="L9" s="116">
        <f t="shared" si="0"/>
        <v>0.25903508771929817</v>
      </c>
      <c r="M9" s="115">
        <v>14581</v>
      </c>
      <c r="N9" s="116">
        <v>1.5885180798439258E-2</v>
      </c>
      <c r="O9" s="116">
        <v>0.17314345482339699</v>
      </c>
    </row>
    <row r="10" spans="1:16" x14ac:dyDescent="0.25">
      <c r="A10" s="1" t="s">
        <v>72</v>
      </c>
      <c r="B10" s="114" t="s">
        <v>73</v>
      </c>
      <c r="C10" s="115">
        <v>13453</v>
      </c>
      <c r="D10" s="116">
        <v>1.5320754716981133E-2</v>
      </c>
      <c r="E10" s="115">
        <v>14342</v>
      </c>
      <c r="F10" s="116">
        <f t="shared" si="0"/>
        <v>6.6081914814539511E-2</v>
      </c>
      <c r="G10" s="115">
        <v>3097</v>
      </c>
      <c r="H10" s="116">
        <f t="shared" si="0"/>
        <v>-0.78406080044624182</v>
      </c>
      <c r="I10" s="115">
        <v>11383</v>
      </c>
      <c r="J10" s="116">
        <f t="shared" si="0"/>
        <v>2.6754924120116241</v>
      </c>
      <c r="K10" s="115">
        <v>14251</v>
      </c>
      <c r="L10" s="116">
        <f t="shared" si="0"/>
        <v>0.25195466924360899</v>
      </c>
      <c r="M10" s="115">
        <v>15138</v>
      </c>
      <c r="N10" s="116">
        <v>6.2241246228334823E-2</v>
      </c>
      <c r="O10" s="116">
        <v>0.12525087341113506</v>
      </c>
    </row>
    <row r="11" spans="1:16" x14ac:dyDescent="0.25">
      <c r="A11" s="1" t="s">
        <v>74</v>
      </c>
      <c r="B11" s="114" t="s">
        <v>75</v>
      </c>
      <c r="C11" s="115">
        <v>13930</v>
      </c>
      <c r="D11" s="116">
        <v>-6.3025492701957342E-2</v>
      </c>
      <c r="E11" s="115">
        <v>5714</v>
      </c>
      <c r="F11" s="116">
        <f t="shared" si="0"/>
        <v>-0.58980617372577171</v>
      </c>
      <c r="G11" s="115">
        <v>4959</v>
      </c>
      <c r="H11" s="116">
        <f t="shared" si="0"/>
        <v>-0.13213160658032896</v>
      </c>
      <c r="I11" s="115">
        <v>12710</v>
      </c>
      <c r="J11" s="116">
        <f t="shared" si="0"/>
        <v>1.5630167372454125</v>
      </c>
      <c r="K11" s="115">
        <v>15603</v>
      </c>
      <c r="L11" s="116">
        <f t="shared" si="0"/>
        <v>0.22761605035405186</v>
      </c>
      <c r="M11" s="115">
        <v>15292</v>
      </c>
      <c r="N11" s="116">
        <v>-1.9932064346599998E-2</v>
      </c>
      <c r="O11" s="116">
        <v>9.7774587221823417E-2</v>
      </c>
    </row>
    <row r="12" spans="1:16" x14ac:dyDescent="0.25">
      <c r="A12" s="1" t="s">
        <v>76</v>
      </c>
      <c r="B12" s="114" t="s">
        <v>77</v>
      </c>
      <c r="C12" s="115">
        <v>12265</v>
      </c>
      <c r="D12" s="116">
        <v>6.0160774483533519E-2</v>
      </c>
      <c r="E12" s="115">
        <v>0</v>
      </c>
      <c r="F12" s="116">
        <f t="shared" si="0"/>
        <v>-1</v>
      </c>
      <c r="G12" s="115">
        <v>4088</v>
      </c>
      <c r="H12" s="116" t="str">
        <f t="shared" si="0"/>
        <v>-</v>
      </c>
      <c r="I12" s="115">
        <v>12193</v>
      </c>
      <c r="J12" s="116">
        <f t="shared" si="0"/>
        <v>1.9826320939334638</v>
      </c>
      <c r="K12" s="115">
        <v>12703</v>
      </c>
      <c r="L12" s="116">
        <f t="shared" si="0"/>
        <v>4.1827277946362651E-2</v>
      </c>
      <c r="M12" s="115">
        <v>13439</v>
      </c>
      <c r="N12" s="116">
        <v>5.793906951113903E-2</v>
      </c>
      <c r="O12" s="116">
        <v>9.5719527109661584E-2</v>
      </c>
    </row>
    <row r="13" spans="1:16" x14ac:dyDescent="0.25">
      <c r="A13" s="1" t="s">
        <v>78</v>
      </c>
      <c r="B13" s="114" t="s">
        <v>79</v>
      </c>
      <c r="C13" s="115">
        <v>11342</v>
      </c>
      <c r="D13" s="116">
        <v>0.10127196815224782</v>
      </c>
      <c r="E13" s="115">
        <v>0</v>
      </c>
      <c r="F13" s="116">
        <f t="shared" si="0"/>
        <v>-1</v>
      </c>
      <c r="G13" s="115">
        <v>5644</v>
      </c>
      <c r="H13" s="116" t="str">
        <f t="shared" si="0"/>
        <v>-</v>
      </c>
      <c r="I13" s="115">
        <v>10085</v>
      </c>
      <c r="J13" s="116">
        <f t="shared" si="0"/>
        <v>0.78685329553508154</v>
      </c>
      <c r="K13" s="115">
        <v>12793</v>
      </c>
      <c r="L13" s="116">
        <f t="shared" si="0"/>
        <v>0.26851760039662875</v>
      </c>
      <c r="M13" s="115">
        <v>12513</v>
      </c>
      <c r="N13" s="116">
        <v>-2.1886969436410553E-2</v>
      </c>
      <c r="O13" s="116">
        <v>0.10324457767589501</v>
      </c>
    </row>
    <row r="14" spans="1:16" x14ac:dyDescent="0.25">
      <c r="A14" s="1" t="s">
        <v>80</v>
      </c>
      <c r="B14" s="114" t="s">
        <v>81</v>
      </c>
      <c r="C14" s="115">
        <v>8525</v>
      </c>
      <c r="D14" s="116">
        <v>-6.1536767943637161E-2</v>
      </c>
      <c r="E14" s="115">
        <v>0</v>
      </c>
      <c r="F14" s="116">
        <f t="shared" si="0"/>
        <v>-1</v>
      </c>
      <c r="G14" s="115">
        <v>5487</v>
      </c>
      <c r="H14" s="116" t="str">
        <f t="shared" si="0"/>
        <v>-</v>
      </c>
      <c r="I14" s="115">
        <v>11277</v>
      </c>
      <c r="J14" s="116">
        <f t="shared" si="0"/>
        <v>1.0552214324767633</v>
      </c>
      <c r="K14" s="115">
        <v>10373</v>
      </c>
      <c r="L14" s="116">
        <f t="shared" si="0"/>
        <v>-8.0163163962046591E-2</v>
      </c>
      <c r="M14" s="115">
        <v>10115</v>
      </c>
      <c r="N14" s="116">
        <v>-2.4872264532922017E-2</v>
      </c>
      <c r="O14" s="116">
        <v>0.18651026392961878</v>
      </c>
    </row>
    <row r="15" spans="1:16" x14ac:dyDescent="0.25">
      <c r="A15" s="1" t="s">
        <v>82</v>
      </c>
      <c r="B15" s="114" t="s">
        <v>83</v>
      </c>
      <c r="C15" s="115">
        <v>9185</v>
      </c>
      <c r="D15" s="116">
        <v>1.3014227418109536E-2</v>
      </c>
      <c r="E15" s="115">
        <v>0</v>
      </c>
      <c r="F15" s="116">
        <f t="shared" si="0"/>
        <v>-1</v>
      </c>
      <c r="G15" s="115">
        <v>5672</v>
      </c>
      <c r="H15" s="116" t="str">
        <f t="shared" si="0"/>
        <v>-</v>
      </c>
      <c r="I15" s="115">
        <v>10710</v>
      </c>
      <c r="J15" s="116">
        <f t="shared" si="0"/>
        <v>0.8882228490832158</v>
      </c>
      <c r="K15" s="115">
        <v>9594</v>
      </c>
      <c r="L15" s="116">
        <f t="shared" si="0"/>
        <v>-0.10420168067226887</v>
      </c>
      <c r="M15" s="115">
        <v>10140</v>
      </c>
      <c r="N15" s="116">
        <v>5.6910569105691033E-2</v>
      </c>
      <c r="O15" s="116">
        <v>0.10397387044093631</v>
      </c>
    </row>
    <row r="16" spans="1:16" x14ac:dyDescent="0.25">
      <c r="A16" s="1" t="s">
        <v>84</v>
      </c>
      <c r="B16" s="114" t="s">
        <v>85</v>
      </c>
      <c r="C16" s="115">
        <v>9176</v>
      </c>
      <c r="D16" s="116">
        <v>-4.4483020505587945E-3</v>
      </c>
      <c r="E16" s="115">
        <v>6941</v>
      </c>
      <c r="F16" s="116">
        <f t="shared" si="0"/>
        <v>-0.24357018308631206</v>
      </c>
      <c r="G16" s="115">
        <v>8587</v>
      </c>
      <c r="H16" s="116">
        <f t="shared" si="0"/>
        <v>0.23714162224463342</v>
      </c>
      <c r="I16" s="115">
        <v>10270</v>
      </c>
      <c r="J16" s="116">
        <f t="shared" si="0"/>
        <v>0.19599394433445916</v>
      </c>
      <c r="K16" s="115">
        <v>11871</v>
      </c>
      <c r="L16" s="116">
        <f t="shared" si="0"/>
        <v>0.15589094449853946</v>
      </c>
      <c r="M16" s="115">
        <v>9259</v>
      </c>
      <c r="N16" s="116">
        <v>-0.22003201078257939</v>
      </c>
      <c r="O16" s="116">
        <v>9.045335658238951E-3</v>
      </c>
    </row>
    <row r="17" spans="1:16" x14ac:dyDescent="0.25">
      <c r="A17" s="1" t="s">
        <v>86</v>
      </c>
      <c r="B17" s="114" t="s">
        <v>87</v>
      </c>
      <c r="C17" s="115">
        <v>8003</v>
      </c>
      <c r="D17" s="116">
        <v>-0.2460668864813943</v>
      </c>
      <c r="E17" s="115">
        <v>3767</v>
      </c>
      <c r="F17" s="116">
        <f t="shared" si="0"/>
        <v>-0.5293015119330251</v>
      </c>
      <c r="G17" s="115">
        <v>9600</v>
      </c>
      <c r="H17" s="116">
        <f t="shared" si="0"/>
        <v>1.5484470400849482</v>
      </c>
      <c r="I17" s="115">
        <v>10967</v>
      </c>
      <c r="J17" s="116">
        <f t="shared" si="0"/>
        <v>0.14239583333333328</v>
      </c>
      <c r="K17" s="115">
        <v>10606</v>
      </c>
      <c r="L17" s="116">
        <f t="shared" si="0"/>
        <v>-3.2916932616029904E-2</v>
      </c>
      <c r="M17" s="115">
        <v>11345</v>
      </c>
      <c r="N17" s="116">
        <v>6.9677541014520061E-2</v>
      </c>
      <c r="O17" s="116">
        <v>0.41759340247407217</v>
      </c>
    </row>
    <row r="18" spans="1:16" x14ac:dyDescent="0.25">
      <c r="A18" s="1" t="s">
        <v>88</v>
      </c>
      <c r="B18" s="114" t="s">
        <v>89</v>
      </c>
      <c r="C18" s="115">
        <v>10636</v>
      </c>
      <c r="D18" s="116">
        <v>4.0592844331162059E-3</v>
      </c>
      <c r="E18" s="115">
        <v>3603</v>
      </c>
      <c r="F18" s="116">
        <f t="shared" si="0"/>
        <v>-0.66124482888303882</v>
      </c>
      <c r="G18" s="115">
        <v>10119</v>
      </c>
      <c r="H18" s="116">
        <f t="shared" si="0"/>
        <v>1.8084929225645294</v>
      </c>
      <c r="I18" s="115">
        <v>11595</v>
      </c>
      <c r="J18" s="116">
        <f t="shared" si="0"/>
        <v>0.14586421583160392</v>
      </c>
      <c r="K18" s="115">
        <v>11107</v>
      </c>
      <c r="L18" s="116">
        <f t="shared" si="0"/>
        <v>-4.208710651142733E-2</v>
      </c>
      <c r="M18" s="115"/>
      <c r="N18" s="116" t="s">
        <v>229</v>
      </c>
      <c r="O18" s="116" t="s">
        <v>229</v>
      </c>
    </row>
    <row r="19" spans="1:16" x14ac:dyDescent="0.25">
      <c r="A19" s="1" t="s">
        <v>90</v>
      </c>
      <c r="B19" s="114" t="s">
        <v>91</v>
      </c>
      <c r="C19" s="115">
        <v>14162</v>
      </c>
      <c r="D19" s="116">
        <v>1.5488312060806031E-2</v>
      </c>
      <c r="E19" s="115">
        <v>3555</v>
      </c>
      <c r="F19" s="116">
        <f t="shared" si="0"/>
        <v>-0.74897613331450352</v>
      </c>
      <c r="G19" s="115">
        <v>12186</v>
      </c>
      <c r="H19" s="116">
        <f t="shared" si="0"/>
        <v>2.4278481012658228</v>
      </c>
      <c r="I19" s="115">
        <v>13053</v>
      </c>
      <c r="J19" s="116">
        <f t="shared" si="0"/>
        <v>7.1147218119153033E-2</v>
      </c>
      <c r="K19" s="115">
        <v>13216</v>
      </c>
      <c r="L19" s="116">
        <f t="shared" si="0"/>
        <v>1.2487550754615828E-2</v>
      </c>
      <c r="M19" s="115"/>
      <c r="N19" s="116" t="s">
        <v>229</v>
      </c>
      <c r="O19" s="116" t="s">
        <v>229</v>
      </c>
    </row>
    <row r="20" spans="1:16" x14ac:dyDescent="0.25">
      <c r="A20" s="1" t="s">
        <v>92</v>
      </c>
      <c r="B20" s="114" t="s">
        <v>93</v>
      </c>
      <c r="C20" s="115">
        <v>13020</v>
      </c>
      <c r="D20" s="116">
        <v>7.5839653304441423E-3</v>
      </c>
      <c r="E20" s="115">
        <v>4049</v>
      </c>
      <c r="F20" s="116">
        <f t="shared" si="0"/>
        <v>-0.68901689708141323</v>
      </c>
      <c r="G20" s="115">
        <v>11200</v>
      </c>
      <c r="H20" s="116">
        <f t="shared" si="0"/>
        <v>1.766115090145715</v>
      </c>
      <c r="I20" s="115">
        <v>12114</v>
      </c>
      <c r="J20" s="116">
        <f t="shared" si="0"/>
        <v>8.1607142857142767E-2</v>
      </c>
      <c r="K20" s="115">
        <v>11864</v>
      </c>
      <c r="L20" s="116">
        <f t="shared" si="0"/>
        <v>-2.06372791811128E-2</v>
      </c>
      <c r="M20" s="115"/>
      <c r="N20" s="116" t="s">
        <v>229</v>
      </c>
      <c r="O20" s="116" t="s">
        <v>229</v>
      </c>
    </row>
    <row r="21" spans="1:16" ht="15.75" x14ac:dyDescent="0.25">
      <c r="A21" s="1"/>
      <c r="B21" s="117" t="s">
        <v>30</v>
      </c>
      <c r="C21" s="118">
        <v>136126</v>
      </c>
      <c r="D21" s="119">
        <v>-2.0570565168903099E-2</v>
      </c>
      <c r="E21" s="118">
        <v>59047</v>
      </c>
      <c r="F21" s="119">
        <f t="shared" si="0"/>
        <v>-0.56623275494762204</v>
      </c>
      <c r="G21" s="118">
        <v>83402</v>
      </c>
      <c r="H21" s="119">
        <f t="shared" si="0"/>
        <v>0.41246803393906539</v>
      </c>
      <c r="I21" s="118">
        <v>137757</v>
      </c>
      <c r="J21" s="119">
        <f t="shared" si="0"/>
        <v>0.65172298026426234</v>
      </c>
      <c r="K21" s="118">
        <v>148334</v>
      </c>
      <c r="L21" s="119">
        <f t="shared" si="0"/>
        <v>7.6780127325653202E-2</v>
      </c>
      <c r="M21" s="118">
        <v>111822</v>
      </c>
      <c r="N21" s="119">
        <v>-2.8979821127627092E-3</v>
      </c>
      <c r="O21" s="119">
        <v>0.13746592342433983</v>
      </c>
    </row>
    <row r="22" spans="1:16" ht="6" customHeight="1" x14ac:dyDescent="0.25"/>
    <row r="23" spans="1:16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  <c r="O23" s="105"/>
    </row>
    <row r="24" spans="1:16" x14ac:dyDescent="0.25">
      <c r="K24" s="120"/>
      <c r="N24" s="79"/>
    </row>
    <row r="26" spans="1:16" ht="48.75" customHeight="1" thickBot="1" x14ac:dyDescent="0.3">
      <c r="B26" s="270" t="s">
        <v>288</v>
      </c>
      <c r="C26" s="270"/>
      <c r="D26" s="270"/>
      <c r="E26" s="270"/>
      <c r="F26" s="270"/>
      <c r="G26" s="270"/>
      <c r="H26" s="270"/>
      <c r="I26" s="270"/>
      <c r="J26" s="270"/>
      <c r="K26" s="270"/>
      <c r="L26" s="270"/>
      <c r="M26" s="270"/>
      <c r="N26" s="270"/>
      <c r="O26" s="270"/>
      <c r="P26" s="1" t="s">
        <v>94</v>
      </c>
    </row>
    <row r="27" spans="1:16" ht="10.5" customHeight="1" thickBot="1" x14ac:dyDescent="0.3">
      <c r="B27" s="106"/>
      <c r="C27" s="107"/>
      <c r="D27" s="106"/>
      <c r="E27" s="106"/>
      <c r="F27" s="106"/>
      <c r="G27" s="106"/>
      <c r="H27" s="106"/>
      <c r="I27" s="106"/>
      <c r="J27" s="106"/>
      <c r="K27" s="106"/>
      <c r="L27" s="106"/>
      <c r="M27" s="4"/>
      <c r="N27" s="4"/>
      <c r="P27" s="1" t="s">
        <v>95</v>
      </c>
    </row>
    <row r="28" spans="1:16" ht="22.5" thickTop="1" thickBot="1" x14ac:dyDescent="0.3">
      <c r="B28" s="121" t="s">
        <v>96</v>
      </c>
      <c r="C28" s="292" t="s">
        <v>137</v>
      </c>
      <c r="D28" s="293"/>
      <c r="E28" s="293"/>
      <c r="F28" s="293"/>
      <c r="G28" s="293"/>
      <c r="H28" s="293"/>
      <c r="I28" s="293"/>
      <c r="J28" s="293"/>
      <c r="K28" s="293"/>
      <c r="L28" s="293"/>
      <c r="M28" s="293"/>
      <c r="N28" s="293"/>
      <c r="O28" s="294"/>
    </row>
    <row r="29" spans="1:16" ht="22.5" thickTop="1" thickBot="1" x14ac:dyDescent="0.3">
      <c r="B29" s="109"/>
      <c r="C29" s="295">
        <v>2019</v>
      </c>
      <c r="D29" s="296"/>
      <c r="E29" s="297" t="s">
        <v>285</v>
      </c>
      <c r="F29" s="296"/>
      <c r="G29" s="297" t="s">
        <v>286</v>
      </c>
      <c r="H29" s="296"/>
      <c r="I29" s="297" t="s">
        <v>287</v>
      </c>
      <c r="J29" s="296"/>
      <c r="K29" s="297">
        <v>2023</v>
      </c>
      <c r="L29" s="296"/>
      <c r="M29" s="297">
        <v>2024</v>
      </c>
      <c r="N29" s="298"/>
      <c r="O29" s="299"/>
    </row>
    <row r="30" spans="1:16" ht="16.5" thickTop="1" thickBot="1" x14ac:dyDescent="0.3">
      <c r="B30" s="85"/>
      <c r="C30" s="111" t="s">
        <v>69</v>
      </c>
      <c r="D30" s="112" t="str">
        <f>CONCATENATE("var ",RIGHT(C29,2),"/",RIGHT(C29-1,2))</f>
        <v>var 19/18</v>
      </c>
      <c r="E30" s="113" t="s">
        <v>69</v>
      </c>
      <c r="F30" s="112" t="str">
        <f>CONCATENATE("var ",RIGHT(E29,2),"/",RIGHT(C29,2))</f>
        <v>var 20/19</v>
      </c>
      <c r="G30" s="113" t="s">
        <v>69</v>
      </c>
      <c r="H30" s="112" t="str">
        <f>CONCATENATE("var ",RIGHT(G29,2),"/",RIGHT(E29,2))</f>
        <v>var 21/20</v>
      </c>
      <c r="I30" s="113" t="s">
        <v>69</v>
      </c>
      <c r="J30" s="112" t="str">
        <f>CONCATENATE("var ",RIGHT(I29,2),"/",RIGHT(G29,2))</f>
        <v>var 22/21</v>
      </c>
      <c r="K30" s="113" t="s">
        <v>69</v>
      </c>
      <c r="L30" s="112" t="str">
        <f>CONCATENATE("var ",RIGHT(K29,2),"/",RIGHT(I29,2))</f>
        <v>var 23/22</v>
      </c>
      <c r="M30" s="113" t="s">
        <v>69</v>
      </c>
      <c r="N30" s="112" t="s">
        <v>273</v>
      </c>
      <c r="O30" s="112" t="s">
        <v>274</v>
      </c>
    </row>
    <row r="31" spans="1:16" x14ac:dyDescent="0.25">
      <c r="B31" s="114" t="s">
        <v>71</v>
      </c>
      <c r="C31" s="115">
        <v>12429</v>
      </c>
      <c r="D31" s="116">
        <v>-8.3136618471525536E-2</v>
      </c>
      <c r="E31" s="115">
        <v>13603</v>
      </c>
      <c r="F31" s="116">
        <f t="shared" ref="F31:J43" si="1">IFERROR(E31/C31-1,"-")</f>
        <v>9.4456512993804864E-2</v>
      </c>
      <c r="G31" s="115">
        <v>2763</v>
      </c>
      <c r="H31" s="116">
        <f t="shared" si="1"/>
        <v>-0.79688304050577075</v>
      </c>
      <c r="I31" s="115">
        <v>11400</v>
      </c>
      <c r="J31" s="116">
        <f t="shared" si="1"/>
        <v>3.1259500542888166</v>
      </c>
      <c r="K31" s="115">
        <v>14353</v>
      </c>
      <c r="L31" s="116">
        <f t="shared" ref="L31:L43" si="2">IFERROR(K31/I31-1,"-")</f>
        <v>0.25903508771929817</v>
      </c>
      <c r="M31" s="115">
        <v>14581</v>
      </c>
      <c r="N31" s="116">
        <v>1.5885180798439258E-2</v>
      </c>
      <c r="O31" s="116">
        <v>0.17314345482339699</v>
      </c>
    </row>
    <row r="32" spans="1:16" x14ac:dyDescent="0.25">
      <c r="B32" s="114" t="s">
        <v>73</v>
      </c>
      <c r="C32" s="115">
        <v>13453</v>
      </c>
      <c r="D32" s="116">
        <v>1.5320754716981133E-2</v>
      </c>
      <c r="E32" s="115">
        <v>14342</v>
      </c>
      <c r="F32" s="116">
        <f t="shared" si="1"/>
        <v>6.6081914814539511E-2</v>
      </c>
      <c r="G32" s="115">
        <v>3097</v>
      </c>
      <c r="H32" s="116">
        <f t="shared" si="1"/>
        <v>-0.78406080044624182</v>
      </c>
      <c r="I32" s="115">
        <v>11383</v>
      </c>
      <c r="J32" s="116">
        <f t="shared" si="1"/>
        <v>2.6754924120116241</v>
      </c>
      <c r="K32" s="115">
        <v>14251</v>
      </c>
      <c r="L32" s="116">
        <f t="shared" si="2"/>
        <v>0.25195466924360899</v>
      </c>
      <c r="M32" s="115">
        <v>15138</v>
      </c>
      <c r="N32" s="116">
        <v>6.2241246228334823E-2</v>
      </c>
      <c r="O32" s="116">
        <v>0.12525087341113506</v>
      </c>
    </row>
    <row r="33" spans="2:16" x14ac:dyDescent="0.25">
      <c r="B33" s="114" t="s">
        <v>75</v>
      </c>
      <c r="C33" s="115">
        <v>13930</v>
      </c>
      <c r="D33" s="116">
        <v>-6.3025492701957342E-2</v>
      </c>
      <c r="E33" s="115">
        <v>5714</v>
      </c>
      <c r="F33" s="116">
        <f t="shared" si="1"/>
        <v>-0.58980617372577171</v>
      </c>
      <c r="G33" s="115">
        <v>4959</v>
      </c>
      <c r="H33" s="116">
        <f t="shared" si="1"/>
        <v>-0.13213160658032896</v>
      </c>
      <c r="I33" s="115">
        <v>12710</v>
      </c>
      <c r="J33" s="116">
        <f t="shared" si="1"/>
        <v>1.5630167372454125</v>
      </c>
      <c r="K33" s="115">
        <v>15603</v>
      </c>
      <c r="L33" s="116">
        <f t="shared" si="2"/>
        <v>0.22761605035405186</v>
      </c>
      <c r="M33" s="115">
        <v>15292</v>
      </c>
      <c r="N33" s="116">
        <v>-1.9932064346599998E-2</v>
      </c>
      <c r="O33" s="116">
        <v>9.7774587221823417E-2</v>
      </c>
    </row>
    <row r="34" spans="2:16" x14ac:dyDescent="0.25">
      <c r="B34" s="114" t="s">
        <v>77</v>
      </c>
      <c r="C34" s="115">
        <v>12265</v>
      </c>
      <c r="D34" s="116">
        <v>6.0160774483533519E-2</v>
      </c>
      <c r="E34" s="115">
        <v>0</v>
      </c>
      <c r="F34" s="116">
        <f t="shared" si="1"/>
        <v>-1</v>
      </c>
      <c r="G34" s="115">
        <v>4088</v>
      </c>
      <c r="H34" s="116" t="str">
        <f t="shared" si="1"/>
        <v>-</v>
      </c>
      <c r="I34" s="115">
        <v>12193</v>
      </c>
      <c r="J34" s="116">
        <f t="shared" si="1"/>
        <v>1.9826320939334638</v>
      </c>
      <c r="K34" s="115">
        <v>12703</v>
      </c>
      <c r="L34" s="116">
        <f t="shared" si="2"/>
        <v>4.1827277946362651E-2</v>
      </c>
      <c r="M34" s="115">
        <v>13439</v>
      </c>
      <c r="N34" s="116">
        <v>5.793906951113903E-2</v>
      </c>
      <c r="O34" s="116">
        <v>9.5719527109661584E-2</v>
      </c>
    </row>
    <row r="35" spans="2:16" x14ac:dyDescent="0.25">
      <c r="B35" s="114" t="s">
        <v>79</v>
      </c>
      <c r="C35" s="115">
        <v>11342</v>
      </c>
      <c r="D35" s="116">
        <v>0.10127196815224782</v>
      </c>
      <c r="E35" s="115">
        <v>0</v>
      </c>
      <c r="F35" s="116">
        <f t="shared" si="1"/>
        <v>-1</v>
      </c>
      <c r="G35" s="115">
        <v>5644</v>
      </c>
      <c r="H35" s="116" t="str">
        <f t="shared" si="1"/>
        <v>-</v>
      </c>
      <c r="I35" s="115">
        <v>10085</v>
      </c>
      <c r="J35" s="116">
        <f t="shared" si="1"/>
        <v>0.78685329553508154</v>
      </c>
      <c r="K35" s="115">
        <v>12793</v>
      </c>
      <c r="L35" s="116">
        <f t="shared" si="2"/>
        <v>0.26851760039662875</v>
      </c>
      <c r="M35" s="115">
        <v>12513</v>
      </c>
      <c r="N35" s="116">
        <v>-2.1886969436410553E-2</v>
      </c>
      <c r="O35" s="116">
        <v>0.10324457767589501</v>
      </c>
    </row>
    <row r="36" spans="2:16" x14ac:dyDescent="0.25">
      <c r="B36" s="114" t="s">
        <v>81</v>
      </c>
      <c r="C36" s="115">
        <v>8525</v>
      </c>
      <c r="D36" s="116">
        <v>-6.1536767943637161E-2</v>
      </c>
      <c r="E36" s="115">
        <v>0</v>
      </c>
      <c r="F36" s="116">
        <f t="shared" si="1"/>
        <v>-1</v>
      </c>
      <c r="G36" s="115">
        <v>5487</v>
      </c>
      <c r="H36" s="116" t="str">
        <f t="shared" si="1"/>
        <v>-</v>
      </c>
      <c r="I36" s="115">
        <v>11277</v>
      </c>
      <c r="J36" s="116">
        <f t="shared" si="1"/>
        <v>1.0552214324767633</v>
      </c>
      <c r="K36" s="115">
        <v>10373</v>
      </c>
      <c r="L36" s="116">
        <f t="shared" si="2"/>
        <v>-8.0163163962046591E-2</v>
      </c>
      <c r="M36" s="115">
        <v>10115</v>
      </c>
      <c r="N36" s="116">
        <v>-2.4872264532922017E-2</v>
      </c>
      <c r="O36" s="116">
        <v>0.18651026392961878</v>
      </c>
    </row>
    <row r="37" spans="2:16" x14ac:dyDescent="0.25">
      <c r="B37" s="114" t="s">
        <v>83</v>
      </c>
      <c r="C37" s="115">
        <v>9185</v>
      </c>
      <c r="D37" s="116">
        <v>1.3014227418109536E-2</v>
      </c>
      <c r="E37" s="115">
        <v>0</v>
      </c>
      <c r="F37" s="116">
        <f t="shared" si="1"/>
        <v>-1</v>
      </c>
      <c r="G37" s="115">
        <v>5672</v>
      </c>
      <c r="H37" s="116" t="str">
        <f t="shared" si="1"/>
        <v>-</v>
      </c>
      <c r="I37" s="115">
        <v>10710</v>
      </c>
      <c r="J37" s="116">
        <f t="shared" si="1"/>
        <v>0.8882228490832158</v>
      </c>
      <c r="K37" s="115">
        <v>9594</v>
      </c>
      <c r="L37" s="116">
        <f t="shared" si="2"/>
        <v>-0.10420168067226887</v>
      </c>
      <c r="M37" s="115">
        <v>10140</v>
      </c>
      <c r="N37" s="116">
        <v>5.6910569105691033E-2</v>
      </c>
      <c r="O37" s="116">
        <v>0.10397387044093631</v>
      </c>
    </row>
    <row r="38" spans="2:16" x14ac:dyDescent="0.25">
      <c r="B38" s="114" t="s">
        <v>85</v>
      </c>
      <c r="C38" s="115">
        <v>9176</v>
      </c>
      <c r="D38" s="116">
        <v>-4.4483020505587945E-3</v>
      </c>
      <c r="E38" s="115">
        <v>6941</v>
      </c>
      <c r="F38" s="116">
        <f t="shared" si="1"/>
        <v>-0.24357018308631206</v>
      </c>
      <c r="G38" s="115">
        <v>8587</v>
      </c>
      <c r="H38" s="116">
        <f t="shared" si="1"/>
        <v>0.23714162224463342</v>
      </c>
      <c r="I38" s="115">
        <v>10270</v>
      </c>
      <c r="J38" s="116">
        <f t="shared" si="1"/>
        <v>0.19599394433445916</v>
      </c>
      <c r="K38" s="115">
        <v>11871</v>
      </c>
      <c r="L38" s="116">
        <f t="shared" si="2"/>
        <v>0.15589094449853946</v>
      </c>
      <c r="M38" s="115">
        <v>9259</v>
      </c>
      <c r="N38" s="116">
        <v>-0.22003201078257939</v>
      </c>
      <c r="O38" s="116">
        <v>9.045335658238951E-3</v>
      </c>
    </row>
    <row r="39" spans="2:16" x14ac:dyDescent="0.25">
      <c r="B39" s="114" t="s">
        <v>87</v>
      </c>
      <c r="C39" s="115">
        <v>8003</v>
      </c>
      <c r="D39" s="116">
        <v>-0.2460668864813943</v>
      </c>
      <c r="E39" s="115">
        <v>3767</v>
      </c>
      <c r="F39" s="116">
        <f t="shared" si="1"/>
        <v>-0.5293015119330251</v>
      </c>
      <c r="G39" s="115">
        <v>9600</v>
      </c>
      <c r="H39" s="116">
        <f t="shared" si="1"/>
        <v>1.5484470400849482</v>
      </c>
      <c r="I39" s="115">
        <v>10967</v>
      </c>
      <c r="J39" s="116">
        <f t="shared" si="1"/>
        <v>0.14239583333333328</v>
      </c>
      <c r="K39" s="115">
        <v>10606</v>
      </c>
      <c r="L39" s="116">
        <f t="shared" si="2"/>
        <v>-3.2916932616029904E-2</v>
      </c>
      <c r="M39" s="115">
        <v>11345</v>
      </c>
      <c r="N39" s="116">
        <v>6.9677541014520061E-2</v>
      </c>
      <c r="O39" s="116">
        <v>0.41759340247407217</v>
      </c>
    </row>
    <row r="40" spans="2:16" x14ac:dyDescent="0.25">
      <c r="B40" s="114" t="s">
        <v>89</v>
      </c>
      <c r="C40" s="115">
        <v>10636</v>
      </c>
      <c r="D40" s="116">
        <v>4.0592844331162059E-3</v>
      </c>
      <c r="E40" s="115">
        <v>3603</v>
      </c>
      <c r="F40" s="116">
        <f t="shared" si="1"/>
        <v>-0.66124482888303882</v>
      </c>
      <c r="G40" s="115">
        <v>10119</v>
      </c>
      <c r="H40" s="116">
        <f t="shared" si="1"/>
        <v>1.8084929225645294</v>
      </c>
      <c r="I40" s="115">
        <v>11595</v>
      </c>
      <c r="J40" s="116">
        <f t="shared" si="1"/>
        <v>0.14586421583160392</v>
      </c>
      <c r="K40" s="115">
        <v>11107</v>
      </c>
      <c r="L40" s="116">
        <f t="shared" si="2"/>
        <v>-4.208710651142733E-2</v>
      </c>
      <c r="M40" s="115"/>
      <c r="N40" s="116" t="s">
        <v>229</v>
      </c>
      <c r="O40" s="116" t="s">
        <v>229</v>
      </c>
    </row>
    <row r="41" spans="2:16" x14ac:dyDescent="0.25">
      <c r="B41" s="114" t="s">
        <v>91</v>
      </c>
      <c r="C41" s="115">
        <v>14162</v>
      </c>
      <c r="D41" s="116">
        <v>1.5488312060806031E-2</v>
      </c>
      <c r="E41" s="115">
        <v>3555</v>
      </c>
      <c r="F41" s="116">
        <f t="shared" si="1"/>
        <v>-0.74897613331450352</v>
      </c>
      <c r="G41" s="115">
        <v>12186</v>
      </c>
      <c r="H41" s="116">
        <f t="shared" si="1"/>
        <v>2.4278481012658228</v>
      </c>
      <c r="I41" s="115">
        <v>13053</v>
      </c>
      <c r="J41" s="116">
        <f t="shared" si="1"/>
        <v>7.1147218119153033E-2</v>
      </c>
      <c r="K41" s="115">
        <v>13216</v>
      </c>
      <c r="L41" s="116">
        <f t="shared" si="2"/>
        <v>1.2487550754615828E-2</v>
      </c>
      <c r="M41" s="115"/>
      <c r="N41" s="116" t="s">
        <v>229</v>
      </c>
      <c r="O41" s="116" t="s">
        <v>229</v>
      </c>
    </row>
    <row r="42" spans="2:16" x14ac:dyDescent="0.25">
      <c r="B42" s="114" t="s">
        <v>93</v>
      </c>
      <c r="C42" s="115">
        <v>13020</v>
      </c>
      <c r="D42" s="116">
        <v>7.5839653304441423E-3</v>
      </c>
      <c r="E42" s="115">
        <v>4049</v>
      </c>
      <c r="F42" s="116">
        <f t="shared" si="1"/>
        <v>-0.68901689708141323</v>
      </c>
      <c r="G42" s="115">
        <v>11200</v>
      </c>
      <c r="H42" s="116">
        <f t="shared" si="1"/>
        <v>1.766115090145715</v>
      </c>
      <c r="I42" s="115">
        <v>12114</v>
      </c>
      <c r="J42" s="116">
        <f t="shared" si="1"/>
        <v>8.1607142857142767E-2</v>
      </c>
      <c r="K42" s="115">
        <v>11864</v>
      </c>
      <c r="L42" s="116">
        <f t="shared" si="2"/>
        <v>-2.06372791811128E-2</v>
      </c>
      <c r="M42" s="115"/>
      <c r="N42" s="116" t="s">
        <v>229</v>
      </c>
      <c r="O42" s="116" t="s">
        <v>229</v>
      </c>
    </row>
    <row r="43" spans="2:16" ht="15.75" x14ac:dyDescent="0.25">
      <c r="B43" s="117" t="s">
        <v>30</v>
      </c>
      <c r="C43" s="118">
        <v>136126</v>
      </c>
      <c r="D43" s="119">
        <v>-2.0570565168903099E-2</v>
      </c>
      <c r="E43" s="118">
        <v>59047</v>
      </c>
      <c r="F43" s="119">
        <f t="shared" si="1"/>
        <v>-0.56623275494762204</v>
      </c>
      <c r="G43" s="118">
        <v>83402</v>
      </c>
      <c r="H43" s="119">
        <f t="shared" si="1"/>
        <v>0.41246803393906539</v>
      </c>
      <c r="I43" s="118">
        <v>137757</v>
      </c>
      <c r="J43" s="119">
        <f t="shared" si="1"/>
        <v>0.65172298026426234</v>
      </c>
      <c r="K43" s="118">
        <v>148334</v>
      </c>
      <c r="L43" s="119">
        <f t="shared" si="2"/>
        <v>7.6780127325653202E-2</v>
      </c>
      <c r="M43" s="118">
        <v>111822</v>
      </c>
      <c r="N43" s="119">
        <v>-2.8979821127627092E-3</v>
      </c>
      <c r="O43" s="119">
        <v>0.13746592342433983</v>
      </c>
    </row>
    <row r="44" spans="2:16" ht="6" customHeight="1" x14ac:dyDescent="0.25"/>
    <row r="45" spans="2:16" x14ac:dyDescent="0.25">
      <c r="B45" s="105" t="s">
        <v>55</v>
      </c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  <c r="O45" s="105"/>
    </row>
    <row r="48" spans="2:16" ht="48.75" customHeight="1" thickBot="1" x14ac:dyDescent="0.3">
      <c r="B48" s="270" t="s">
        <v>289</v>
      </c>
      <c r="C48" s="270"/>
      <c r="D48" s="270"/>
      <c r="E48" s="270"/>
      <c r="F48" s="270"/>
      <c r="G48" s="270"/>
      <c r="H48" s="270"/>
      <c r="I48" s="270"/>
      <c r="J48" s="270"/>
      <c r="K48" s="270"/>
      <c r="L48" s="270"/>
      <c r="M48" s="270"/>
      <c r="N48" s="270"/>
      <c r="O48" s="270"/>
      <c r="P48" s="1" t="s">
        <v>98</v>
      </c>
    </row>
    <row r="49" spans="1:16" ht="10.5" customHeight="1" thickBot="1" x14ac:dyDescent="0.3">
      <c r="B49" s="106"/>
      <c r="C49" s="107"/>
      <c r="D49" s="106"/>
      <c r="E49" s="106"/>
      <c r="F49" s="106"/>
      <c r="G49" s="106"/>
      <c r="H49" s="106"/>
      <c r="I49" s="106"/>
      <c r="J49" s="106"/>
      <c r="K49" s="106"/>
      <c r="L49" s="106"/>
      <c r="M49" s="4"/>
      <c r="N49" s="4"/>
      <c r="P49" s="1" t="s">
        <v>99</v>
      </c>
    </row>
    <row r="50" spans="1:16" ht="22.5" thickTop="1" thickBot="1" x14ac:dyDescent="0.3">
      <c r="B50" s="109"/>
      <c r="C50" s="292" t="s">
        <v>149</v>
      </c>
      <c r="D50" s="293"/>
      <c r="E50" s="293"/>
      <c r="F50" s="293"/>
      <c r="G50" s="293"/>
      <c r="H50" s="293"/>
      <c r="I50" s="293"/>
      <c r="J50" s="293"/>
      <c r="K50" s="293"/>
      <c r="L50" s="293"/>
      <c r="M50" s="293"/>
      <c r="N50" s="293"/>
      <c r="O50" s="294"/>
    </row>
    <row r="51" spans="1:16" ht="22.5" thickTop="1" thickBot="1" x14ac:dyDescent="0.3">
      <c r="B51" s="109"/>
      <c r="C51" s="295">
        <v>2019</v>
      </c>
      <c r="D51" s="296"/>
      <c r="E51" s="297" t="s">
        <v>285</v>
      </c>
      <c r="F51" s="296"/>
      <c r="G51" s="297" t="s">
        <v>286</v>
      </c>
      <c r="H51" s="296"/>
      <c r="I51" s="297" t="s">
        <v>287</v>
      </c>
      <c r="J51" s="296"/>
      <c r="K51" s="297">
        <v>2023</v>
      </c>
      <c r="L51" s="296"/>
      <c r="M51" s="297">
        <v>2024</v>
      </c>
      <c r="N51" s="298"/>
      <c r="O51" s="299"/>
    </row>
    <row r="52" spans="1:16" ht="16.5" thickTop="1" thickBot="1" x14ac:dyDescent="0.3">
      <c r="B52" s="85"/>
      <c r="C52" s="111" t="s">
        <v>69</v>
      </c>
      <c r="D52" s="112" t="str">
        <f>CONCATENATE("var ",RIGHT(C51,2),"/",RIGHT(C51-1,2))</f>
        <v>var 19/18</v>
      </c>
      <c r="E52" s="113" t="s">
        <v>69</v>
      </c>
      <c r="F52" s="112" t="str">
        <f>CONCATENATE("var ",RIGHT(E51,2),"/",RIGHT(C51,2))</f>
        <v>var 20/19</v>
      </c>
      <c r="G52" s="113" t="s">
        <v>69</v>
      </c>
      <c r="H52" s="112" t="str">
        <f>CONCATENATE("var ",RIGHT(G51,2),"/",RIGHT(E51,2))</f>
        <v>var 21/20</v>
      </c>
      <c r="I52" s="113" t="s">
        <v>69</v>
      </c>
      <c r="J52" s="112" t="str">
        <f>CONCATENATE("var ",RIGHT(I51,2),"/",RIGHT(G51,2))</f>
        <v>var 22/21</v>
      </c>
      <c r="K52" s="113" t="s">
        <v>69</v>
      </c>
      <c r="L52" s="112" t="str">
        <f>CONCATENATE("var ",RIGHT(K51,2),"/",RIGHT(I51,2))</f>
        <v>var 23/22</v>
      </c>
      <c r="M52" s="113" t="s">
        <v>69</v>
      </c>
      <c r="N52" s="112" t="s">
        <v>273</v>
      </c>
      <c r="O52" s="112" t="s">
        <v>274</v>
      </c>
    </row>
    <row r="53" spans="1:16" x14ac:dyDescent="0.25">
      <c r="A53" s="1"/>
      <c r="B53" s="114" t="s">
        <v>71</v>
      </c>
      <c r="C53" s="115">
        <v>10394</v>
      </c>
      <c r="D53" s="116">
        <v>-7.2957545486978193E-2</v>
      </c>
      <c r="E53" s="115">
        <v>11286</v>
      </c>
      <c r="F53" s="116">
        <f t="shared" ref="F53:J65" si="3">IFERROR(E53/C53-1,"-")</f>
        <v>8.581874158168179E-2</v>
      </c>
      <c r="G53" s="115">
        <v>0</v>
      </c>
      <c r="H53" s="116">
        <f t="shared" si="3"/>
        <v>-1</v>
      </c>
      <c r="I53" s="115">
        <v>0</v>
      </c>
      <c r="J53" s="116" t="str">
        <f t="shared" si="3"/>
        <v>-</v>
      </c>
      <c r="K53" s="115">
        <v>12972</v>
      </c>
      <c r="L53" s="116" t="str">
        <f t="shared" ref="L53:L65" si="4">IFERROR(K53/I53-1,"-")</f>
        <v>-</v>
      </c>
      <c r="M53" s="115">
        <v>13093</v>
      </c>
      <c r="N53" s="116">
        <v>9.3277829170521631E-3</v>
      </c>
      <c r="O53" s="116">
        <v>0.25966903983067158</v>
      </c>
    </row>
    <row r="54" spans="1:16" x14ac:dyDescent="0.25">
      <c r="A54" s="1">
        <v>2</v>
      </c>
      <c r="B54" s="114" t="s">
        <v>73</v>
      </c>
      <c r="C54" s="115">
        <v>11322</v>
      </c>
      <c r="D54" s="116">
        <v>7.9622389625250367E-2</v>
      </c>
      <c r="E54" s="115">
        <v>11308</v>
      </c>
      <c r="F54" s="116">
        <f t="shared" si="3"/>
        <v>-1.2365306482953198E-3</v>
      </c>
      <c r="G54" s="115">
        <v>0</v>
      </c>
      <c r="H54" s="116">
        <f t="shared" si="3"/>
        <v>-1</v>
      </c>
      <c r="I54" s="115">
        <v>0</v>
      </c>
      <c r="J54" s="116" t="str">
        <f t="shared" si="3"/>
        <v>-</v>
      </c>
      <c r="K54" s="115">
        <v>12909</v>
      </c>
      <c r="L54" s="116" t="str">
        <f t="shared" si="4"/>
        <v>-</v>
      </c>
      <c r="M54" s="115">
        <v>13468</v>
      </c>
      <c r="N54" s="116">
        <v>4.3303121852970694E-2</v>
      </c>
      <c r="O54" s="116">
        <v>0.18954248366013071</v>
      </c>
    </row>
    <row r="55" spans="1:16" x14ac:dyDescent="0.25">
      <c r="A55" s="1">
        <v>3</v>
      </c>
      <c r="B55" s="114" t="s">
        <v>75</v>
      </c>
      <c r="C55" s="115">
        <v>10967</v>
      </c>
      <c r="D55" s="116">
        <v>-0.10888112456325671</v>
      </c>
      <c r="E55" s="115">
        <v>4549</v>
      </c>
      <c r="F55" s="116">
        <f t="shared" si="3"/>
        <v>-0.58521017598249292</v>
      </c>
      <c r="G55" s="115">
        <v>0</v>
      </c>
      <c r="H55" s="116">
        <f t="shared" si="3"/>
        <v>-1</v>
      </c>
      <c r="I55" s="115">
        <v>0</v>
      </c>
      <c r="J55" s="116" t="str">
        <f t="shared" si="3"/>
        <v>-</v>
      </c>
      <c r="K55" s="115">
        <v>14183</v>
      </c>
      <c r="L55" s="116" t="str">
        <f t="shared" si="4"/>
        <v>-</v>
      </c>
      <c r="M55" s="115">
        <v>13753</v>
      </c>
      <c r="N55" s="116">
        <v>-3.0317986321652723E-2</v>
      </c>
      <c r="O55" s="116">
        <v>0.25403483176803143</v>
      </c>
    </row>
    <row r="56" spans="1:16" x14ac:dyDescent="0.25">
      <c r="A56" s="1">
        <v>4</v>
      </c>
      <c r="B56" s="114" t="s">
        <v>77</v>
      </c>
      <c r="C56" s="115">
        <v>9783</v>
      </c>
      <c r="D56" s="116">
        <v>8.3748753738783543E-2</v>
      </c>
      <c r="E56" s="115">
        <v>0</v>
      </c>
      <c r="F56" s="116">
        <f t="shared" si="3"/>
        <v>-1</v>
      </c>
      <c r="G56" s="115">
        <v>0</v>
      </c>
      <c r="H56" s="116" t="str">
        <f t="shared" si="3"/>
        <v>-</v>
      </c>
      <c r="I56" s="115">
        <v>11421</v>
      </c>
      <c r="J56" s="116" t="str">
        <f t="shared" si="3"/>
        <v>-</v>
      </c>
      <c r="K56" s="115">
        <v>11501</v>
      </c>
      <c r="L56" s="116">
        <f t="shared" si="4"/>
        <v>7.0046405743804385E-3</v>
      </c>
      <c r="M56" s="115">
        <v>12269</v>
      </c>
      <c r="N56" s="116">
        <v>6.6776802017215919E-2</v>
      </c>
      <c r="O56" s="116">
        <v>0.25411427987324942</v>
      </c>
    </row>
    <row r="57" spans="1:16" x14ac:dyDescent="0.25">
      <c r="A57" s="1">
        <v>5</v>
      </c>
      <c r="B57" s="114" t="s">
        <v>79</v>
      </c>
      <c r="C57" s="115">
        <v>8991</v>
      </c>
      <c r="D57" s="116">
        <v>0.1076752494764075</v>
      </c>
      <c r="E57" s="115">
        <v>0</v>
      </c>
      <c r="F57" s="116">
        <f t="shared" si="3"/>
        <v>-1</v>
      </c>
      <c r="G57" s="115">
        <v>0</v>
      </c>
      <c r="H57" s="116" t="str">
        <f t="shared" si="3"/>
        <v>-</v>
      </c>
      <c r="I57" s="115">
        <v>9235</v>
      </c>
      <c r="J57" s="116" t="str">
        <f t="shared" si="3"/>
        <v>-</v>
      </c>
      <c r="K57" s="115">
        <v>11901</v>
      </c>
      <c r="L57" s="116">
        <f t="shared" si="4"/>
        <v>0.28868435300487283</v>
      </c>
      <c r="M57" s="115">
        <v>11514</v>
      </c>
      <c r="N57" s="116">
        <v>-3.2518275775144989E-2</v>
      </c>
      <c r="O57" s="116">
        <v>0.28061394728061395</v>
      </c>
    </row>
    <row r="58" spans="1:16" x14ac:dyDescent="0.25">
      <c r="A58" s="1">
        <v>6</v>
      </c>
      <c r="B58" s="114" t="s">
        <v>81</v>
      </c>
      <c r="C58" s="115">
        <v>6216</v>
      </c>
      <c r="D58" s="116">
        <v>-3.4782608695652195E-2</v>
      </c>
      <c r="E58" s="115">
        <v>0</v>
      </c>
      <c r="F58" s="116">
        <f t="shared" si="3"/>
        <v>-1</v>
      </c>
      <c r="G58" s="115">
        <v>0</v>
      </c>
      <c r="H58" s="116" t="str">
        <f t="shared" si="3"/>
        <v>-</v>
      </c>
      <c r="I58" s="115">
        <v>10531</v>
      </c>
      <c r="J58" s="116" t="str">
        <f t="shared" si="3"/>
        <v>-</v>
      </c>
      <c r="K58" s="115">
        <v>9518</v>
      </c>
      <c r="L58" s="116">
        <f t="shared" si="4"/>
        <v>-9.619219447345928E-2</v>
      </c>
      <c r="M58" s="115">
        <v>9062</v>
      </c>
      <c r="N58" s="116">
        <v>-4.7909224627022517E-2</v>
      </c>
      <c r="O58" s="116">
        <v>0.45785070785070792</v>
      </c>
    </row>
    <row r="59" spans="1:16" x14ac:dyDescent="0.25">
      <c r="A59" s="1">
        <v>7</v>
      </c>
      <c r="B59" s="114" t="s">
        <v>83</v>
      </c>
      <c r="C59" s="115">
        <v>7091</v>
      </c>
      <c r="D59" s="116">
        <v>2.5451916124367369E-2</v>
      </c>
      <c r="E59" s="115">
        <v>0</v>
      </c>
      <c r="F59" s="116">
        <f t="shared" si="3"/>
        <v>-1</v>
      </c>
      <c r="G59" s="115">
        <v>0</v>
      </c>
      <c r="H59" s="116" t="str">
        <f t="shared" si="3"/>
        <v>-</v>
      </c>
      <c r="I59" s="115">
        <v>9731</v>
      </c>
      <c r="J59" s="116" t="str">
        <f t="shared" si="3"/>
        <v>-</v>
      </c>
      <c r="K59" s="115">
        <v>0</v>
      </c>
      <c r="L59" s="116">
        <f t="shared" si="4"/>
        <v>-1</v>
      </c>
      <c r="M59" s="115">
        <v>8860</v>
      </c>
      <c r="N59" s="116" t="s">
        <v>229</v>
      </c>
      <c r="O59" s="116">
        <v>0.24947116062614572</v>
      </c>
    </row>
    <row r="60" spans="1:16" x14ac:dyDescent="0.25">
      <c r="A60" s="1">
        <v>8</v>
      </c>
      <c r="B60" s="114" t="s">
        <v>85</v>
      </c>
      <c r="C60" s="115">
        <v>7290</v>
      </c>
      <c r="D60" s="116">
        <v>-5.3738317757009324E-2</v>
      </c>
      <c r="E60" s="115">
        <v>0</v>
      </c>
      <c r="F60" s="116">
        <f t="shared" si="3"/>
        <v>-1</v>
      </c>
      <c r="G60" s="115">
        <v>0</v>
      </c>
      <c r="H60" s="116" t="str">
        <f t="shared" si="3"/>
        <v>-</v>
      </c>
      <c r="I60" s="115">
        <v>9417</v>
      </c>
      <c r="J60" s="116" t="str">
        <f t="shared" si="3"/>
        <v>-</v>
      </c>
      <c r="K60" s="115">
        <v>0</v>
      </c>
      <c r="L60" s="116">
        <f t="shared" si="4"/>
        <v>-1</v>
      </c>
      <c r="M60" s="115">
        <v>8826</v>
      </c>
      <c r="N60" s="116" t="s">
        <v>229</v>
      </c>
      <c r="O60" s="116">
        <v>0.21069958847736636</v>
      </c>
    </row>
    <row r="61" spans="1:16" x14ac:dyDescent="0.25">
      <c r="A61" s="1">
        <v>9</v>
      </c>
      <c r="B61" s="114" t="s">
        <v>87</v>
      </c>
      <c r="C61" s="115">
        <v>5722</v>
      </c>
      <c r="D61" s="116">
        <v>-0.30885372629544627</v>
      </c>
      <c r="E61" s="115">
        <v>0</v>
      </c>
      <c r="F61" s="116">
        <f t="shared" si="3"/>
        <v>-1</v>
      </c>
      <c r="G61" s="115">
        <v>0</v>
      </c>
      <c r="H61" s="116" t="str">
        <f t="shared" si="3"/>
        <v>-</v>
      </c>
      <c r="I61" s="115">
        <v>10046</v>
      </c>
      <c r="J61" s="116" t="str">
        <f t="shared" si="3"/>
        <v>-</v>
      </c>
      <c r="K61" s="115">
        <v>9670</v>
      </c>
      <c r="L61" s="116">
        <f t="shared" si="4"/>
        <v>-3.7427831972924541E-2</v>
      </c>
      <c r="M61" s="115">
        <v>10217</v>
      </c>
      <c r="N61" s="116">
        <v>5.6566701137538811E-2</v>
      </c>
      <c r="O61" s="116">
        <v>0.78556448794127931</v>
      </c>
    </row>
    <row r="62" spans="1:16" x14ac:dyDescent="0.25">
      <c r="A62" s="1">
        <v>10</v>
      </c>
      <c r="B62" s="114" t="s">
        <v>89</v>
      </c>
      <c r="C62" s="115">
        <v>8314</v>
      </c>
      <c r="D62" s="116">
        <v>1.5512397703676628E-2</v>
      </c>
      <c r="E62" s="115">
        <v>0</v>
      </c>
      <c r="F62" s="116">
        <f t="shared" si="3"/>
        <v>-1</v>
      </c>
      <c r="G62" s="115">
        <v>0</v>
      </c>
      <c r="H62" s="116" t="str">
        <f t="shared" si="3"/>
        <v>-</v>
      </c>
      <c r="I62" s="115">
        <v>10278</v>
      </c>
      <c r="J62" s="116" t="str">
        <f t="shared" si="3"/>
        <v>-</v>
      </c>
      <c r="K62" s="115">
        <v>9853</v>
      </c>
      <c r="L62" s="116">
        <f t="shared" si="4"/>
        <v>-4.1350457287410047E-2</v>
      </c>
      <c r="M62" s="115"/>
      <c r="N62" s="116" t="s">
        <v>229</v>
      </c>
      <c r="O62" s="116" t="s">
        <v>229</v>
      </c>
    </row>
    <row r="63" spans="1:16" x14ac:dyDescent="0.25">
      <c r="A63" s="1">
        <v>11</v>
      </c>
      <c r="B63" s="114" t="s">
        <v>91</v>
      </c>
      <c r="C63" s="115">
        <v>11557</v>
      </c>
      <c r="D63" s="116">
        <v>5.9303391384051274E-2</v>
      </c>
      <c r="E63" s="115">
        <v>0</v>
      </c>
      <c r="F63" s="116">
        <f t="shared" si="3"/>
        <v>-1</v>
      </c>
      <c r="G63" s="115">
        <v>0</v>
      </c>
      <c r="H63" s="116" t="str">
        <f t="shared" si="3"/>
        <v>-</v>
      </c>
      <c r="I63" s="115">
        <v>11865</v>
      </c>
      <c r="J63" s="116" t="str">
        <f t="shared" si="3"/>
        <v>-</v>
      </c>
      <c r="K63" s="115">
        <v>11701</v>
      </c>
      <c r="L63" s="116">
        <f t="shared" si="4"/>
        <v>-1.3822166034555439E-2</v>
      </c>
      <c r="M63" s="115"/>
      <c r="N63" s="116" t="s">
        <v>229</v>
      </c>
      <c r="O63" s="116" t="s">
        <v>229</v>
      </c>
    </row>
    <row r="64" spans="1:16" x14ac:dyDescent="0.25">
      <c r="A64" s="1">
        <v>12</v>
      </c>
      <c r="B64" s="114" t="s">
        <v>93</v>
      </c>
      <c r="C64" s="115">
        <v>10208</v>
      </c>
      <c r="D64" s="116">
        <v>2.7271812418234953E-2</v>
      </c>
      <c r="E64" s="115">
        <v>0</v>
      </c>
      <c r="F64" s="116">
        <f t="shared" si="3"/>
        <v>-1</v>
      </c>
      <c r="G64" s="115">
        <v>0</v>
      </c>
      <c r="H64" s="116" t="str">
        <f t="shared" si="3"/>
        <v>-</v>
      </c>
      <c r="I64" s="115">
        <v>10905</v>
      </c>
      <c r="J64" s="116" t="str">
        <f t="shared" si="3"/>
        <v>-</v>
      </c>
      <c r="K64" s="115">
        <v>10315</v>
      </c>
      <c r="L64" s="116">
        <f t="shared" si="4"/>
        <v>-5.410362219165521E-2</v>
      </c>
      <c r="M64" s="115"/>
      <c r="N64" s="116" t="s">
        <v>229</v>
      </c>
      <c r="O64" s="116" t="s">
        <v>229</v>
      </c>
    </row>
    <row r="65" spans="1:16" ht="15.75" x14ac:dyDescent="0.25">
      <c r="B65" s="117" t="s">
        <v>30</v>
      </c>
      <c r="C65" s="118">
        <v>107855</v>
      </c>
      <c r="D65" s="119">
        <v>-1.5220686254816429E-2</v>
      </c>
      <c r="E65" s="118">
        <v>0</v>
      </c>
      <c r="F65" s="119">
        <f t="shared" si="3"/>
        <v>-1</v>
      </c>
      <c r="G65" s="118">
        <v>0</v>
      </c>
      <c r="H65" s="119" t="str">
        <f t="shared" si="3"/>
        <v>-</v>
      </c>
      <c r="I65" s="118">
        <v>127692</v>
      </c>
      <c r="J65" s="119" t="str">
        <f t="shared" si="3"/>
        <v>-</v>
      </c>
      <c r="K65" s="118">
        <v>134451</v>
      </c>
      <c r="L65" s="119">
        <f t="shared" si="4"/>
        <v>5.2932055257964405E-2</v>
      </c>
      <c r="M65" s="118">
        <v>101062</v>
      </c>
      <c r="N65" s="119">
        <v>0.22271154451085251</v>
      </c>
      <c r="O65" s="119">
        <v>0.29939827196050195</v>
      </c>
    </row>
    <row r="66" spans="1:16" ht="6" customHeight="1" x14ac:dyDescent="0.25"/>
    <row r="67" spans="1:16" x14ac:dyDescent="0.25">
      <c r="B67" s="105" t="s">
        <v>55</v>
      </c>
      <c r="C67" s="105"/>
      <c r="D67" s="105"/>
      <c r="E67" s="105"/>
      <c r="F67" s="105"/>
      <c r="G67" s="105"/>
      <c r="H67" s="105"/>
      <c r="I67" s="105"/>
      <c r="J67" s="105"/>
      <c r="K67" s="105"/>
      <c r="L67" s="105"/>
      <c r="M67" s="105"/>
      <c r="N67" s="105"/>
      <c r="O67" s="105"/>
    </row>
    <row r="70" spans="1:16" ht="48.75" customHeight="1" thickBot="1" x14ac:dyDescent="0.3">
      <c r="B70" s="270" t="s">
        <v>290</v>
      </c>
      <c r="C70" s="270"/>
      <c r="D70" s="270"/>
      <c r="E70" s="270"/>
      <c r="F70" s="270"/>
      <c r="G70" s="270"/>
      <c r="H70" s="270"/>
      <c r="I70" s="270"/>
      <c r="J70" s="270"/>
      <c r="K70" s="270"/>
      <c r="L70" s="270"/>
      <c r="M70" s="270"/>
      <c r="N70" s="270"/>
      <c r="O70" s="270"/>
      <c r="P70" s="1" t="s">
        <v>101</v>
      </c>
    </row>
    <row r="71" spans="1:16" ht="10.5" customHeight="1" thickBot="1" x14ac:dyDescent="0.3">
      <c r="B71" s="106"/>
      <c r="C71" s="107"/>
      <c r="D71" s="106"/>
      <c r="E71" s="106"/>
      <c r="F71" s="106"/>
      <c r="G71" s="106"/>
      <c r="H71" s="106"/>
      <c r="I71" s="106"/>
      <c r="J71" s="106"/>
      <c r="K71" s="106"/>
      <c r="L71" s="106"/>
      <c r="M71" s="4"/>
      <c r="N71" s="4"/>
      <c r="P71" s="1" t="s">
        <v>102</v>
      </c>
    </row>
    <row r="72" spans="1:16" ht="22.5" thickTop="1" thickBot="1" x14ac:dyDescent="0.3">
      <c r="B72" s="109"/>
      <c r="C72" s="292" t="s">
        <v>62</v>
      </c>
      <c r="D72" s="293"/>
      <c r="E72" s="293"/>
      <c r="F72" s="293"/>
      <c r="G72" s="293"/>
      <c r="H72" s="293"/>
      <c r="I72" s="293"/>
      <c r="J72" s="293"/>
      <c r="K72" s="293"/>
      <c r="L72" s="293"/>
      <c r="M72" s="293"/>
      <c r="N72" s="293"/>
      <c r="O72" s="294"/>
    </row>
    <row r="73" spans="1:16" ht="22.5" thickTop="1" thickBot="1" x14ac:dyDescent="0.3">
      <c r="B73" s="109"/>
      <c r="C73" s="295">
        <v>2019</v>
      </c>
      <c r="D73" s="296"/>
      <c r="E73" s="297" t="s">
        <v>285</v>
      </c>
      <c r="F73" s="296"/>
      <c r="G73" s="297" t="s">
        <v>286</v>
      </c>
      <c r="H73" s="296"/>
      <c r="I73" s="297" t="s">
        <v>287</v>
      </c>
      <c r="J73" s="296"/>
      <c r="K73" s="297">
        <v>2023</v>
      </c>
      <c r="L73" s="296"/>
      <c r="M73" s="297">
        <v>2024</v>
      </c>
      <c r="N73" s="298"/>
      <c r="O73" s="299"/>
    </row>
    <row r="74" spans="1:16" ht="16.5" thickTop="1" thickBot="1" x14ac:dyDescent="0.3">
      <c r="B74" s="85"/>
      <c r="C74" s="111" t="s">
        <v>69</v>
      </c>
      <c r="D74" s="112" t="str">
        <f>CONCATENATE("var ",RIGHT(C73,2),"/",RIGHT(C73-1,2))</f>
        <v>var 19/18</v>
      </c>
      <c r="E74" s="113" t="s">
        <v>69</v>
      </c>
      <c r="F74" s="112" t="str">
        <f>CONCATENATE("var ",RIGHT(E73,2),"/",RIGHT(C73,2))</f>
        <v>var 20/19</v>
      </c>
      <c r="G74" s="113" t="s">
        <v>69</v>
      </c>
      <c r="H74" s="112" t="str">
        <f>CONCATENATE("var ",RIGHT(G73,2),"/",RIGHT(E73,2))</f>
        <v>var 21/20</v>
      </c>
      <c r="I74" s="113" t="s">
        <v>69</v>
      </c>
      <c r="J74" s="112" t="str">
        <f>CONCATENATE("var ",RIGHT(I73,2),"/",RIGHT(G73,2))</f>
        <v>var 22/21</v>
      </c>
      <c r="K74" s="113" t="s">
        <v>69</v>
      </c>
      <c r="L74" s="112" t="str">
        <f>CONCATENATE("var ",RIGHT(K73,2),"/",RIGHT(I73,2))</f>
        <v>var 23/22</v>
      </c>
      <c r="M74" s="113" t="s">
        <v>69</v>
      </c>
      <c r="N74" s="112" t="s">
        <v>273</v>
      </c>
      <c r="O74" s="112" t="s">
        <v>274</v>
      </c>
    </row>
    <row r="75" spans="1:16" x14ac:dyDescent="0.25">
      <c r="A75" s="1">
        <v>1</v>
      </c>
      <c r="B75" s="114" t="s">
        <v>71</v>
      </c>
      <c r="C75" s="115">
        <v>2035</v>
      </c>
      <c r="D75" s="116">
        <v>-0.13182593856655289</v>
      </c>
      <c r="E75" s="115">
        <v>2317</v>
      </c>
      <c r="F75" s="116">
        <f t="shared" ref="F75:J87" si="5">IFERROR(E75/C75-1,"-")</f>
        <v>0.13857493857493863</v>
      </c>
      <c r="G75" s="115">
        <v>0</v>
      </c>
      <c r="H75" s="116">
        <f t="shared" si="5"/>
        <v>-1</v>
      </c>
      <c r="I75" s="115">
        <v>0</v>
      </c>
      <c r="J75" s="116" t="str">
        <f t="shared" si="5"/>
        <v>-</v>
      </c>
      <c r="K75" s="115">
        <v>1381</v>
      </c>
      <c r="L75" s="116" t="str">
        <f t="shared" ref="L75:L87" si="6">IFERROR(K75/I75-1,"-")</f>
        <v>-</v>
      </c>
      <c r="M75" s="115">
        <v>1488</v>
      </c>
      <c r="N75" s="116">
        <v>7.7480086893555455E-2</v>
      </c>
      <c r="O75" s="116">
        <v>-0.26879606879606877</v>
      </c>
    </row>
    <row r="76" spans="1:16" x14ac:dyDescent="0.25">
      <c r="A76" s="1">
        <v>2</v>
      </c>
      <c r="B76" s="114" t="s">
        <v>73</v>
      </c>
      <c r="C76" s="115">
        <v>2131</v>
      </c>
      <c r="D76" s="116">
        <v>-0.22873688020267824</v>
      </c>
      <c r="E76" s="115">
        <v>3034</v>
      </c>
      <c r="F76" s="116">
        <f t="shared" si="5"/>
        <v>0.42374472078836223</v>
      </c>
      <c r="G76" s="115">
        <v>0</v>
      </c>
      <c r="H76" s="116">
        <f t="shared" si="5"/>
        <v>-1</v>
      </c>
      <c r="I76" s="115">
        <v>0</v>
      </c>
      <c r="J76" s="116" t="str">
        <f t="shared" si="5"/>
        <v>-</v>
      </c>
      <c r="K76" s="115">
        <v>1342</v>
      </c>
      <c r="L76" s="116" t="str">
        <f t="shared" si="6"/>
        <v>-</v>
      </c>
      <c r="M76" s="115">
        <v>1670</v>
      </c>
      <c r="N76" s="116">
        <v>0.24441132637853946</v>
      </c>
      <c r="O76" s="116">
        <v>-0.21633036133270767</v>
      </c>
    </row>
    <row r="77" spans="1:16" x14ac:dyDescent="0.25">
      <c r="A77" s="1">
        <v>3</v>
      </c>
      <c r="B77" s="114" t="s">
        <v>75</v>
      </c>
      <c r="C77" s="115">
        <v>2963</v>
      </c>
      <c r="D77" s="116">
        <v>0.15742187500000004</v>
      </c>
      <c r="E77" s="115">
        <v>1165</v>
      </c>
      <c r="F77" s="116">
        <f t="shared" si="5"/>
        <v>-0.60681741478231521</v>
      </c>
      <c r="G77" s="115">
        <v>0</v>
      </c>
      <c r="H77" s="116">
        <f t="shared" si="5"/>
        <v>-1</v>
      </c>
      <c r="I77" s="115">
        <v>0</v>
      </c>
      <c r="J77" s="116" t="str">
        <f t="shared" si="5"/>
        <v>-</v>
      </c>
      <c r="K77" s="115">
        <v>1420</v>
      </c>
      <c r="L77" s="116" t="str">
        <f t="shared" si="6"/>
        <v>-</v>
      </c>
      <c r="M77" s="115">
        <v>1539</v>
      </c>
      <c r="N77" s="116">
        <v>8.380281690140845E-2</v>
      </c>
      <c r="O77" s="116">
        <v>-0.48059399257509283</v>
      </c>
    </row>
    <row r="78" spans="1:16" x14ac:dyDescent="0.25">
      <c r="A78" s="1">
        <v>4</v>
      </c>
      <c r="B78" s="114" t="s">
        <v>77</v>
      </c>
      <c r="C78" s="115">
        <v>2482</v>
      </c>
      <c r="D78" s="116">
        <v>-2.3603461841069984E-2</v>
      </c>
      <c r="E78" s="115">
        <v>0</v>
      </c>
      <c r="F78" s="116">
        <f t="shared" si="5"/>
        <v>-1</v>
      </c>
      <c r="G78" s="115">
        <v>0</v>
      </c>
      <c r="H78" s="116" t="str">
        <f t="shared" si="5"/>
        <v>-</v>
      </c>
      <c r="I78" s="115">
        <v>772</v>
      </c>
      <c r="J78" s="116" t="str">
        <f t="shared" si="5"/>
        <v>-</v>
      </c>
      <c r="K78" s="115">
        <v>1202</v>
      </c>
      <c r="L78" s="116">
        <f t="shared" si="6"/>
        <v>0.55699481865284972</v>
      </c>
      <c r="M78" s="115">
        <v>1170</v>
      </c>
      <c r="N78" s="116">
        <v>-2.6622296173044901E-2</v>
      </c>
      <c r="O78" s="116">
        <v>-0.52860596293311846</v>
      </c>
    </row>
    <row r="79" spans="1:16" x14ac:dyDescent="0.25">
      <c r="A79" s="1">
        <v>5</v>
      </c>
      <c r="B79" s="114" t="s">
        <v>79</v>
      </c>
      <c r="C79" s="115">
        <v>2351</v>
      </c>
      <c r="D79" s="116">
        <v>7.7451879010082436E-2</v>
      </c>
      <c r="E79" s="115">
        <v>0</v>
      </c>
      <c r="F79" s="116">
        <f t="shared" si="5"/>
        <v>-1</v>
      </c>
      <c r="G79" s="115">
        <v>0</v>
      </c>
      <c r="H79" s="116" t="str">
        <f t="shared" si="5"/>
        <v>-</v>
      </c>
      <c r="I79" s="115">
        <v>850</v>
      </c>
      <c r="J79" s="116" t="str">
        <f t="shared" si="5"/>
        <v>-</v>
      </c>
      <c r="K79" s="115">
        <v>892</v>
      </c>
      <c r="L79" s="116">
        <f t="shared" si="6"/>
        <v>4.9411764705882266E-2</v>
      </c>
      <c r="M79" s="115">
        <v>999</v>
      </c>
      <c r="N79" s="116">
        <v>0.11995515695067271</v>
      </c>
      <c r="O79" s="116">
        <v>-0.5750744364100383</v>
      </c>
    </row>
    <row r="80" spans="1:16" x14ac:dyDescent="0.25">
      <c r="A80" s="1">
        <v>6</v>
      </c>
      <c r="B80" s="114" t="s">
        <v>81</v>
      </c>
      <c r="C80" s="115">
        <v>2309</v>
      </c>
      <c r="D80" s="116">
        <v>-0.12670196671709533</v>
      </c>
      <c r="E80" s="115">
        <v>0</v>
      </c>
      <c r="F80" s="116">
        <f t="shared" si="5"/>
        <v>-1</v>
      </c>
      <c r="G80" s="115">
        <v>0</v>
      </c>
      <c r="H80" s="116" t="str">
        <f t="shared" si="5"/>
        <v>-</v>
      </c>
      <c r="I80" s="115">
        <v>746</v>
      </c>
      <c r="J80" s="116" t="str">
        <f t="shared" si="5"/>
        <v>-</v>
      </c>
      <c r="K80" s="115">
        <v>855</v>
      </c>
      <c r="L80" s="116">
        <f t="shared" si="6"/>
        <v>0.14611260053619302</v>
      </c>
      <c r="M80" s="115">
        <v>1053</v>
      </c>
      <c r="N80" s="116">
        <v>0.23157894736842111</v>
      </c>
      <c r="O80" s="116">
        <v>-0.5439584235599827</v>
      </c>
    </row>
    <row r="81" spans="1:16" x14ac:dyDescent="0.25">
      <c r="A81" s="1">
        <v>7</v>
      </c>
      <c r="B81" s="114" t="s">
        <v>83</v>
      </c>
      <c r="C81" s="115">
        <v>2094</v>
      </c>
      <c r="D81" s="116">
        <v>-2.695167286245348E-2</v>
      </c>
      <c r="E81" s="115">
        <v>0</v>
      </c>
      <c r="F81" s="116">
        <f t="shared" si="5"/>
        <v>-1</v>
      </c>
      <c r="G81" s="115">
        <v>0</v>
      </c>
      <c r="H81" s="116" t="str">
        <f t="shared" si="5"/>
        <v>-</v>
      </c>
      <c r="I81" s="115">
        <v>979</v>
      </c>
      <c r="J81" s="116" t="str">
        <f t="shared" si="5"/>
        <v>-</v>
      </c>
      <c r="K81" s="115">
        <v>0</v>
      </c>
      <c r="L81" s="116">
        <f t="shared" si="6"/>
        <v>-1</v>
      </c>
      <c r="M81" s="115">
        <v>1280</v>
      </c>
      <c r="N81" s="116" t="s">
        <v>229</v>
      </c>
      <c r="O81" s="116">
        <v>-0.3887297039159503</v>
      </c>
    </row>
    <row r="82" spans="1:16" x14ac:dyDescent="0.25">
      <c r="A82" s="1">
        <v>8</v>
      </c>
      <c r="B82" s="114" t="s">
        <v>85</v>
      </c>
      <c r="C82" s="115">
        <v>1886</v>
      </c>
      <c r="D82" s="116">
        <v>0.24653007270323868</v>
      </c>
      <c r="E82" s="115">
        <v>0</v>
      </c>
      <c r="F82" s="116">
        <f t="shared" si="5"/>
        <v>-1</v>
      </c>
      <c r="G82" s="115">
        <v>0</v>
      </c>
      <c r="H82" s="116" t="str">
        <f t="shared" si="5"/>
        <v>-</v>
      </c>
      <c r="I82" s="115">
        <v>853</v>
      </c>
      <c r="J82" s="116" t="str">
        <f t="shared" si="5"/>
        <v>-</v>
      </c>
      <c r="K82" s="115">
        <v>0</v>
      </c>
      <c r="L82" s="116">
        <f t="shared" si="6"/>
        <v>-1</v>
      </c>
      <c r="M82" s="115">
        <v>433</v>
      </c>
      <c r="N82" s="116" t="s">
        <v>229</v>
      </c>
      <c r="O82" s="116">
        <v>-0.77041357370095442</v>
      </c>
    </row>
    <row r="83" spans="1:16" x14ac:dyDescent="0.25">
      <c r="A83" s="1">
        <v>9</v>
      </c>
      <c r="B83" s="114" t="s">
        <v>87</v>
      </c>
      <c r="C83" s="115">
        <v>2281</v>
      </c>
      <c r="D83" s="116">
        <v>-2.3544520547945202E-2</v>
      </c>
      <c r="E83" s="115">
        <v>0</v>
      </c>
      <c r="F83" s="116">
        <f t="shared" si="5"/>
        <v>-1</v>
      </c>
      <c r="G83" s="115">
        <v>0</v>
      </c>
      <c r="H83" s="116" t="str">
        <f t="shared" si="5"/>
        <v>-</v>
      </c>
      <c r="I83" s="115">
        <v>921</v>
      </c>
      <c r="J83" s="116" t="str">
        <f t="shared" si="5"/>
        <v>-</v>
      </c>
      <c r="K83" s="115">
        <v>936</v>
      </c>
      <c r="L83" s="116">
        <f t="shared" si="6"/>
        <v>1.6286644951140072E-2</v>
      </c>
      <c r="M83" s="115">
        <v>1128</v>
      </c>
      <c r="N83" s="116">
        <v>0.20512820512820507</v>
      </c>
      <c r="O83" s="116">
        <v>-0.50548005260850504</v>
      </c>
    </row>
    <row r="84" spans="1:16" x14ac:dyDescent="0.25">
      <c r="A84" s="1">
        <v>10</v>
      </c>
      <c r="B84" s="114" t="s">
        <v>89</v>
      </c>
      <c r="C84" s="115">
        <v>2322</v>
      </c>
      <c r="D84" s="116">
        <v>-3.4912718204488824E-2</v>
      </c>
      <c r="E84" s="115">
        <v>0</v>
      </c>
      <c r="F84" s="116">
        <f t="shared" si="5"/>
        <v>-1</v>
      </c>
      <c r="G84" s="115">
        <v>0</v>
      </c>
      <c r="H84" s="116" t="str">
        <f t="shared" si="5"/>
        <v>-</v>
      </c>
      <c r="I84" s="115">
        <v>1317</v>
      </c>
      <c r="J84" s="116" t="str">
        <f t="shared" si="5"/>
        <v>-</v>
      </c>
      <c r="K84" s="115">
        <v>1254</v>
      </c>
      <c r="L84" s="116">
        <f t="shared" si="6"/>
        <v>-4.783599088838264E-2</v>
      </c>
      <c r="M84" s="115"/>
      <c r="N84" s="116" t="s">
        <v>229</v>
      </c>
      <c r="O84" s="116" t="s">
        <v>229</v>
      </c>
    </row>
    <row r="85" spans="1:16" x14ac:dyDescent="0.25">
      <c r="A85" s="1">
        <v>11</v>
      </c>
      <c r="B85" s="114" t="s">
        <v>91</v>
      </c>
      <c r="C85" s="115">
        <v>2605</v>
      </c>
      <c r="D85" s="116">
        <v>-0.1419631093544137</v>
      </c>
      <c r="E85" s="115">
        <v>0</v>
      </c>
      <c r="F85" s="116">
        <f t="shared" si="5"/>
        <v>-1</v>
      </c>
      <c r="G85" s="115">
        <v>0</v>
      </c>
      <c r="H85" s="116" t="str">
        <f t="shared" si="5"/>
        <v>-</v>
      </c>
      <c r="I85" s="115">
        <v>1188</v>
      </c>
      <c r="J85" s="116" t="str">
        <f t="shared" si="5"/>
        <v>-</v>
      </c>
      <c r="K85" s="115">
        <v>1515</v>
      </c>
      <c r="L85" s="116">
        <f t="shared" si="6"/>
        <v>0.2752525252525253</v>
      </c>
      <c r="M85" s="115"/>
      <c r="N85" s="116" t="s">
        <v>229</v>
      </c>
      <c r="O85" s="116" t="s">
        <v>229</v>
      </c>
    </row>
    <row r="86" spans="1:16" x14ac:dyDescent="0.25">
      <c r="A86" s="1">
        <v>12</v>
      </c>
      <c r="B86" s="114" t="s">
        <v>93</v>
      </c>
      <c r="C86" s="115">
        <v>2812</v>
      </c>
      <c r="D86" s="116">
        <v>-5.7956448911222758E-2</v>
      </c>
      <c r="E86" s="115">
        <v>0</v>
      </c>
      <c r="F86" s="116">
        <f t="shared" si="5"/>
        <v>-1</v>
      </c>
      <c r="G86" s="115">
        <v>0</v>
      </c>
      <c r="H86" s="116" t="str">
        <f t="shared" si="5"/>
        <v>-</v>
      </c>
      <c r="I86" s="115">
        <v>1209</v>
      </c>
      <c r="J86" s="116" t="str">
        <f t="shared" si="5"/>
        <v>-</v>
      </c>
      <c r="K86" s="115">
        <v>1549</v>
      </c>
      <c r="L86" s="116">
        <f t="shared" si="6"/>
        <v>0.28122415219189412</v>
      </c>
      <c r="M86" s="115"/>
      <c r="N86" s="116" t="s">
        <v>229</v>
      </c>
      <c r="O86" s="116" t="s">
        <v>229</v>
      </c>
    </row>
    <row r="87" spans="1:16" ht="15.75" x14ac:dyDescent="0.25">
      <c r="B87" s="117" t="s">
        <v>30</v>
      </c>
      <c r="C87" s="118">
        <v>28271</v>
      </c>
      <c r="D87" s="119">
        <v>-4.0457522994942763E-2</v>
      </c>
      <c r="E87" s="118">
        <v>0</v>
      </c>
      <c r="F87" s="119">
        <f t="shared" si="5"/>
        <v>-1</v>
      </c>
      <c r="G87" s="118">
        <v>0</v>
      </c>
      <c r="H87" s="119" t="str">
        <f t="shared" si="5"/>
        <v>-</v>
      </c>
      <c r="I87" s="118">
        <v>10065</v>
      </c>
      <c r="J87" s="119" t="str">
        <f t="shared" si="5"/>
        <v>-</v>
      </c>
      <c r="K87" s="118">
        <v>13883</v>
      </c>
      <c r="L87" s="119">
        <f t="shared" si="6"/>
        <v>0.37933432687531043</v>
      </c>
      <c r="M87" s="118">
        <v>10760</v>
      </c>
      <c r="N87" s="119">
        <v>0.34030891878425518</v>
      </c>
      <c r="O87" s="119">
        <v>-0.47593999610364313</v>
      </c>
    </row>
    <row r="88" spans="1:16" ht="6" customHeight="1" x14ac:dyDescent="0.25"/>
    <row r="89" spans="1:16" x14ac:dyDescent="0.25">
      <c r="B89" s="105" t="s">
        <v>55</v>
      </c>
      <c r="C89" s="105"/>
      <c r="D89" s="105"/>
      <c r="E89" s="105"/>
      <c r="F89" s="105"/>
      <c r="G89" s="105"/>
      <c r="H89" s="105"/>
      <c r="I89" s="105"/>
      <c r="J89" s="105"/>
      <c r="K89" s="105"/>
      <c r="L89" s="105"/>
      <c r="M89" s="105"/>
      <c r="N89" s="105"/>
      <c r="O89" s="105"/>
    </row>
    <row r="92" spans="1:16" ht="48.75" customHeight="1" thickBot="1" x14ac:dyDescent="0.3">
      <c r="B92" s="270" t="s">
        <v>291</v>
      </c>
      <c r="C92" s="270"/>
      <c r="D92" s="270"/>
      <c r="E92" s="270"/>
      <c r="F92" s="270"/>
      <c r="G92" s="270"/>
      <c r="H92" s="270"/>
      <c r="I92" s="270"/>
      <c r="J92" s="270"/>
      <c r="K92" s="270"/>
      <c r="L92" s="270"/>
      <c r="M92" s="270"/>
      <c r="N92" s="270"/>
      <c r="O92" s="270"/>
      <c r="P92" s="1" t="s">
        <v>114</v>
      </c>
    </row>
    <row r="93" spans="1:16" ht="10.5" customHeight="1" thickBot="1" x14ac:dyDescent="0.3">
      <c r="B93" s="106"/>
      <c r="C93" s="107"/>
      <c r="D93" s="106"/>
      <c r="E93" s="106"/>
      <c r="F93" s="106"/>
      <c r="G93" s="106"/>
      <c r="H93" s="106"/>
      <c r="I93" s="106"/>
      <c r="J93" s="106"/>
      <c r="K93" s="106"/>
      <c r="L93" s="106"/>
      <c r="M93" s="4"/>
      <c r="N93" s="4"/>
      <c r="P93" s="1" t="s">
        <v>115</v>
      </c>
    </row>
    <row r="94" spans="1:16" ht="22.5" thickTop="1" thickBot="1" x14ac:dyDescent="0.3">
      <c r="B94" s="121" t="s">
        <v>96</v>
      </c>
      <c r="C94" s="292" t="s">
        <v>32</v>
      </c>
      <c r="D94" s="293"/>
      <c r="E94" s="293"/>
      <c r="F94" s="293"/>
      <c r="G94" s="293"/>
      <c r="H94" s="293"/>
      <c r="I94" s="293"/>
      <c r="J94" s="293"/>
      <c r="K94" s="293"/>
      <c r="L94" s="293"/>
      <c r="M94" s="293"/>
      <c r="N94" s="293"/>
      <c r="O94" s="294"/>
    </row>
    <row r="95" spans="1:16" ht="22.5" thickTop="1" thickBot="1" x14ac:dyDescent="0.3">
      <c r="B95" s="109"/>
      <c r="C95" s="295">
        <v>2019</v>
      </c>
      <c r="D95" s="296"/>
      <c r="E95" s="297" t="s">
        <v>285</v>
      </c>
      <c r="F95" s="296"/>
      <c r="G95" s="297" t="s">
        <v>286</v>
      </c>
      <c r="H95" s="296"/>
      <c r="I95" s="297" t="s">
        <v>287</v>
      </c>
      <c r="J95" s="296"/>
      <c r="K95" s="297">
        <v>2023</v>
      </c>
      <c r="L95" s="296"/>
      <c r="M95" s="297">
        <v>2024</v>
      </c>
      <c r="N95" s="298"/>
      <c r="O95" s="299"/>
    </row>
    <row r="96" spans="1:16" ht="16.5" thickTop="1" thickBot="1" x14ac:dyDescent="0.3">
      <c r="B96" s="85"/>
      <c r="C96" s="111" t="s">
        <v>69</v>
      </c>
      <c r="D96" s="112" t="str">
        <f>CONCATENATE("var ",RIGHT(C95,2),"/",RIGHT(C95-1,2))</f>
        <v>var 19/18</v>
      </c>
      <c r="E96" s="113" t="s">
        <v>69</v>
      </c>
      <c r="F96" s="112" t="str">
        <f>CONCATENATE("var ",RIGHT(E95,2),"/",RIGHT(C95,2))</f>
        <v>var 20/19</v>
      </c>
      <c r="G96" s="113" t="s">
        <v>69</v>
      </c>
      <c r="H96" s="112" t="str">
        <f>CONCATENATE("var ",RIGHT(G95,2),"/",RIGHT(E95,2))</f>
        <v>var 21/20</v>
      </c>
      <c r="I96" s="113" t="s">
        <v>69</v>
      </c>
      <c r="J96" s="112" t="str">
        <f>CONCATENATE("var ",RIGHT(I95,2),"/",RIGHT(G95,2))</f>
        <v>var 22/21</v>
      </c>
      <c r="K96" s="113" t="s">
        <v>69</v>
      </c>
      <c r="L96" s="112" t="str">
        <f>CONCATENATE("var ",RIGHT(K95,2),"/",RIGHT(I95,2))</f>
        <v>var 23/22</v>
      </c>
      <c r="M96" s="113" t="s">
        <v>69</v>
      </c>
      <c r="N96" s="112" t="s">
        <v>273</v>
      </c>
      <c r="O96" s="112" t="s">
        <v>274</v>
      </c>
    </row>
    <row r="97" spans="2:15" x14ac:dyDescent="0.25">
      <c r="B97" s="114" t="s">
        <v>71</v>
      </c>
      <c r="C97" s="115" t="s">
        <v>229</v>
      </c>
      <c r="D97" s="116" t="s">
        <v>229</v>
      </c>
      <c r="E97" s="115" t="s">
        <v>229</v>
      </c>
      <c r="F97" s="116" t="str">
        <f t="shared" ref="F97:J109" si="7">IFERROR(E97/C97-1,"-")</f>
        <v>-</v>
      </c>
      <c r="G97" s="115" t="s">
        <v>229</v>
      </c>
      <c r="H97" s="116" t="str">
        <f t="shared" si="7"/>
        <v>-</v>
      </c>
      <c r="I97" s="115" t="s">
        <v>229</v>
      </c>
      <c r="J97" s="116" t="str">
        <f t="shared" si="7"/>
        <v>-</v>
      </c>
      <c r="K97" s="115" t="s">
        <v>229</v>
      </c>
      <c r="L97" s="116" t="str">
        <f t="shared" ref="L97:L109" si="8">IFERROR(K97/I97-1,"-")</f>
        <v>-</v>
      </c>
      <c r="M97" s="115"/>
      <c r="N97" s="116" t="s">
        <v>229</v>
      </c>
      <c r="O97" s="116" t="s">
        <v>229</v>
      </c>
    </row>
    <row r="98" spans="2:15" x14ac:dyDescent="0.25">
      <c r="B98" s="114" t="s">
        <v>73</v>
      </c>
      <c r="C98" s="115" t="s">
        <v>229</v>
      </c>
      <c r="D98" s="116" t="s">
        <v>229</v>
      </c>
      <c r="E98" s="115" t="s">
        <v>229</v>
      </c>
      <c r="F98" s="116" t="str">
        <f t="shared" si="7"/>
        <v>-</v>
      </c>
      <c r="G98" s="115" t="s">
        <v>229</v>
      </c>
      <c r="H98" s="116" t="str">
        <f t="shared" si="7"/>
        <v>-</v>
      </c>
      <c r="I98" s="115" t="s">
        <v>229</v>
      </c>
      <c r="J98" s="116" t="str">
        <f t="shared" si="7"/>
        <v>-</v>
      </c>
      <c r="K98" s="115" t="s">
        <v>229</v>
      </c>
      <c r="L98" s="116" t="str">
        <f t="shared" si="8"/>
        <v>-</v>
      </c>
      <c r="M98" s="115"/>
      <c r="N98" s="116" t="s">
        <v>229</v>
      </c>
      <c r="O98" s="116" t="s">
        <v>229</v>
      </c>
    </row>
    <row r="99" spans="2:15" x14ac:dyDescent="0.25">
      <c r="B99" s="114" t="s">
        <v>75</v>
      </c>
      <c r="C99" s="115" t="s">
        <v>229</v>
      </c>
      <c r="D99" s="116" t="s">
        <v>229</v>
      </c>
      <c r="E99" s="115" t="s">
        <v>229</v>
      </c>
      <c r="F99" s="116" t="str">
        <f t="shared" si="7"/>
        <v>-</v>
      </c>
      <c r="G99" s="115" t="s">
        <v>229</v>
      </c>
      <c r="H99" s="116" t="str">
        <f t="shared" si="7"/>
        <v>-</v>
      </c>
      <c r="I99" s="115" t="s">
        <v>229</v>
      </c>
      <c r="J99" s="116" t="str">
        <f t="shared" si="7"/>
        <v>-</v>
      </c>
      <c r="K99" s="115" t="s">
        <v>229</v>
      </c>
      <c r="L99" s="116" t="str">
        <f t="shared" si="8"/>
        <v>-</v>
      </c>
      <c r="M99" s="115"/>
      <c r="N99" s="116" t="s">
        <v>229</v>
      </c>
      <c r="O99" s="116" t="s">
        <v>229</v>
      </c>
    </row>
    <row r="100" spans="2:15" x14ac:dyDescent="0.25">
      <c r="B100" s="114" t="s">
        <v>77</v>
      </c>
      <c r="C100" s="115" t="s">
        <v>229</v>
      </c>
      <c r="D100" s="116" t="s">
        <v>229</v>
      </c>
      <c r="E100" s="115" t="s">
        <v>229</v>
      </c>
      <c r="F100" s="116" t="str">
        <f t="shared" si="7"/>
        <v>-</v>
      </c>
      <c r="G100" s="115" t="s">
        <v>229</v>
      </c>
      <c r="H100" s="116" t="str">
        <f t="shared" si="7"/>
        <v>-</v>
      </c>
      <c r="I100" s="115" t="s">
        <v>229</v>
      </c>
      <c r="J100" s="116" t="str">
        <f t="shared" si="7"/>
        <v>-</v>
      </c>
      <c r="K100" s="115" t="s">
        <v>229</v>
      </c>
      <c r="L100" s="116" t="str">
        <f t="shared" si="8"/>
        <v>-</v>
      </c>
      <c r="M100" s="115"/>
      <c r="N100" s="116" t="s">
        <v>229</v>
      </c>
      <c r="O100" s="116" t="s">
        <v>229</v>
      </c>
    </row>
    <row r="101" spans="2:15" x14ac:dyDescent="0.25">
      <c r="B101" s="114" t="s">
        <v>79</v>
      </c>
      <c r="C101" s="115" t="s">
        <v>229</v>
      </c>
      <c r="D101" s="116" t="s">
        <v>229</v>
      </c>
      <c r="E101" s="115" t="s">
        <v>229</v>
      </c>
      <c r="F101" s="116" t="str">
        <f t="shared" si="7"/>
        <v>-</v>
      </c>
      <c r="G101" s="115" t="s">
        <v>229</v>
      </c>
      <c r="H101" s="116" t="str">
        <f t="shared" si="7"/>
        <v>-</v>
      </c>
      <c r="I101" s="115" t="s">
        <v>229</v>
      </c>
      <c r="J101" s="116" t="str">
        <f t="shared" si="7"/>
        <v>-</v>
      </c>
      <c r="K101" s="115" t="s">
        <v>229</v>
      </c>
      <c r="L101" s="116" t="str">
        <f t="shared" si="8"/>
        <v>-</v>
      </c>
      <c r="M101" s="115"/>
      <c r="N101" s="116" t="s">
        <v>229</v>
      </c>
      <c r="O101" s="116" t="s">
        <v>229</v>
      </c>
    </row>
    <row r="102" spans="2:15" x14ac:dyDescent="0.25">
      <c r="B102" s="114" t="s">
        <v>81</v>
      </c>
      <c r="C102" s="115" t="s">
        <v>229</v>
      </c>
      <c r="D102" s="116" t="s">
        <v>229</v>
      </c>
      <c r="E102" s="115" t="s">
        <v>229</v>
      </c>
      <c r="F102" s="116" t="str">
        <f t="shared" si="7"/>
        <v>-</v>
      </c>
      <c r="G102" s="115" t="s">
        <v>229</v>
      </c>
      <c r="H102" s="116" t="str">
        <f t="shared" si="7"/>
        <v>-</v>
      </c>
      <c r="I102" s="115" t="s">
        <v>229</v>
      </c>
      <c r="J102" s="116" t="str">
        <f t="shared" si="7"/>
        <v>-</v>
      </c>
      <c r="K102" s="115" t="s">
        <v>229</v>
      </c>
      <c r="L102" s="116" t="str">
        <f t="shared" si="8"/>
        <v>-</v>
      </c>
      <c r="M102" s="115"/>
      <c r="N102" s="116" t="s">
        <v>229</v>
      </c>
      <c r="O102" s="116" t="s">
        <v>229</v>
      </c>
    </row>
    <row r="103" spans="2:15" x14ac:dyDescent="0.25">
      <c r="B103" s="114" t="s">
        <v>83</v>
      </c>
      <c r="C103" s="115" t="s">
        <v>229</v>
      </c>
      <c r="D103" s="116" t="s">
        <v>229</v>
      </c>
      <c r="E103" s="115" t="s">
        <v>229</v>
      </c>
      <c r="F103" s="116" t="str">
        <f t="shared" si="7"/>
        <v>-</v>
      </c>
      <c r="G103" s="115" t="s">
        <v>229</v>
      </c>
      <c r="H103" s="116" t="str">
        <f t="shared" si="7"/>
        <v>-</v>
      </c>
      <c r="I103" s="115" t="s">
        <v>229</v>
      </c>
      <c r="J103" s="116" t="str">
        <f t="shared" si="7"/>
        <v>-</v>
      </c>
      <c r="K103" s="115" t="s">
        <v>229</v>
      </c>
      <c r="L103" s="116" t="str">
        <f t="shared" si="8"/>
        <v>-</v>
      </c>
      <c r="M103" s="115"/>
      <c r="N103" s="116" t="s">
        <v>229</v>
      </c>
      <c r="O103" s="116" t="s">
        <v>229</v>
      </c>
    </row>
    <row r="104" spans="2:15" x14ac:dyDescent="0.25">
      <c r="B104" s="114" t="s">
        <v>85</v>
      </c>
      <c r="C104" s="115" t="s">
        <v>229</v>
      </c>
      <c r="D104" s="116" t="s">
        <v>229</v>
      </c>
      <c r="E104" s="115" t="s">
        <v>229</v>
      </c>
      <c r="F104" s="116" t="str">
        <f t="shared" si="7"/>
        <v>-</v>
      </c>
      <c r="G104" s="115" t="s">
        <v>229</v>
      </c>
      <c r="H104" s="116" t="str">
        <f t="shared" si="7"/>
        <v>-</v>
      </c>
      <c r="I104" s="115" t="s">
        <v>229</v>
      </c>
      <c r="J104" s="116" t="str">
        <f t="shared" si="7"/>
        <v>-</v>
      </c>
      <c r="K104" s="115" t="s">
        <v>229</v>
      </c>
      <c r="L104" s="116" t="str">
        <f t="shared" si="8"/>
        <v>-</v>
      </c>
      <c r="M104" s="115"/>
      <c r="N104" s="116" t="s">
        <v>229</v>
      </c>
      <c r="O104" s="116" t="s">
        <v>229</v>
      </c>
    </row>
    <row r="105" spans="2:15" x14ac:dyDescent="0.25">
      <c r="B105" s="114" t="s">
        <v>87</v>
      </c>
      <c r="C105" s="115" t="s">
        <v>229</v>
      </c>
      <c r="D105" s="116" t="s">
        <v>229</v>
      </c>
      <c r="E105" s="115" t="s">
        <v>229</v>
      </c>
      <c r="F105" s="116" t="str">
        <f t="shared" si="7"/>
        <v>-</v>
      </c>
      <c r="G105" s="115" t="s">
        <v>229</v>
      </c>
      <c r="H105" s="116" t="str">
        <f t="shared" si="7"/>
        <v>-</v>
      </c>
      <c r="I105" s="115" t="s">
        <v>229</v>
      </c>
      <c r="J105" s="116" t="str">
        <f t="shared" si="7"/>
        <v>-</v>
      </c>
      <c r="K105" s="115" t="s">
        <v>229</v>
      </c>
      <c r="L105" s="116" t="str">
        <f t="shared" si="8"/>
        <v>-</v>
      </c>
      <c r="M105" s="115"/>
      <c r="N105" s="116" t="s">
        <v>229</v>
      </c>
      <c r="O105" s="116" t="s">
        <v>229</v>
      </c>
    </row>
    <row r="106" spans="2:15" x14ac:dyDescent="0.25">
      <c r="B106" s="114" t="s">
        <v>89</v>
      </c>
      <c r="C106" s="115" t="s">
        <v>229</v>
      </c>
      <c r="D106" s="116" t="s">
        <v>229</v>
      </c>
      <c r="E106" s="115" t="s">
        <v>229</v>
      </c>
      <c r="F106" s="116" t="str">
        <f t="shared" si="7"/>
        <v>-</v>
      </c>
      <c r="G106" s="115" t="s">
        <v>229</v>
      </c>
      <c r="H106" s="116" t="str">
        <f t="shared" si="7"/>
        <v>-</v>
      </c>
      <c r="I106" s="115" t="s">
        <v>229</v>
      </c>
      <c r="J106" s="116" t="str">
        <f t="shared" si="7"/>
        <v>-</v>
      </c>
      <c r="K106" s="115" t="s">
        <v>229</v>
      </c>
      <c r="L106" s="116" t="str">
        <f t="shared" si="8"/>
        <v>-</v>
      </c>
      <c r="M106" s="115"/>
      <c r="N106" s="116" t="s">
        <v>229</v>
      </c>
      <c r="O106" s="116" t="s">
        <v>229</v>
      </c>
    </row>
    <row r="107" spans="2:15" x14ac:dyDescent="0.25">
      <c r="B107" s="114" t="s">
        <v>91</v>
      </c>
      <c r="C107" s="115" t="s">
        <v>229</v>
      </c>
      <c r="D107" s="116" t="s">
        <v>229</v>
      </c>
      <c r="E107" s="115" t="s">
        <v>229</v>
      </c>
      <c r="F107" s="116" t="str">
        <f t="shared" si="7"/>
        <v>-</v>
      </c>
      <c r="G107" s="115" t="s">
        <v>229</v>
      </c>
      <c r="H107" s="116" t="str">
        <f t="shared" si="7"/>
        <v>-</v>
      </c>
      <c r="I107" s="115" t="s">
        <v>229</v>
      </c>
      <c r="J107" s="116" t="str">
        <f t="shared" si="7"/>
        <v>-</v>
      </c>
      <c r="K107" s="115" t="s">
        <v>229</v>
      </c>
      <c r="L107" s="116" t="str">
        <f t="shared" si="8"/>
        <v>-</v>
      </c>
      <c r="M107" s="115"/>
      <c r="N107" s="116" t="s">
        <v>229</v>
      </c>
      <c r="O107" s="116" t="s">
        <v>229</v>
      </c>
    </row>
    <row r="108" spans="2:15" x14ac:dyDescent="0.25">
      <c r="B108" s="114" t="s">
        <v>93</v>
      </c>
      <c r="C108" s="115" t="s">
        <v>229</v>
      </c>
      <c r="D108" s="116" t="s">
        <v>229</v>
      </c>
      <c r="E108" s="115" t="s">
        <v>229</v>
      </c>
      <c r="F108" s="116" t="str">
        <f t="shared" si="7"/>
        <v>-</v>
      </c>
      <c r="G108" s="115" t="s">
        <v>229</v>
      </c>
      <c r="H108" s="116" t="str">
        <f t="shared" si="7"/>
        <v>-</v>
      </c>
      <c r="I108" s="115" t="s">
        <v>229</v>
      </c>
      <c r="J108" s="116" t="str">
        <f t="shared" si="7"/>
        <v>-</v>
      </c>
      <c r="K108" s="115" t="s">
        <v>229</v>
      </c>
      <c r="L108" s="116" t="str">
        <f t="shared" si="8"/>
        <v>-</v>
      </c>
      <c r="M108" s="115"/>
      <c r="N108" s="116" t="s">
        <v>229</v>
      </c>
      <c r="O108" s="116" t="s">
        <v>229</v>
      </c>
    </row>
    <row r="109" spans="2:15" ht="15.75" x14ac:dyDescent="0.25">
      <c r="B109" s="117" t="s">
        <v>30</v>
      </c>
      <c r="C109" s="118" t="s">
        <v>229</v>
      </c>
      <c r="D109" s="119" t="s">
        <v>229</v>
      </c>
      <c r="E109" s="118" t="s">
        <v>229</v>
      </c>
      <c r="F109" s="119" t="str">
        <f t="shared" si="7"/>
        <v>-</v>
      </c>
      <c r="G109" s="118" t="s">
        <v>229</v>
      </c>
      <c r="H109" s="119" t="str">
        <f t="shared" si="7"/>
        <v>-</v>
      </c>
      <c r="I109" s="118" t="s">
        <v>229</v>
      </c>
      <c r="J109" s="119" t="str">
        <f t="shared" si="7"/>
        <v>-</v>
      </c>
      <c r="K109" s="118" t="s">
        <v>229</v>
      </c>
      <c r="L109" s="119" t="str">
        <f t="shared" si="8"/>
        <v>-</v>
      </c>
      <c r="M109" s="118"/>
      <c r="N109" s="119" t="s">
        <v>229</v>
      </c>
      <c r="O109" s="119" t="s">
        <v>229</v>
      </c>
    </row>
    <row r="110" spans="2:15" ht="6" customHeight="1" x14ac:dyDescent="0.25"/>
    <row r="111" spans="2:15" x14ac:dyDescent="0.25">
      <c r="B111" s="105" t="s">
        <v>55</v>
      </c>
      <c r="C111" s="105"/>
      <c r="D111" s="105"/>
      <c r="E111" s="105"/>
      <c r="F111" s="105"/>
      <c r="G111" s="105"/>
      <c r="H111" s="105"/>
      <c r="I111" s="105"/>
      <c r="J111" s="105"/>
      <c r="K111" s="105"/>
      <c r="L111" s="105"/>
      <c r="M111" s="105"/>
      <c r="N111" s="105"/>
      <c r="O111" s="105"/>
    </row>
    <row r="113" spans="3:3" x14ac:dyDescent="0.25">
      <c r="C113" s="120"/>
    </row>
  </sheetData>
  <mergeCells count="40">
    <mergeCell ref="B4:O4"/>
    <mergeCell ref="C6:O6"/>
    <mergeCell ref="C7:D7"/>
    <mergeCell ref="E7:F7"/>
    <mergeCell ref="G7:H7"/>
    <mergeCell ref="I7:J7"/>
    <mergeCell ref="K7:L7"/>
    <mergeCell ref="M7:O7"/>
    <mergeCell ref="B26:O26"/>
    <mergeCell ref="C28:O28"/>
    <mergeCell ref="C29:D29"/>
    <mergeCell ref="E29:F29"/>
    <mergeCell ref="G29:H29"/>
    <mergeCell ref="I29:J29"/>
    <mergeCell ref="K29:L29"/>
    <mergeCell ref="M29:O29"/>
    <mergeCell ref="B48:O48"/>
    <mergeCell ref="C50:O50"/>
    <mergeCell ref="C51:D51"/>
    <mergeCell ref="E51:F51"/>
    <mergeCell ref="G51:H51"/>
    <mergeCell ref="I51:J51"/>
    <mergeCell ref="K51:L51"/>
    <mergeCell ref="M51:O51"/>
    <mergeCell ref="B70:O70"/>
    <mergeCell ref="C72:O72"/>
    <mergeCell ref="C73:D73"/>
    <mergeCell ref="E73:F73"/>
    <mergeCell ref="G73:H73"/>
    <mergeCell ref="I73:J73"/>
    <mergeCell ref="K73:L73"/>
    <mergeCell ref="M73:O73"/>
    <mergeCell ref="B92:O92"/>
    <mergeCell ref="C94:O94"/>
    <mergeCell ref="C95:D95"/>
    <mergeCell ref="E95:F95"/>
    <mergeCell ref="G95:H95"/>
    <mergeCell ref="I95:J95"/>
    <mergeCell ref="K95:L95"/>
    <mergeCell ref="M95:O95"/>
  </mergeCells>
  <pageMargins left="0.7" right="0.7" top="0.75" bottom="0.75" header="0.3" footer="0.3"/>
  <pageSetup paperSize="9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8F6AF9-522D-41CA-B9D0-28EBB0792FB7}">
  <sheetPr>
    <tabColor rgb="FFF29140"/>
    <pageSetUpPr fitToPage="1"/>
  </sheetPr>
  <dimension ref="A1:P162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</cols>
  <sheetData>
    <row r="1" spans="1:14" ht="42.75" customHeight="1" x14ac:dyDescent="0.25"/>
    <row r="4" spans="1:14" ht="42" customHeight="1" thickBot="1" x14ac:dyDescent="0.3">
      <c r="B4" s="270" t="str">
        <f>CONCATENATE("Pernoctaciones en los establecimientos alojativos de Tenerife según lugar de residencia y municipio de alojamiento (hotel + apartamento)")</f>
        <v>Pernoctaciones en los establecimientos alojativos de Tenerife según lugar de residencia y municipio de alojamiento (hotel + apartamento)</v>
      </c>
      <c r="C4" s="270"/>
      <c r="D4" s="270"/>
      <c r="E4" s="270"/>
      <c r="F4" s="270"/>
      <c r="G4" s="270"/>
      <c r="H4" s="270"/>
      <c r="I4" s="270"/>
      <c r="J4" s="270"/>
      <c r="K4" s="270"/>
      <c r="L4" s="270"/>
      <c r="M4" s="270"/>
    </row>
    <row r="5" spans="1:14" ht="6" customHeight="1" x14ac:dyDescent="0.25"/>
    <row r="6" spans="1:14" s="144" customFormat="1" ht="72" customHeight="1" x14ac:dyDescent="0.25">
      <c r="B6" s="145"/>
      <c r="C6" s="172" t="s">
        <v>292</v>
      </c>
      <c r="D6" s="172" t="s">
        <v>224</v>
      </c>
      <c r="E6" s="172" t="s">
        <v>235</v>
      </c>
      <c r="F6" s="172" t="s">
        <v>226</v>
      </c>
      <c r="G6" s="172" t="s">
        <v>227</v>
      </c>
      <c r="H6" s="172" t="s">
        <v>228</v>
      </c>
      <c r="I6" s="173" t="str">
        <f>CONCATENATE("var. ",RIGHT(H6,2),"/",RIGHT(G6,2))</f>
        <v>var. 24/23</v>
      </c>
      <c r="J6" s="173" t="str">
        <f>CONCATENATE("var. ",RIGHT(H6,2),"/",RIGHT(D6,2))</f>
        <v>var. 24/19</v>
      </c>
      <c r="K6" s="172" t="str">
        <f>CONCATENATE("dif. ",RIGHT(H6,2),"/",RIGHT(G6,2))</f>
        <v>dif. 24/23</v>
      </c>
      <c r="L6" s="172" t="str">
        <f>CONCATENATE("dif. ",RIGHT(H6,2),"/",RIGHT(D6,2))</f>
        <v>dif. 24/19</v>
      </c>
      <c r="M6" s="173" t="str">
        <f>CONCATENATE("Cuota s/ total lugares de residencia ",RIGHT(H6,4))</f>
        <v>Cuota s/ total lugares de residencia 2024</v>
      </c>
    </row>
    <row r="7" spans="1:14" s="144" customFormat="1" x14ac:dyDescent="0.25">
      <c r="B7" s="150" t="s">
        <v>43</v>
      </c>
      <c r="C7" s="151"/>
      <c r="D7" s="151"/>
      <c r="E7" s="151"/>
      <c r="F7" s="151"/>
      <c r="G7" s="151"/>
      <c r="H7" s="151"/>
      <c r="I7" s="151"/>
      <c r="J7" s="151"/>
      <c r="K7" s="151"/>
      <c r="L7" s="151"/>
      <c r="M7" s="151"/>
    </row>
    <row r="8" spans="1:14" x14ac:dyDescent="0.25">
      <c r="A8" s="1"/>
      <c r="B8" s="154" t="s">
        <v>68</v>
      </c>
      <c r="C8" s="176">
        <v>2869569</v>
      </c>
      <c r="D8" s="176">
        <v>2760383</v>
      </c>
      <c r="E8" s="176">
        <v>489585</v>
      </c>
      <c r="F8" s="176">
        <v>2570788</v>
      </c>
      <c r="G8" s="176">
        <v>2803075</v>
      </c>
      <c r="H8" s="176">
        <v>2881997</v>
      </c>
      <c r="I8" s="177">
        <f>IFERROR(H8/G8-1,"-")</f>
        <v>2.8155507790551537E-2</v>
      </c>
      <c r="J8" s="177">
        <f>IFERROR(H8/D8-1,"-")</f>
        <v>4.4056929781120857E-2</v>
      </c>
      <c r="K8" s="176">
        <f>H8-G8</f>
        <v>78922</v>
      </c>
      <c r="L8" s="176">
        <f>H8-D8</f>
        <v>121614</v>
      </c>
      <c r="M8" s="177">
        <f>H8/H$8</f>
        <v>1</v>
      </c>
      <c r="N8" s="79"/>
    </row>
    <row r="9" spans="1:14" x14ac:dyDescent="0.25">
      <c r="A9" s="1" t="s">
        <v>96</v>
      </c>
      <c r="B9" s="157" t="s">
        <v>97</v>
      </c>
      <c r="C9" s="158">
        <v>475213</v>
      </c>
      <c r="D9" s="158">
        <v>431728</v>
      </c>
      <c r="E9" s="158">
        <v>238618</v>
      </c>
      <c r="F9" s="158">
        <v>389213</v>
      </c>
      <c r="G9" s="158">
        <v>411909</v>
      </c>
      <c r="H9" s="158">
        <v>404354</v>
      </c>
      <c r="I9" s="159">
        <f>IFERROR(H9/G9-1,"-")</f>
        <v>-1.8341429781820739E-2</v>
      </c>
      <c r="J9" s="160">
        <f t="shared" ref="J9:J20" si="0">IFERROR(H9/D9-1,"-")</f>
        <v>-6.3405662824741471E-2</v>
      </c>
      <c r="K9" s="158">
        <f t="shared" ref="K9:K19" si="1">H9-G9</f>
        <v>-7555</v>
      </c>
      <c r="L9" s="158">
        <f t="shared" ref="L9:L20" si="2">H9-D9</f>
        <v>-27374</v>
      </c>
      <c r="M9" s="159">
        <f>H9/H$8</f>
        <v>0.14030340767183311</v>
      </c>
      <c r="N9" s="79"/>
    </row>
    <row r="10" spans="1:14" x14ac:dyDescent="0.25">
      <c r="A10" s="161" t="s">
        <v>103</v>
      </c>
      <c r="B10" s="162" t="s">
        <v>103</v>
      </c>
      <c r="C10" s="163">
        <v>1155666</v>
      </c>
      <c r="D10" s="163">
        <v>1048799</v>
      </c>
      <c r="E10" s="163">
        <v>424865</v>
      </c>
      <c r="F10" s="163">
        <v>957251</v>
      </c>
      <c r="G10" s="163">
        <v>1065182</v>
      </c>
      <c r="H10" s="163">
        <v>1074979</v>
      </c>
      <c r="I10" s="164">
        <f>IFERROR(H10/G10-1,"-")</f>
        <v>9.1974892553572385E-3</v>
      </c>
      <c r="J10" s="165">
        <f t="shared" si="0"/>
        <v>2.4961884975100102E-2</v>
      </c>
      <c r="K10" s="163">
        <f t="shared" si="1"/>
        <v>9797</v>
      </c>
      <c r="L10" s="163">
        <f t="shared" si="2"/>
        <v>26180</v>
      </c>
      <c r="M10" s="164">
        <f>H10/H$8</f>
        <v>0.37299795940106806</v>
      </c>
      <c r="N10" s="79"/>
    </row>
    <row r="11" spans="1:14" x14ac:dyDescent="0.25">
      <c r="A11" s="161" t="s">
        <v>100</v>
      </c>
      <c r="B11" s="162" t="s">
        <v>100</v>
      </c>
      <c r="C11" s="163">
        <v>2572392</v>
      </c>
      <c r="D11" s="163">
        <v>2638313</v>
      </c>
      <c r="E11" s="163">
        <v>933441</v>
      </c>
      <c r="F11" s="163">
        <v>2288563</v>
      </c>
      <c r="G11" s="163">
        <v>2358784</v>
      </c>
      <c r="H11" s="163">
        <v>2294416</v>
      </c>
      <c r="I11" s="164">
        <f>IFERROR(H11/G11-1,"-")</f>
        <v>-2.7288636856956816E-2</v>
      </c>
      <c r="J11" s="165">
        <f t="shared" si="0"/>
        <v>-0.13034730905696179</v>
      </c>
      <c r="K11" s="163">
        <f t="shared" si="1"/>
        <v>-64368</v>
      </c>
      <c r="L11" s="163">
        <f t="shared" si="2"/>
        <v>-343897</v>
      </c>
      <c r="M11" s="164">
        <f>H11/H$8</f>
        <v>0.79612019027084346</v>
      </c>
      <c r="N11" s="79"/>
    </row>
    <row r="12" spans="1:14" x14ac:dyDescent="0.25">
      <c r="A12" s="1"/>
      <c r="B12" s="157" t="s">
        <v>107</v>
      </c>
      <c r="C12" s="158">
        <v>2394356</v>
      </c>
      <c r="D12" s="158">
        <v>2328655</v>
      </c>
      <c r="E12" s="158">
        <v>250967</v>
      </c>
      <c r="F12" s="158">
        <v>2181575</v>
      </c>
      <c r="G12" s="158">
        <v>2391166</v>
      </c>
      <c r="H12" s="158">
        <v>2477643</v>
      </c>
      <c r="I12" s="159">
        <f>IFERROR(H12/G12-1,"-")</f>
        <v>3.6165201412198034E-2</v>
      </c>
      <c r="J12" s="160">
        <f t="shared" si="0"/>
        <v>6.3980280462327066E-2</v>
      </c>
      <c r="K12" s="158">
        <f t="shared" si="1"/>
        <v>86477</v>
      </c>
      <c r="L12" s="158">
        <f t="shared" si="2"/>
        <v>148988</v>
      </c>
      <c r="M12" s="159">
        <f>H12/H$8</f>
        <v>0.85969659232816686</v>
      </c>
      <c r="N12" s="79"/>
    </row>
    <row r="13" spans="1:14" s="56" customFormat="1" x14ac:dyDescent="0.25">
      <c r="A13" s="161"/>
      <c r="B13" s="162" t="s">
        <v>110</v>
      </c>
      <c r="C13" s="163">
        <v>1155394</v>
      </c>
      <c r="D13" s="163">
        <v>1184373</v>
      </c>
      <c r="E13" s="163">
        <v>73616</v>
      </c>
      <c r="F13" s="163">
        <v>1155744</v>
      </c>
      <c r="G13" s="163">
        <v>1286861</v>
      </c>
      <c r="H13" s="163">
        <v>1312336</v>
      </c>
      <c r="I13" s="164">
        <f t="shared" ref="I13:I20" si="3">IFERROR(H13/G13-1,"-")</f>
        <v>1.9796232848769302E-2</v>
      </c>
      <c r="J13" s="165">
        <f t="shared" si="0"/>
        <v>0.10804282096940754</v>
      </c>
      <c r="K13" s="163">
        <f t="shared" si="1"/>
        <v>25475</v>
      </c>
      <c r="L13" s="163">
        <f t="shared" si="2"/>
        <v>127963</v>
      </c>
      <c r="M13" s="164">
        <f t="shared" ref="M13:M20" si="4">H13/H$8</f>
        <v>0.45535647677634639</v>
      </c>
      <c r="N13" s="166"/>
    </row>
    <row r="14" spans="1:14" s="56" customFormat="1" x14ac:dyDescent="0.25">
      <c r="A14" s="161"/>
      <c r="B14" s="162" t="s">
        <v>113</v>
      </c>
      <c r="C14" s="163">
        <v>429764</v>
      </c>
      <c r="D14" s="163">
        <v>358642</v>
      </c>
      <c r="E14" s="163">
        <v>21237</v>
      </c>
      <c r="F14" s="163">
        <v>240568</v>
      </c>
      <c r="G14" s="163">
        <v>263827</v>
      </c>
      <c r="H14" s="163">
        <v>262153</v>
      </c>
      <c r="I14" s="164">
        <f t="shared" si="3"/>
        <v>-6.3450670325629899E-3</v>
      </c>
      <c r="J14" s="165">
        <f t="shared" si="0"/>
        <v>-0.26903987820723729</v>
      </c>
      <c r="K14" s="163">
        <f t="shared" si="1"/>
        <v>-1674</v>
      </c>
      <c r="L14" s="163">
        <f t="shared" si="2"/>
        <v>-96489</v>
      </c>
      <c r="M14" s="164">
        <f t="shared" si="4"/>
        <v>9.0962273728945595E-2</v>
      </c>
      <c r="N14" s="166"/>
    </row>
    <row r="15" spans="1:14" x14ac:dyDescent="0.25">
      <c r="A15" s="161"/>
      <c r="B15" s="162" t="s">
        <v>116</v>
      </c>
      <c r="C15" s="163">
        <v>84290</v>
      </c>
      <c r="D15" s="163">
        <v>88844</v>
      </c>
      <c r="E15" s="163">
        <v>15164</v>
      </c>
      <c r="F15" s="163">
        <v>96299</v>
      </c>
      <c r="G15" s="163">
        <v>113190</v>
      </c>
      <c r="H15" s="163">
        <v>108150</v>
      </c>
      <c r="I15" s="164">
        <f t="shared" si="3"/>
        <v>-4.4526901669758812E-2</v>
      </c>
      <c r="J15" s="165">
        <f t="shared" si="0"/>
        <v>0.21730223763000311</v>
      </c>
      <c r="K15" s="163">
        <f t="shared" si="1"/>
        <v>-5040</v>
      </c>
      <c r="L15" s="163">
        <f t="shared" si="2"/>
        <v>19306</v>
      </c>
      <c r="M15" s="164">
        <f t="shared" si="4"/>
        <v>3.7526062657247734E-2</v>
      </c>
      <c r="N15" s="79"/>
    </row>
    <row r="16" spans="1:14" x14ac:dyDescent="0.25">
      <c r="A16" s="161"/>
      <c r="B16" s="162" t="s">
        <v>123</v>
      </c>
      <c r="C16" s="163">
        <v>97146</v>
      </c>
      <c r="D16" s="163">
        <v>88702</v>
      </c>
      <c r="E16" s="163">
        <v>2488</v>
      </c>
      <c r="F16" s="163">
        <v>115899</v>
      </c>
      <c r="G16" s="163">
        <v>115626</v>
      </c>
      <c r="H16" s="163">
        <v>113758</v>
      </c>
      <c r="I16" s="164">
        <f t="shared" si="3"/>
        <v>-1.6155535952121491E-2</v>
      </c>
      <c r="J16" s="165">
        <f t="shared" si="0"/>
        <v>0.2824739013776465</v>
      </c>
      <c r="K16" s="163">
        <f t="shared" si="1"/>
        <v>-1868</v>
      </c>
      <c r="L16" s="163">
        <f t="shared" si="2"/>
        <v>25056</v>
      </c>
      <c r="M16" s="164">
        <f t="shared" si="4"/>
        <v>3.9471935605762253E-2</v>
      </c>
      <c r="N16" s="79"/>
    </row>
    <row r="17" spans="1:14" x14ac:dyDescent="0.25">
      <c r="A17" s="161"/>
      <c r="B17" s="162" t="s">
        <v>119</v>
      </c>
      <c r="C17" s="163">
        <v>84727</v>
      </c>
      <c r="D17" s="163">
        <v>85629</v>
      </c>
      <c r="E17" s="163">
        <v>61832</v>
      </c>
      <c r="F17" s="163">
        <v>86458</v>
      </c>
      <c r="G17" s="163">
        <v>88893</v>
      </c>
      <c r="H17" s="163">
        <v>86336</v>
      </c>
      <c r="I17" s="164">
        <f t="shared" si="3"/>
        <v>-2.8764919622467411E-2</v>
      </c>
      <c r="J17" s="165">
        <f t="shared" si="0"/>
        <v>8.2565485991894505E-3</v>
      </c>
      <c r="K17" s="163">
        <f t="shared" si="1"/>
        <v>-2557</v>
      </c>
      <c r="L17" s="163">
        <f t="shared" si="2"/>
        <v>707</v>
      </c>
      <c r="M17" s="164">
        <f t="shared" si="4"/>
        <v>2.9957005506945359E-2</v>
      </c>
      <c r="N17" s="79"/>
    </row>
    <row r="18" spans="1:14" x14ac:dyDescent="0.25">
      <c r="A18" s="161"/>
      <c r="B18" s="162" t="s">
        <v>128</v>
      </c>
      <c r="C18" s="163">
        <v>14832</v>
      </c>
      <c r="D18" s="163">
        <v>14799</v>
      </c>
      <c r="E18" s="163">
        <v>209</v>
      </c>
      <c r="F18" s="163">
        <v>10414</v>
      </c>
      <c r="G18" s="163">
        <v>9657</v>
      </c>
      <c r="H18" s="163">
        <v>12379</v>
      </c>
      <c r="I18" s="164">
        <f t="shared" si="3"/>
        <v>0.28186807497152322</v>
      </c>
      <c r="J18" s="165">
        <f t="shared" si="0"/>
        <v>-0.16352456247043723</v>
      </c>
      <c r="K18" s="163">
        <f t="shared" si="1"/>
        <v>2722</v>
      </c>
      <c r="L18" s="163">
        <f t="shared" si="2"/>
        <v>-2420</v>
      </c>
      <c r="M18" s="164">
        <f t="shared" si="4"/>
        <v>4.2952855259738298E-3</v>
      </c>
      <c r="N18" s="79"/>
    </row>
    <row r="19" spans="1:14" x14ac:dyDescent="0.25">
      <c r="A19" s="161" t="s">
        <v>144</v>
      </c>
      <c r="B19" s="162" t="s">
        <v>131</v>
      </c>
      <c r="C19" s="163">
        <v>10554</v>
      </c>
      <c r="D19" s="163">
        <v>9801</v>
      </c>
      <c r="E19" s="163">
        <v>556</v>
      </c>
      <c r="F19" s="163">
        <v>4668</v>
      </c>
      <c r="G19" s="163">
        <v>6780</v>
      </c>
      <c r="H19" s="163">
        <v>4347</v>
      </c>
      <c r="I19" s="164">
        <f t="shared" si="3"/>
        <v>-0.35884955752212389</v>
      </c>
      <c r="J19" s="165">
        <f t="shared" si="0"/>
        <v>-0.556473829201102</v>
      </c>
      <c r="K19" s="163">
        <f t="shared" si="1"/>
        <v>-2433</v>
      </c>
      <c r="L19" s="163">
        <f t="shared" si="2"/>
        <v>-5454</v>
      </c>
      <c r="M19" s="164">
        <f t="shared" si="4"/>
        <v>1.5083291203981128E-3</v>
      </c>
      <c r="N19" s="79"/>
    </row>
    <row r="20" spans="1:14" x14ac:dyDescent="0.25">
      <c r="A20" s="161" t="s">
        <v>145</v>
      </c>
      <c r="B20" s="168" t="s">
        <v>145</v>
      </c>
      <c r="C20" s="169">
        <f t="shared" ref="C20:H20" si="5">C12-SUM(C13:C19)</f>
        <v>517649</v>
      </c>
      <c r="D20" s="169">
        <f t="shared" si="5"/>
        <v>497865</v>
      </c>
      <c r="E20" s="169">
        <f t="shared" si="5"/>
        <v>75865</v>
      </c>
      <c r="F20" s="169">
        <f t="shared" si="5"/>
        <v>471525</v>
      </c>
      <c r="G20" s="169">
        <f t="shared" si="5"/>
        <v>506332</v>
      </c>
      <c r="H20" s="169">
        <f t="shared" si="5"/>
        <v>578184</v>
      </c>
      <c r="I20" s="170">
        <f t="shared" si="3"/>
        <v>0.14190689113072064</v>
      </c>
      <c r="J20" s="171">
        <f t="shared" si="0"/>
        <v>0.16132686571661004</v>
      </c>
      <c r="K20" s="169">
        <f>H20-G20</f>
        <v>71852</v>
      </c>
      <c r="L20" s="169">
        <f t="shared" si="2"/>
        <v>80319</v>
      </c>
      <c r="M20" s="170">
        <f t="shared" si="4"/>
        <v>0.20061922340654761</v>
      </c>
      <c r="N20" s="79"/>
    </row>
    <row r="21" spans="1:14" s="144" customFormat="1" x14ac:dyDescent="0.25">
      <c r="A21" s="161"/>
      <c r="B21" s="153" t="s">
        <v>44</v>
      </c>
      <c r="C21" s="151"/>
      <c r="D21" s="151"/>
      <c r="E21" s="151"/>
      <c r="F21" s="151"/>
      <c r="G21" s="151"/>
      <c r="H21" s="151"/>
      <c r="I21" s="151"/>
      <c r="J21" s="151"/>
      <c r="K21" s="151"/>
      <c r="L21" s="151"/>
      <c r="M21" s="151"/>
    </row>
    <row r="22" spans="1:14" x14ac:dyDescent="0.25">
      <c r="A22" s="161"/>
      <c r="B22" s="154" t="s">
        <v>68</v>
      </c>
      <c r="C22" s="176">
        <v>1054948</v>
      </c>
      <c r="D22" s="176">
        <v>1060717</v>
      </c>
      <c r="E22" s="176">
        <v>176625</v>
      </c>
      <c r="F22" s="176">
        <v>1013730</v>
      </c>
      <c r="G22" s="176">
        <v>1102818</v>
      </c>
      <c r="H22" s="176">
        <v>1101231</v>
      </c>
      <c r="I22" s="177">
        <f>IFERROR(H22/G22-1,"-")</f>
        <v>-1.4390407120666859E-3</v>
      </c>
      <c r="J22" s="177">
        <f>IFERROR(H22/D22-1,"-")</f>
        <v>3.8194919097176649E-2</v>
      </c>
      <c r="K22" s="176">
        <f>H22-G22</f>
        <v>-1587</v>
      </c>
      <c r="L22" s="176">
        <f>H22-D22</f>
        <v>40514</v>
      </c>
      <c r="M22" s="177">
        <f>H22/H$8</f>
        <v>0.38210692099957078</v>
      </c>
      <c r="N22" s="79"/>
    </row>
    <row r="23" spans="1:14" x14ac:dyDescent="0.25">
      <c r="A23" s="161" t="s">
        <v>96</v>
      </c>
      <c r="B23" s="157" t="s">
        <v>97</v>
      </c>
      <c r="C23" s="158">
        <v>103855</v>
      </c>
      <c r="D23" s="158">
        <v>109655</v>
      </c>
      <c r="E23" s="158">
        <v>76690</v>
      </c>
      <c r="F23" s="158">
        <v>90471</v>
      </c>
      <c r="G23" s="158">
        <v>81203</v>
      </c>
      <c r="H23" s="158">
        <v>74099</v>
      </c>
      <c r="I23" s="159">
        <f>IFERROR(H23/G23-1,"-")</f>
        <v>-8.7484452544856706E-2</v>
      </c>
      <c r="J23" s="160">
        <f t="shared" ref="J23:J34" si="6">IFERROR(H23/D23-1,"-")</f>
        <v>-0.32425334002097483</v>
      </c>
      <c r="K23" s="158">
        <f t="shared" ref="K23:K33" si="7">H23-G23</f>
        <v>-7104</v>
      </c>
      <c r="L23" s="158">
        <f t="shared" ref="L23:L34" si="8">H23-D23</f>
        <v>-35556</v>
      </c>
      <c r="M23" s="159">
        <f>H23/H$8</f>
        <v>2.5710991371607952E-2</v>
      </c>
      <c r="N23" s="79"/>
    </row>
    <row r="24" spans="1:14" x14ac:dyDescent="0.25">
      <c r="A24" s="161" t="s">
        <v>103</v>
      </c>
      <c r="B24" s="162" t="s">
        <v>103</v>
      </c>
      <c r="C24" s="163">
        <v>254840</v>
      </c>
      <c r="D24" s="163">
        <v>343442</v>
      </c>
      <c r="E24" s="163">
        <v>131807</v>
      </c>
      <c r="F24" s="163">
        <v>230301</v>
      </c>
      <c r="G24" s="163">
        <v>211250</v>
      </c>
      <c r="H24" s="163">
        <v>181841</v>
      </c>
      <c r="I24" s="164">
        <f>IFERROR(H24/G24-1,"-")</f>
        <v>-0.13921420118343197</v>
      </c>
      <c r="J24" s="165">
        <f t="shared" si="6"/>
        <v>-0.47053359810390105</v>
      </c>
      <c r="K24" s="163">
        <f t="shared" si="7"/>
        <v>-29409</v>
      </c>
      <c r="L24" s="163">
        <f t="shared" si="8"/>
        <v>-161601</v>
      </c>
      <c r="M24" s="164">
        <f>H24/H$8</f>
        <v>6.3095485526182021E-2</v>
      </c>
      <c r="N24" s="79"/>
    </row>
    <row r="25" spans="1:14" x14ac:dyDescent="0.25">
      <c r="A25" s="161" t="s">
        <v>100</v>
      </c>
      <c r="B25" s="162" t="s">
        <v>100</v>
      </c>
      <c r="C25" s="163">
        <v>434637</v>
      </c>
      <c r="D25" s="163">
        <v>492446</v>
      </c>
      <c r="E25" s="163">
        <v>156053</v>
      </c>
      <c r="F25" s="163">
        <v>516895</v>
      </c>
      <c r="G25" s="163">
        <v>445674</v>
      </c>
      <c r="H25" s="163">
        <v>419433</v>
      </c>
      <c r="I25" s="164">
        <f>IFERROR(H25/G25-1,"-")</f>
        <v>-5.8879360249868729E-2</v>
      </c>
      <c r="J25" s="165">
        <f t="shared" si="6"/>
        <v>-0.14826600276984681</v>
      </c>
      <c r="K25" s="163">
        <f t="shared" si="7"/>
        <v>-26241</v>
      </c>
      <c r="L25" s="163">
        <f t="shared" si="8"/>
        <v>-73013</v>
      </c>
      <c r="M25" s="164">
        <f>H25/H$8</f>
        <v>0.14553554358314738</v>
      </c>
      <c r="N25" s="79"/>
    </row>
    <row r="26" spans="1:14" x14ac:dyDescent="0.25">
      <c r="A26" s="161"/>
      <c r="B26" s="157" t="s">
        <v>107</v>
      </c>
      <c r="C26" s="158">
        <v>951093</v>
      </c>
      <c r="D26" s="158">
        <v>951062</v>
      </c>
      <c r="E26" s="158">
        <v>99935</v>
      </c>
      <c r="F26" s="158">
        <v>923259</v>
      </c>
      <c r="G26" s="158">
        <v>1021615</v>
      </c>
      <c r="H26" s="158">
        <v>1027132</v>
      </c>
      <c r="I26" s="159">
        <f>IFERROR(H26/G26-1,"-")</f>
        <v>5.4002730970081902E-3</v>
      </c>
      <c r="J26" s="160">
        <f t="shared" si="6"/>
        <v>7.9984270215821995E-2</v>
      </c>
      <c r="K26" s="158">
        <f t="shared" si="7"/>
        <v>5517</v>
      </c>
      <c r="L26" s="158">
        <f t="shared" si="8"/>
        <v>76070</v>
      </c>
      <c r="M26" s="159">
        <f>H26/H$8</f>
        <v>0.35639592962796285</v>
      </c>
      <c r="N26" s="79"/>
    </row>
    <row r="27" spans="1:14" s="56" customFormat="1" x14ac:dyDescent="0.25">
      <c r="A27" s="161"/>
      <c r="B27" s="162" t="s">
        <v>110</v>
      </c>
      <c r="C27" s="163">
        <v>482051</v>
      </c>
      <c r="D27" s="163">
        <v>493327</v>
      </c>
      <c r="E27" s="163">
        <v>30969</v>
      </c>
      <c r="F27" s="163">
        <v>521203</v>
      </c>
      <c r="G27" s="163">
        <v>595081</v>
      </c>
      <c r="H27" s="163">
        <v>589108</v>
      </c>
      <c r="I27" s="164">
        <f t="shared" ref="I27:I34" si="9">IFERROR(H27/G27-1,"-")</f>
        <v>-1.0037289041323838E-2</v>
      </c>
      <c r="J27" s="165">
        <f t="shared" si="6"/>
        <v>0.19415316818256456</v>
      </c>
      <c r="K27" s="163">
        <f t="shared" si="7"/>
        <v>-5973</v>
      </c>
      <c r="L27" s="163">
        <f t="shared" si="8"/>
        <v>95781</v>
      </c>
      <c r="M27" s="164">
        <f t="shared" ref="M27:M34" si="10">H27/H$8</f>
        <v>0.20440965066931022</v>
      </c>
      <c r="N27" s="166"/>
    </row>
    <row r="28" spans="1:14" s="56" customFormat="1" x14ac:dyDescent="0.25">
      <c r="A28" s="161"/>
      <c r="B28" s="162" t="s">
        <v>113</v>
      </c>
      <c r="C28" s="163">
        <v>176051</v>
      </c>
      <c r="D28" s="163">
        <v>156073</v>
      </c>
      <c r="E28" s="163">
        <v>9512</v>
      </c>
      <c r="F28" s="163">
        <v>113401</v>
      </c>
      <c r="G28" s="163">
        <v>116505</v>
      </c>
      <c r="H28" s="163">
        <v>114433</v>
      </c>
      <c r="I28" s="164">
        <f t="shared" si="9"/>
        <v>-1.7784644435861141E-2</v>
      </c>
      <c r="J28" s="165">
        <f t="shared" si="6"/>
        <v>-0.26679822903384953</v>
      </c>
      <c r="K28" s="163">
        <f t="shared" si="7"/>
        <v>-2072</v>
      </c>
      <c r="L28" s="163">
        <f t="shared" si="8"/>
        <v>-41640</v>
      </c>
      <c r="M28" s="164">
        <f t="shared" si="10"/>
        <v>3.9706148202097363E-2</v>
      </c>
      <c r="N28" s="166"/>
    </row>
    <row r="29" spans="1:14" x14ac:dyDescent="0.25">
      <c r="A29" s="161"/>
      <c r="B29" s="162" t="s">
        <v>116</v>
      </c>
      <c r="C29" s="163">
        <v>25514</v>
      </c>
      <c r="D29" s="163">
        <v>27743</v>
      </c>
      <c r="E29" s="163">
        <v>6369</v>
      </c>
      <c r="F29" s="163">
        <v>31016</v>
      </c>
      <c r="G29" s="163">
        <v>38569</v>
      </c>
      <c r="H29" s="163">
        <v>23019</v>
      </c>
      <c r="I29" s="164">
        <f t="shared" si="9"/>
        <v>-0.40317353314838345</v>
      </c>
      <c r="J29" s="165">
        <f t="shared" si="6"/>
        <v>-0.17027718703817174</v>
      </c>
      <c r="K29" s="163">
        <f t="shared" si="7"/>
        <v>-15550</v>
      </c>
      <c r="L29" s="163">
        <f t="shared" si="8"/>
        <v>-4724</v>
      </c>
      <c r="M29" s="164">
        <f t="shared" si="10"/>
        <v>7.9871700074635749E-3</v>
      </c>
      <c r="N29" s="79"/>
    </row>
    <row r="30" spans="1:14" x14ac:dyDescent="0.25">
      <c r="A30" s="161"/>
      <c r="B30" s="162" t="s">
        <v>123</v>
      </c>
      <c r="C30" s="163">
        <v>40432</v>
      </c>
      <c r="D30" s="163">
        <v>39886</v>
      </c>
      <c r="E30" s="163">
        <v>1185</v>
      </c>
      <c r="F30" s="163">
        <v>49325</v>
      </c>
      <c r="G30" s="163">
        <v>46471</v>
      </c>
      <c r="H30" s="163">
        <v>46544</v>
      </c>
      <c r="I30" s="164">
        <f t="shared" si="9"/>
        <v>1.5708721568290507E-3</v>
      </c>
      <c r="J30" s="165">
        <f t="shared" si="6"/>
        <v>0.16692573835430968</v>
      </c>
      <c r="K30" s="163">
        <f t="shared" si="7"/>
        <v>73</v>
      </c>
      <c r="L30" s="163">
        <f t="shared" si="8"/>
        <v>6658</v>
      </c>
      <c r="M30" s="164">
        <f t="shared" si="10"/>
        <v>1.6149912716772432E-2</v>
      </c>
      <c r="N30" s="79"/>
    </row>
    <row r="31" spans="1:14" x14ac:dyDescent="0.25">
      <c r="A31" s="161"/>
      <c r="B31" s="162" t="s">
        <v>119</v>
      </c>
      <c r="C31" s="163">
        <v>39017</v>
      </c>
      <c r="D31" s="163">
        <v>39139</v>
      </c>
      <c r="E31" s="163">
        <v>28906</v>
      </c>
      <c r="F31" s="163">
        <v>44068</v>
      </c>
      <c r="G31" s="163">
        <v>43792</v>
      </c>
      <c r="H31" s="163">
        <v>44746</v>
      </c>
      <c r="I31" s="164">
        <f t="shared" si="9"/>
        <v>2.1784800876872401E-2</v>
      </c>
      <c r="J31" s="165">
        <f t="shared" si="6"/>
        <v>0.14325864227496865</v>
      </c>
      <c r="K31" s="163">
        <f t="shared" si="7"/>
        <v>954</v>
      </c>
      <c r="L31" s="163">
        <f t="shared" si="8"/>
        <v>5607</v>
      </c>
      <c r="M31" s="164">
        <f t="shared" si="10"/>
        <v>1.5526039756460538E-2</v>
      </c>
      <c r="N31" s="79"/>
    </row>
    <row r="32" spans="1:14" x14ac:dyDescent="0.25">
      <c r="A32" s="161"/>
      <c r="B32" s="162" t="s">
        <v>128</v>
      </c>
      <c r="C32" s="163">
        <v>7645</v>
      </c>
      <c r="D32" s="163">
        <v>6957</v>
      </c>
      <c r="E32" s="163">
        <v>1</v>
      </c>
      <c r="F32" s="163">
        <v>3488</v>
      </c>
      <c r="G32" s="163">
        <v>4749</v>
      </c>
      <c r="H32" s="163">
        <v>6214</v>
      </c>
      <c r="I32" s="164">
        <f t="shared" si="9"/>
        <v>0.30848599705201085</v>
      </c>
      <c r="J32" s="165">
        <f t="shared" si="6"/>
        <v>-0.10679890757510424</v>
      </c>
      <c r="K32" s="163">
        <f t="shared" si="7"/>
        <v>1465</v>
      </c>
      <c r="L32" s="163">
        <f t="shared" si="8"/>
        <v>-743</v>
      </c>
      <c r="M32" s="164">
        <f t="shared" si="10"/>
        <v>2.1561438127798188E-3</v>
      </c>
      <c r="N32" s="79"/>
    </row>
    <row r="33" spans="1:14" x14ac:dyDescent="0.25">
      <c r="A33" s="161" t="s">
        <v>144</v>
      </c>
      <c r="B33" s="162" t="s">
        <v>131</v>
      </c>
      <c r="C33" s="163">
        <v>4663</v>
      </c>
      <c r="D33" s="163">
        <v>4582</v>
      </c>
      <c r="E33" s="163">
        <v>110</v>
      </c>
      <c r="F33" s="163">
        <v>2693</v>
      </c>
      <c r="G33" s="163">
        <v>3027</v>
      </c>
      <c r="H33" s="163">
        <v>1246</v>
      </c>
      <c r="I33" s="164">
        <f t="shared" si="9"/>
        <v>-0.58837132474397091</v>
      </c>
      <c r="J33" s="165">
        <f t="shared" si="6"/>
        <v>-0.72806634657354863</v>
      </c>
      <c r="K33" s="163">
        <f t="shared" si="7"/>
        <v>-1781</v>
      </c>
      <c r="L33" s="163">
        <f t="shared" si="8"/>
        <v>-3336</v>
      </c>
      <c r="M33" s="164">
        <f t="shared" si="10"/>
        <v>4.3233910375340431E-4</v>
      </c>
      <c r="N33" s="79"/>
    </row>
    <row r="34" spans="1:14" x14ac:dyDescent="0.25">
      <c r="A34" s="161" t="s">
        <v>145</v>
      </c>
      <c r="B34" s="168" t="s">
        <v>145</v>
      </c>
      <c r="C34" s="169">
        <f t="shared" ref="C34:H34" si="11">C26-SUM(C27:C33)</f>
        <v>175720</v>
      </c>
      <c r="D34" s="169">
        <f t="shared" si="11"/>
        <v>183355</v>
      </c>
      <c r="E34" s="169">
        <f t="shared" si="11"/>
        <v>22883</v>
      </c>
      <c r="F34" s="169">
        <f t="shared" si="11"/>
        <v>158065</v>
      </c>
      <c r="G34" s="169">
        <f t="shared" si="11"/>
        <v>173421</v>
      </c>
      <c r="H34" s="169">
        <f t="shared" si="11"/>
        <v>201822</v>
      </c>
      <c r="I34" s="170">
        <f t="shared" si="9"/>
        <v>0.16376909370837445</v>
      </c>
      <c r="J34" s="171">
        <f t="shared" si="6"/>
        <v>0.10071718796869455</v>
      </c>
      <c r="K34" s="169">
        <f>H34-G34</f>
        <v>28401</v>
      </c>
      <c r="L34" s="169">
        <f t="shared" si="8"/>
        <v>18467</v>
      </c>
      <c r="M34" s="170">
        <f t="shared" si="10"/>
        <v>7.0028525359325494E-2</v>
      </c>
      <c r="N34" s="79"/>
    </row>
    <row r="35" spans="1:14" s="144" customFormat="1" x14ac:dyDescent="0.25">
      <c r="A35" s="161"/>
      <c r="B35" s="153" t="s">
        <v>45</v>
      </c>
      <c r="C35" s="151"/>
      <c r="D35" s="151"/>
      <c r="E35" s="151"/>
      <c r="F35" s="151"/>
      <c r="G35" s="151"/>
      <c r="H35" s="151"/>
      <c r="I35" s="151"/>
      <c r="J35" s="151"/>
      <c r="K35" s="151"/>
      <c r="L35" s="151"/>
      <c r="M35" s="151"/>
    </row>
    <row r="36" spans="1:14" x14ac:dyDescent="0.25">
      <c r="A36" s="161"/>
      <c r="B36" s="154" t="s">
        <v>68</v>
      </c>
      <c r="C36" s="176">
        <v>832961</v>
      </c>
      <c r="D36" s="176">
        <v>796998</v>
      </c>
      <c r="E36" s="176">
        <v>105790</v>
      </c>
      <c r="F36" s="176">
        <v>748642</v>
      </c>
      <c r="G36" s="176">
        <v>799868</v>
      </c>
      <c r="H36" s="176">
        <v>807680</v>
      </c>
      <c r="I36" s="177">
        <f>IFERROR(H36/G36-1,"-")</f>
        <v>9.7666114908960822E-3</v>
      </c>
      <c r="J36" s="177">
        <f>IFERROR(H36/D36-1,"-")</f>
        <v>1.3402793984426564E-2</v>
      </c>
      <c r="K36" s="176">
        <f>H36-G36</f>
        <v>7812</v>
      </c>
      <c r="L36" s="176">
        <f>H36-D36</f>
        <v>10682</v>
      </c>
      <c r="M36" s="177">
        <f>H36/H$8</f>
        <v>0.28025011823398843</v>
      </c>
      <c r="N36" s="79"/>
    </row>
    <row r="37" spans="1:14" x14ac:dyDescent="0.25">
      <c r="A37" s="161" t="s">
        <v>96</v>
      </c>
      <c r="B37" s="157" t="s">
        <v>97</v>
      </c>
      <c r="C37" s="158">
        <v>72250</v>
      </c>
      <c r="D37" s="158">
        <v>44639</v>
      </c>
      <c r="E37" s="158">
        <v>30758</v>
      </c>
      <c r="F37" s="158">
        <v>45509</v>
      </c>
      <c r="G37" s="158">
        <v>54675</v>
      </c>
      <c r="H37" s="158">
        <v>51020</v>
      </c>
      <c r="I37" s="159">
        <f>IFERROR(H37/G37-1,"-")</f>
        <v>-6.6849565614997664E-2</v>
      </c>
      <c r="J37" s="160">
        <f t="shared" ref="J37:J48" si="12">IFERROR(H37/D37-1,"-")</f>
        <v>0.14294675059925188</v>
      </c>
      <c r="K37" s="158">
        <f t="shared" ref="K37:K47" si="13">H37-G37</f>
        <v>-3655</v>
      </c>
      <c r="L37" s="158">
        <f t="shared" ref="L37:L48" si="14">H37-D37</f>
        <v>6381</v>
      </c>
      <c r="M37" s="159">
        <f>H37/H$8</f>
        <v>1.7703002466692368E-2</v>
      </c>
      <c r="N37" s="79"/>
    </row>
    <row r="38" spans="1:14" x14ac:dyDescent="0.25">
      <c r="A38" s="161" t="s">
        <v>103</v>
      </c>
      <c r="B38" s="162" t="s">
        <v>103</v>
      </c>
      <c r="C38" s="163">
        <v>168725</v>
      </c>
      <c r="D38" s="163">
        <v>168921</v>
      </c>
      <c r="E38" s="163">
        <v>66491</v>
      </c>
      <c r="F38" s="163">
        <v>132386</v>
      </c>
      <c r="G38" s="163">
        <v>167419</v>
      </c>
      <c r="H38" s="163">
        <v>197752</v>
      </c>
      <c r="I38" s="164">
        <f>IFERROR(H38/G38-1,"-")</f>
        <v>0.18118015279030453</v>
      </c>
      <c r="J38" s="165">
        <f t="shared" si="12"/>
        <v>0.17067741725421937</v>
      </c>
      <c r="K38" s="163">
        <f t="shared" si="13"/>
        <v>30333</v>
      </c>
      <c r="L38" s="163">
        <f t="shared" si="14"/>
        <v>28831</v>
      </c>
      <c r="M38" s="164">
        <f>H38/H$8</f>
        <v>6.8616310148830822E-2</v>
      </c>
      <c r="N38" s="79"/>
    </row>
    <row r="39" spans="1:14" x14ac:dyDescent="0.25">
      <c r="A39" s="161" t="s">
        <v>100</v>
      </c>
      <c r="B39" s="162" t="s">
        <v>100</v>
      </c>
      <c r="C39" s="163">
        <v>379081</v>
      </c>
      <c r="D39" s="163">
        <v>316259</v>
      </c>
      <c r="E39" s="163">
        <v>108103</v>
      </c>
      <c r="F39" s="163">
        <v>275025</v>
      </c>
      <c r="G39" s="163">
        <v>283040</v>
      </c>
      <c r="H39" s="163">
        <v>241047</v>
      </c>
      <c r="I39" s="164">
        <f>IFERROR(H39/G39-1,"-")</f>
        <v>-0.14836418880723568</v>
      </c>
      <c r="J39" s="165">
        <f t="shared" si="12"/>
        <v>-0.23781773799322703</v>
      </c>
      <c r="K39" s="163">
        <f t="shared" si="13"/>
        <v>-41993</v>
      </c>
      <c r="L39" s="163">
        <f t="shared" si="14"/>
        <v>-75212</v>
      </c>
      <c r="M39" s="164">
        <f>H39/H$8</f>
        <v>8.3638879568576921E-2</v>
      </c>
      <c r="N39" s="79"/>
    </row>
    <row r="40" spans="1:14" x14ac:dyDescent="0.25">
      <c r="A40" s="161"/>
      <c r="B40" s="157" t="s">
        <v>107</v>
      </c>
      <c r="C40" s="158">
        <v>760711</v>
      </c>
      <c r="D40" s="158">
        <v>752359</v>
      </c>
      <c r="E40" s="158">
        <v>75032</v>
      </c>
      <c r="F40" s="158">
        <v>703133</v>
      </c>
      <c r="G40" s="158">
        <v>745193</v>
      </c>
      <c r="H40" s="158">
        <v>756660</v>
      </c>
      <c r="I40" s="159">
        <f>IFERROR(H40/G40-1,"-")</f>
        <v>1.5387959897637193E-2</v>
      </c>
      <c r="J40" s="160">
        <f t="shared" si="12"/>
        <v>5.7166857843131691E-3</v>
      </c>
      <c r="K40" s="158">
        <f t="shared" si="13"/>
        <v>11467</v>
      </c>
      <c r="L40" s="158">
        <f t="shared" si="14"/>
        <v>4301</v>
      </c>
      <c r="M40" s="159">
        <f>H40/H$8</f>
        <v>0.26254711576729606</v>
      </c>
      <c r="N40" s="79"/>
    </row>
    <row r="41" spans="1:14" s="56" customFormat="1" x14ac:dyDescent="0.25">
      <c r="A41" s="161"/>
      <c r="B41" s="162" t="s">
        <v>110</v>
      </c>
      <c r="C41" s="163">
        <v>451780</v>
      </c>
      <c r="D41" s="163">
        <v>483251</v>
      </c>
      <c r="E41" s="163">
        <v>30652</v>
      </c>
      <c r="F41" s="163">
        <v>420455</v>
      </c>
      <c r="G41" s="163">
        <v>441166</v>
      </c>
      <c r="H41" s="163">
        <v>457809</v>
      </c>
      <c r="I41" s="164">
        <f t="shared" ref="I41:I48" si="15">IFERROR(H41/G41-1,"-")</f>
        <v>3.7725028674013839E-2</v>
      </c>
      <c r="J41" s="165">
        <f t="shared" si="12"/>
        <v>-5.264758893411503E-2</v>
      </c>
      <c r="K41" s="163">
        <f t="shared" si="13"/>
        <v>16643</v>
      </c>
      <c r="L41" s="163">
        <f t="shared" si="14"/>
        <v>-25442</v>
      </c>
      <c r="M41" s="164">
        <f t="shared" ref="M41:M48" si="16">H41/H$8</f>
        <v>0.15885131039345288</v>
      </c>
      <c r="N41" s="166"/>
    </row>
    <row r="42" spans="1:14" s="56" customFormat="1" x14ac:dyDescent="0.25">
      <c r="A42" s="161"/>
      <c r="B42" s="162" t="s">
        <v>113</v>
      </c>
      <c r="C42" s="163">
        <v>49578</v>
      </c>
      <c r="D42" s="163">
        <v>34634</v>
      </c>
      <c r="E42" s="163">
        <v>2711</v>
      </c>
      <c r="F42" s="163">
        <v>20951</v>
      </c>
      <c r="G42" s="163">
        <v>27751</v>
      </c>
      <c r="H42" s="163">
        <v>23085</v>
      </c>
      <c r="I42" s="164">
        <f t="shared" si="15"/>
        <v>-0.16813808511404993</v>
      </c>
      <c r="J42" s="165">
        <f t="shared" si="12"/>
        <v>-0.33345845123289253</v>
      </c>
      <c r="K42" s="163">
        <f t="shared" si="13"/>
        <v>-4666</v>
      </c>
      <c r="L42" s="163">
        <f t="shared" si="14"/>
        <v>-11549</v>
      </c>
      <c r="M42" s="164">
        <f t="shared" si="16"/>
        <v>8.0100707946607862E-3</v>
      </c>
      <c r="N42" s="166"/>
    </row>
    <row r="43" spans="1:14" x14ac:dyDescent="0.25">
      <c r="A43" s="161"/>
      <c r="B43" s="162" t="s">
        <v>116</v>
      </c>
      <c r="C43" s="163">
        <v>10679</v>
      </c>
      <c r="D43" s="163">
        <v>12071</v>
      </c>
      <c r="E43" s="163">
        <v>2424</v>
      </c>
      <c r="F43" s="163">
        <v>15077</v>
      </c>
      <c r="G43" s="163">
        <v>19988</v>
      </c>
      <c r="H43" s="163">
        <v>18074</v>
      </c>
      <c r="I43" s="164">
        <f t="shared" si="15"/>
        <v>-9.5757454472683579E-2</v>
      </c>
      <c r="J43" s="165">
        <f t="shared" si="12"/>
        <v>0.49730759671941005</v>
      </c>
      <c r="K43" s="163">
        <f t="shared" si="13"/>
        <v>-1914</v>
      </c>
      <c r="L43" s="163">
        <f t="shared" si="14"/>
        <v>6003</v>
      </c>
      <c r="M43" s="164">
        <f t="shared" si="16"/>
        <v>6.2713458757937641E-3</v>
      </c>
      <c r="N43" s="79"/>
    </row>
    <row r="44" spans="1:14" x14ac:dyDescent="0.25">
      <c r="A44" s="161"/>
      <c r="B44" s="162" t="s">
        <v>123</v>
      </c>
      <c r="C44" s="163">
        <v>42822</v>
      </c>
      <c r="D44" s="163">
        <v>36804</v>
      </c>
      <c r="E44" s="163">
        <v>592</v>
      </c>
      <c r="F44" s="163">
        <v>48135</v>
      </c>
      <c r="G44" s="163">
        <v>45100</v>
      </c>
      <c r="H44" s="163">
        <v>42045</v>
      </c>
      <c r="I44" s="164">
        <f t="shared" si="15"/>
        <v>-6.7738359201773846E-2</v>
      </c>
      <c r="J44" s="165">
        <f t="shared" si="12"/>
        <v>0.14240299967394843</v>
      </c>
      <c r="K44" s="163">
        <f t="shared" si="13"/>
        <v>-3055</v>
      </c>
      <c r="L44" s="163">
        <f t="shared" si="14"/>
        <v>5241</v>
      </c>
      <c r="M44" s="164">
        <f t="shared" si="16"/>
        <v>1.4588842389495895E-2</v>
      </c>
      <c r="N44" s="79"/>
    </row>
    <row r="45" spans="1:14" x14ac:dyDescent="0.25">
      <c r="A45" s="161"/>
      <c r="B45" s="162" t="s">
        <v>119</v>
      </c>
      <c r="C45" s="163">
        <v>28161</v>
      </c>
      <c r="D45" s="163">
        <v>31071</v>
      </c>
      <c r="E45" s="163">
        <v>17306</v>
      </c>
      <c r="F45" s="163">
        <v>28789</v>
      </c>
      <c r="G45" s="163">
        <v>33205</v>
      </c>
      <c r="H45" s="163">
        <v>26955</v>
      </c>
      <c r="I45" s="164">
        <f t="shared" si="15"/>
        <v>-0.18822466496009638</v>
      </c>
      <c r="J45" s="165">
        <f t="shared" si="12"/>
        <v>-0.13247079270058892</v>
      </c>
      <c r="K45" s="163">
        <f t="shared" si="13"/>
        <v>-6250</v>
      </c>
      <c r="L45" s="163">
        <f t="shared" si="14"/>
        <v>-4116</v>
      </c>
      <c r="M45" s="164">
        <f t="shared" si="16"/>
        <v>9.35288968031542E-3</v>
      </c>
      <c r="N45" s="79"/>
    </row>
    <row r="46" spans="1:14" x14ac:dyDescent="0.25">
      <c r="A46" s="161"/>
      <c r="B46" s="162" t="s">
        <v>128</v>
      </c>
      <c r="C46" s="163">
        <v>3759</v>
      </c>
      <c r="D46" s="163">
        <v>5452</v>
      </c>
      <c r="E46" s="163">
        <v>22</v>
      </c>
      <c r="F46" s="163">
        <v>4878</v>
      </c>
      <c r="G46" s="163">
        <v>3511</v>
      </c>
      <c r="H46" s="163">
        <v>4211</v>
      </c>
      <c r="I46" s="164">
        <f t="shared" si="15"/>
        <v>0.19937339789233843</v>
      </c>
      <c r="J46" s="165">
        <f t="shared" si="12"/>
        <v>-0.22762289068231845</v>
      </c>
      <c r="K46" s="163">
        <f t="shared" si="13"/>
        <v>700</v>
      </c>
      <c r="L46" s="163">
        <f t="shared" si="14"/>
        <v>-1241</v>
      </c>
      <c r="M46" s="164">
        <f t="shared" si="16"/>
        <v>1.4611396195068906E-3</v>
      </c>
      <c r="N46" s="79"/>
    </row>
    <row r="47" spans="1:14" x14ac:dyDescent="0.25">
      <c r="A47" s="161" t="s">
        <v>144</v>
      </c>
      <c r="B47" s="162" t="s">
        <v>131</v>
      </c>
      <c r="C47" s="163">
        <v>4016</v>
      </c>
      <c r="D47" s="163">
        <v>3446</v>
      </c>
      <c r="E47" s="163">
        <v>200</v>
      </c>
      <c r="F47" s="163">
        <v>881</v>
      </c>
      <c r="G47" s="163">
        <v>2697</v>
      </c>
      <c r="H47" s="163">
        <v>805</v>
      </c>
      <c r="I47" s="164">
        <f t="shared" si="15"/>
        <v>-0.7015202076381164</v>
      </c>
      <c r="J47" s="165">
        <f t="shared" si="12"/>
        <v>-0.76639582124201977</v>
      </c>
      <c r="K47" s="163">
        <f t="shared" si="13"/>
        <v>-1892</v>
      </c>
      <c r="L47" s="163">
        <f t="shared" si="14"/>
        <v>-2641</v>
      </c>
      <c r="M47" s="164">
        <f t="shared" si="16"/>
        <v>2.79320207481132E-4</v>
      </c>
      <c r="N47" s="79"/>
    </row>
    <row r="48" spans="1:14" x14ac:dyDescent="0.25">
      <c r="A48" s="161" t="s">
        <v>145</v>
      </c>
      <c r="B48" s="168" t="s">
        <v>145</v>
      </c>
      <c r="C48" s="169">
        <f t="shared" ref="C48:H48" si="17">C40-SUM(C41:C47)</f>
        <v>169916</v>
      </c>
      <c r="D48" s="169">
        <f t="shared" si="17"/>
        <v>145630</v>
      </c>
      <c r="E48" s="169">
        <f t="shared" si="17"/>
        <v>21125</v>
      </c>
      <c r="F48" s="169">
        <f t="shared" si="17"/>
        <v>163967</v>
      </c>
      <c r="G48" s="169">
        <f t="shared" si="17"/>
        <v>171775</v>
      </c>
      <c r="H48" s="169">
        <f t="shared" si="17"/>
        <v>183676</v>
      </c>
      <c r="I48" s="170">
        <f t="shared" si="15"/>
        <v>6.9282491631494691E-2</v>
      </c>
      <c r="J48" s="171">
        <f t="shared" si="12"/>
        <v>0.26125111584151628</v>
      </c>
      <c r="K48" s="169">
        <f>H48-G48</f>
        <v>11901</v>
      </c>
      <c r="L48" s="169">
        <f t="shared" si="14"/>
        <v>38046</v>
      </c>
      <c r="M48" s="170">
        <f t="shared" si="16"/>
        <v>6.3732196806589314E-2</v>
      </c>
      <c r="N48" s="79"/>
    </row>
    <row r="49" spans="1:14" s="144" customFormat="1" x14ac:dyDescent="0.25">
      <c r="A49" s="161"/>
      <c r="B49" s="153" t="s">
        <v>46</v>
      </c>
      <c r="C49" s="151"/>
      <c r="D49" s="151"/>
      <c r="E49" s="151"/>
      <c r="F49" s="151"/>
      <c r="G49" s="151"/>
      <c r="H49" s="151"/>
      <c r="I49" s="151"/>
      <c r="J49" s="151"/>
      <c r="K49" s="151"/>
      <c r="L49" s="151"/>
      <c r="M49" s="151"/>
    </row>
    <row r="50" spans="1:14" x14ac:dyDescent="0.25">
      <c r="A50" s="161"/>
      <c r="B50" s="154" t="s">
        <v>68</v>
      </c>
      <c r="C50" s="176">
        <v>19773</v>
      </c>
      <c r="D50" s="176">
        <v>20450</v>
      </c>
      <c r="E50" s="176">
        <v>1029</v>
      </c>
      <c r="F50" s="176">
        <v>13618</v>
      </c>
      <c r="G50" s="176">
        <v>13736</v>
      </c>
      <c r="H50" s="176">
        <v>17692</v>
      </c>
      <c r="I50" s="177">
        <f>IFERROR(H50/G50-1,"-")</f>
        <v>0.28800232964472916</v>
      </c>
      <c r="J50" s="177">
        <f>IFERROR(H50/D50-1,"-")</f>
        <v>-0.13486552567237164</v>
      </c>
      <c r="K50" s="176">
        <f>H50-G50</f>
        <v>3956</v>
      </c>
      <c r="L50" s="176">
        <f>H50-D50</f>
        <v>-2758</v>
      </c>
      <c r="M50" s="177">
        <f>H50/H$8</f>
        <v>6.1387988953493008E-3</v>
      </c>
      <c r="N50" s="79"/>
    </row>
    <row r="51" spans="1:14" x14ac:dyDescent="0.25">
      <c r="A51" s="161" t="s">
        <v>96</v>
      </c>
      <c r="B51" s="157" t="s">
        <v>97</v>
      </c>
      <c r="C51" s="158">
        <v>3070</v>
      </c>
      <c r="D51" s="158">
        <v>4209</v>
      </c>
      <c r="E51" s="158">
        <v>485</v>
      </c>
      <c r="F51" s="158">
        <v>1825</v>
      </c>
      <c r="G51" s="158">
        <v>3190</v>
      </c>
      <c r="H51" s="158">
        <v>2770</v>
      </c>
      <c r="I51" s="159">
        <f>IFERROR(H51/G51-1,"-")</f>
        <v>-0.13166144200626961</v>
      </c>
      <c r="J51" s="160">
        <f t="shared" ref="J51:J62" si="18">IFERROR(H51/D51-1,"-")</f>
        <v>-0.34188643383226425</v>
      </c>
      <c r="K51" s="158">
        <f t="shared" ref="K51:K61" si="19">H51-G51</f>
        <v>-420</v>
      </c>
      <c r="L51" s="158">
        <f t="shared" ref="L51:L62" si="20">H51-D51</f>
        <v>-1439</v>
      </c>
      <c r="M51" s="159">
        <f>H51/H$8</f>
        <v>9.6113909903445421E-4</v>
      </c>
      <c r="N51" s="79"/>
    </row>
    <row r="52" spans="1:14" x14ac:dyDescent="0.25">
      <c r="A52" s="161" t="s">
        <v>103</v>
      </c>
      <c r="B52" s="162" t="s">
        <v>103</v>
      </c>
      <c r="C52" s="163">
        <v>15466</v>
      </c>
      <c r="D52" s="163">
        <v>10908</v>
      </c>
      <c r="E52" s="163">
        <v>4149</v>
      </c>
      <c r="F52" s="163">
        <v>4038</v>
      </c>
      <c r="G52" s="163">
        <v>21028</v>
      </c>
      <c r="H52" s="163">
        <v>11806</v>
      </c>
      <c r="I52" s="164">
        <f>IFERROR(H52/G52-1,"-")</f>
        <v>-0.43855811299220082</v>
      </c>
      <c r="J52" s="165">
        <f t="shared" si="18"/>
        <v>8.2324899156582365E-2</v>
      </c>
      <c r="K52" s="163">
        <f t="shared" si="19"/>
        <v>-9222</v>
      </c>
      <c r="L52" s="163">
        <f t="shared" si="20"/>
        <v>898</v>
      </c>
      <c r="M52" s="164">
        <f>H52/H$8</f>
        <v>4.0964650553071361E-3</v>
      </c>
      <c r="N52" s="79"/>
    </row>
    <row r="53" spans="1:14" x14ac:dyDescent="0.25">
      <c r="A53" s="161" t="s">
        <v>100</v>
      </c>
      <c r="B53" s="162" t="s">
        <v>100</v>
      </c>
      <c r="C53" s="163">
        <v>11534</v>
      </c>
      <c r="D53" s="163">
        <v>13487</v>
      </c>
      <c r="E53" s="163">
        <v>1733</v>
      </c>
      <c r="F53" s="163">
        <v>9189</v>
      </c>
      <c r="G53" s="163">
        <v>10442</v>
      </c>
      <c r="H53" s="163">
        <v>9081</v>
      </c>
      <c r="I53" s="164">
        <f>IFERROR(H53/G53-1,"-")</f>
        <v>-0.1303390155142693</v>
      </c>
      <c r="J53" s="165">
        <f t="shared" si="18"/>
        <v>-0.32668495588344326</v>
      </c>
      <c r="K53" s="163">
        <f t="shared" si="19"/>
        <v>-1361</v>
      </c>
      <c r="L53" s="163">
        <f t="shared" si="20"/>
        <v>-4406</v>
      </c>
      <c r="M53" s="164">
        <f>H53/H$8</f>
        <v>3.150940129361689E-3</v>
      </c>
      <c r="N53" s="79"/>
    </row>
    <row r="54" spans="1:14" x14ac:dyDescent="0.25">
      <c r="A54" s="161"/>
      <c r="B54" s="157" t="s">
        <v>107</v>
      </c>
      <c r="C54" s="158">
        <v>16703</v>
      </c>
      <c r="D54" s="158">
        <v>16241</v>
      </c>
      <c r="E54" s="158">
        <v>544</v>
      </c>
      <c r="F54" s="158">
        <v>11793</v>
      </c>
      <c r="G54" s="158">
        <v>10546</v>
      </c>
      <c r="H54" s="158">
        <v>14922</v>
      </c>
      <c r="I54" s="159">
        <f>IFERROR(H54/G54-1,"-")</f>
        <v>0.41494405461786465</v>
      </c>
      <c r="J54" s="160">
        <f t="shared" si="18"/>
        <v>-8.1214210947601728E-2</v>
      </c>
      <c r="K54" s="158">
        <f t="shared" si="19"/>
        <v>4376</v>
      </c>
      <c r="L54" s="158">
        <f t="shared" si="20"/>
        <v>-1319</v>
      </c>
      <c r="M54" s="159">
        <f>H54/H$8</f>
        <v>5.1776597963148468E-3</v>
      </c>
      <c r="N54" s="79"/>
    </row>
    <row r="55" spans="1:14" s="56" customFormat="1" x14ac:dyDescent="0.25">
      <c r="A55" s="161"/>
      <c r="B55" s="162" t="s">
        <v>110</v>
      </c>
      <c r="C55" s="163">
        <v>6679</v>
      </c>
      <c r="D55" s="163">
        <v>7130</v>
      </c>
      <c r="E55" s="163">
        <v>119</v>
      </c>
      <c r="F55" s="163">
        <v>5315</v>
      </c>
      <c r="G55" s="163">
        <v>5343</v>
      </c>
      <c r="H55" s="163">
        <v>6777</v>
      </c>
      <c r="I55" s="164">
        <f t="shared" ref="I55:I62" si="21">IFERROR(H55/G55-1,"-")</f>
        <v>0.26838854576080862</v>
      </c>
      <c r="J55" s="165">
        <f t="shared" si="18"/>
        <v>-4.9509116409537146E-2</v>
      </c>
      <c r="K55" s="163">
        <f t="shared" si="19"/>
        <v>1434</v>
      </c>
      <c r="L55" s="163">
        <f t="shared" si="20"/>
        <v>-353</v>
      </c>
      <c r="M55" s="164">
        <f t="shared" ref="M55:M62" si="22">H55/H$8</f>
        <v>2.3514944672045112E-3</v>
      </c>
      <c r="N55" s="166"/>
    </row>
    <row r="56" spans="1:14" s="56" customFormat="1" x14ac:dyDescent="0.25">
      <c r="A56" s="161"/>
      <c r="B56" s="162" t="s">
        <v>113</v>
      </c>
      <c r="C56" s="163">
        <v>5906</v>
      </c>
      <c r="D56" s="163">
        <v>5370</v>
      </c>
      <c r="E56" s="163">
        <v>221</v>
      </c>
      <c r="F56" s="163">
        <v>2011</v>
      </c>
      <c r="G56" s="163">
        <v>2284</v>
      </c>
      <c r="H56" s="163">
        <v>2496</v>
      </c>
      <c r="I56" s="164">
        <f t="shared" si="21"/>
        <v>9.2819614711033172E-2</v>
      </c>
      <c r="J56" s="165">
        <f t="shared" si="18"/>
        <v>-0.53519553072625703</v>
      </c>
      <c r="K56" s="163">
        <f t="shared" si="19"/>
        <v>212</v>
      </c>
      <c r="L56" s="163">
        <f t="shared" si="20"/>
        <v>-2874</v>
      </c>
      <c r="M56" s="164">
        <f t="shared" si="22"/>
        <v>8.6606613400360929E-4</v>
      </c>
      <c r="N56" s="166"/>
    </row>
    <row r="57" spans="1:14" x14ac:dyDescent="0.25">
      <c r="A57" s="161"/>
      <c r="B57" s="162" t="s">
        <v>116</v>
      </c>
      <c r="C57" s="163">
        <v>361</v>
      </c>
      <c r="D57" s="163">
        <v>321</v>
      </c>
      <c r="E57" s="163">
        <v>58</v>
      </c>
      <c r="F57" s="163">
        <v>658</v>
      </c>
      <c r="G57" s="163">
        <v>379</v>
      </c>
      <c r="H57" s="163">
        <v>1070</v>
      </c>
      <c r="I57" s="164">
        <f t="shared" si="21"/>
        <v>1.8232189973614776</v>
      </c>
      <c r="J57" s="165">
        <f t="shared" si="18"/>
        <v>2.3333333333333335</v>
      </c>
      <c r="K57" s="163">
        <f t="shared" si="19"/>
        <v>691</v>
      </c>
      <c r="L57" s="163">
        <f t="shared" si="20"/>
        <v>749</v>
      </c>
      <c r="M57" s="164">
        <f t="shared" si="22"/>
        <v>3.7127033789417546E-4</v>
      </c>
      <c r="N57" s="79"/>
    </row>
    <row r="58" spans="1:14" x14ac:dyDescent="0.25">
      <c r="A58" s="161"/>
      <c r="B58" s="162" t="s">
        <v>123</v>
      </c>
      <c r="C58" s="163">
        <v>177</v>
      </c>
      <c r="D58" s="163">
        <v>152</v>
      </c>
      <c r="E58" s="163">
        <v>0</v>
      </c>
      <c r="F58" s="163">
        <v>101</v>
      </c>
      <c r="G58" s="163">
        <v>141</v>
      </c>
      <c r="H58" s="163">
        <v>436</v>
      </c>
      <c r="I58" s="164">
        <f t="shared" si="21"/>
        <v>2.0921985815602837</v>
      </c>
      <c r="J58" s="165">
        <f t="shared" si="18"/>
        <v>1.8684210526315788</v>
      </c>
      <c r="K58" s="163">
        <f t="shared" si="19"/>
        <v>295</v>
      </c>
      <c r="L58" s="163">
        <f t="shared" si="20"/>
        <v>284</v>
      </c>
      <c r="M58" s="164">
        <f t="shared" si="22"/>
        <v>1.512839881512715E-4</v>
      </c>
      <c r="N58" s="79"/>
    </row>
    <row r="59" spans="1:14" x14ac:dyDescent="0.25">
      <c r="A59" s="161"/>
      <c r="B59" s="162" t="s">
        <v>119</v>
      </c>
      <c r="C59" s="163">
        <v>395</v>
      </c>
      <c r="D59" s="163">
        <v>327</v>
      </c>
      <c r="E59" s="163">
        <v>10</v>
      </c>
      <c r="F59" s="163">
        <v>194</v>
      </c>
      <c r="G59" s="163">
        <v>55</v>
      </c>
      <c r="H59" s="163">
        <v>464</v>
      </c>
      <c r="I59" s="164">
        <f t="shared" si="21"/>
        <v>7.4363636363636356</v>
      </c>
      <c r="J59" s="165">
        <f t="shared" si="18"/>
        <v>0.41896024464831805</v>
      </c>
      <c r="K59" s="163">
        <f t="shared" si="19"/>
        <v>409</v>
      </c>
      <c r="L59" s="163">
        <f t="shared" si="20"/>
        <v>137</v>
      </c>
      <c r="M59" s="164">
        <f t="shared" si="22"/>
        <v>1.6099947362887608E-4</v>
      </c>
      <c r="N59" s="79"/>
    </row>
    <row r="60" spans="1:14" x14ac:dyDescent="0.25">
      <c r="A60" s="161"/>
      <c r="B60" s="162" t="s">
        <v>128</v>
      </c>
      <c r="C60" s="163">
        <v>50</v>
      </c>
      <c r="D60" s="163">
        <v>12</v>
      </c>
      <c r="E60" s="163">
        <v>0</v>
      </c>
      <c r="F60" s="163">
        <v>13</v>
      </c>
      <c r="G60" s="163">
        <v>28</v>
      </c>
      <c r="H60" s="163">
        <v>10</v>
      </c>
      <c r="I60" s="164">
        <f t="shared" si="21"/>
        <v>-0.64285714285714279</v>
      </c>
      <c r="J60" s="165">
        <f t="shared" si="18"/>
        <v>-0.16666666666666663</v>
      </c>
      <c r="K60" s="163">
        <f t="shared" si="19"/>
        <v>-18</v>
      </c>
      <c r="L60" s="163">
        <f t="shared" si="20"/>
        <v>-2</v>
      </c>
      <c r="M60" s="164">
        <f t="shared" si="22"/>
        <v>3.4698162420016399E-6</v>
      </c>
      <c r="N60" s="79"/>
    </row>
    <row r="61" spans="1:14" x14ac:dyDescent="0.25">
      <c r="A61" s="161" t="s">
        <v>144</v>
      </c>
      <c r="B61" s="162" t="s">
        <v>131</v>
      </c>
      <c r="C61" s="163">
        <v>23</v>
      </c>
      <c r="D61" s="163">
        <v>20</v>
      </c>
      <c r="E61" s="163">
        <v>0</v>
      </c>
      <c r="F61" s="163">
        <v>0</v>
      </c>
      <c r="G61" s="163">
        <v>0</v>
      </c>
      <c r="H61" s="163">
        <v>9</v>
      </c>
      <c r="I61" s="164" t="str">
        <f t="shared" si="21"/>
        <v>-</v>
      </c>
      <c r="J61" s="165">
        <f t="shared" si="18"/>
        <v>-0.55000000000000004</v>
      </c>
      <c r="K61" s="163">
        <f t="shared" si="19"/>
        <v>9</v>
      </c>
      <c r="L61" s="163">
        <f t="shared" si="20"/>
        <v>-11</v>
      </c>
      <c r="M61" s="164">
        <f t="shared" si="22"/>
        <v>3.1228346178014758E-6</v>
      </c>
      <c r="N61" s="79"/>
    </row>
    <row r="62" spans="1:14" x14ac:dyDescent="0.25">
      <c r="A62" s="161" t="s">
        <v>145</v>
      </c>
      <c r="B62" s="168" t="s">
        <v>145</v>
      </c>
      <c r="C62" s="169">
        <f t="shared" ref="C62:H62" si="23">C54-SUM(C55:C61)</f>
        <v>3112</v>
      </c>
      <c r="D62" s="169">
        <f t="shared" si="23"/>
        <v>2909</v>
      </c>
      <c r="E62" s="169">
        <f t="shared" si="23"/>
        <v>136</v>
      </c>
      <c r="F62" s="169">
        <f t="shared" si="23"/>
        <v>3501</v>
      </c>
      <c r="G62" s="169">
        <f t="shared" si="23"/>
        <v>2316</v>
      </c>
      <c r="H62" s="169">
        <f t="shared" si="23"/>
        <v>3660</v>
      </c>
      <c r="I62" s="170">
        <f t="shared" si="21"/>
        <v>0.58031088082901561</v>
      </c>
      <c r="J62" s="171">
        <f t="shared" si="18"/>
        <v>0.2581643176349262</v>
      </c>
      <c r="K62" s="169">
        <f>H62-G62</f>
        <v>1344</v>
      </c>
      <c r="L62" s="169">
        <f t="shared" si="20"/>
        <v>751</v>
      </c>
      <c r="M62" s="170">
        <f t="shared" si="22"/>
        <v>1.2699527445726002E-3</v>
      </c>
      <c r="N62" s="79"/>
    </row>
    <row r="63" spans="1:14" s="144" customFormat="1" x14ac:dyDescent="0.25">
      <c r="A63" s="161"/>
      <c r="B63" s="153" t="s">
        <v>47</v>
      </c>
      <c r="C63" s="151"/>
      <c r="D63" s="151"/>
      <c r="E63" s="151"/>
      <c r="F63" s="151"/>
      <c r="G63" s="151"/>
      <c r="H63" s="151"/>
      <c r="I63" s="151"/>
      <c r="J63" s="151"/>
      <c r="K63" s="151"/>
      <c r="L63" s="151"/>
      <c r="M63" s="151"/>
    </row>
    <row r="64" spans="1:14" x14ac:dyDescent="0.25">
      <c r="A64" s="161"/>
      <c r="B64" s="154" t="s">
        <v>68</v>
      </c>
      <c r="C64" s="176">
        <v>63149</v>
      </c>
      <c r="D64" s="176">
        <v>67472</v>
      </c>
      <c r="E64" s="176">
        <v>21185</v>
      </c>
      <c r="F64" s="176">
        <v>74490</v>
      </c>
      <c r="G64" s="176">
        <v>66924</v>
      </c>
      <c r="H64" s="176">
        <v>81749</v>
      </c>
      <c r="I64" s="177">
        <f>IFERROR(H64/G64-1,"-")</f>
        <v>0.22151993305839457</v>
      </c>
      <c r="J64" s="177">
        <f>IFERROR(H64/D64-1,"-")</f>
        <v>0.21159888546359973</v>
      </c>
      <c r="K64" s="176">
        <f>H64-G64</f>
        <v>14825</v>
      </c>
      <c r="L64" s="176">
        <f>H64-D64</f>
        <v>14277</v>
      </c>
      <c r="M64" s="177">
        <f>H64/H$8</f>
        <v>2.8365400796739205E-2</v>
      </c>
      <c r="N64" s="79"/>
    </row>
    <row r="65" spans="1:14" x14ac:dyDescent="0.25">
      <c r="A65" s="161" t="s">
        <v>96</v>
      </c>
      <c r="B65" s="157" t="s">
        <v>97</v>
      </c>
      <c r="C65" s="158">
        <v>15864</v>
      </c>
      <c r="D65" s="158">
        <v>21559</v>
      </c>
      <c r="E65" s="158">
        <v>15978</v>
      </c>
      <c r="F65" s="158">
        <v>6718</v>
      </c>
      <c r="G65" s="158">
        <v>28344</v>
      </c>
      <c r="H65" s="158">
        <v>26145</v>
      </c>
      <c r="I65" s="159">
        <f>IFERROR(H65/G65-1,"-")</f>
        <v>-7.7582557154953435E-2</v>
      </c>
      <c r="J65" s="160">
        <f t="shared" ref="J65:J76" si="24">IFERROR(H65/D65-1,"-")</f>
        <v>0.21271858620529716</v>
      </c>
      <c r="K65" s="158">
        <f t="shared" ref="K65:K75" si="25">H65-G65</f>
        <v>-2199</v>
      </c>
      <c r="L65" s="158">
        <f t="shared" ref="L65:L76" si="26">H65-D65</f>
        <v>4586</v>
      </c>
      <c r="M65" s="159">
        <f>H65/H$8</f>
        <v>9.0718345647132874E-3</v>
      </c>
      <c r="N65" s="79"/>
    </row>
    <row r="66" spans="1:14" x14ac:dyDescent="0.25">
      <c r="A66" s="161" t="s">
        <v>103</v>
      </c>
      <c r="B66" s="162" t="s">
        <v>103</v>
      </c>
      <c r="C66" s="163">
        <v>60393</v>
      </c>
      <c r="D66" s="163">
        <v>55767</v>
      </c>
      <c r="E66" s="163">
        <v>17826</v>
      </c>
      <c r="F66" s="163">
        <v>70658</v>
      </c>
      <c r="G66" s="163">
        <v>80295</v>
      </c>
      <c r="H66" s="163">
        <v>103269</v>
      </c>
      <c r="I66" s="164">
        <f>IFERROR(H66/G66-1,"-")</f>
        <v>0.28611993274799175</v>
      </c>
      <c r="J66" s="165">
        <f t="shared" si="24"/>
        <v>0.85179407176287047</v>
      </c>
      <c r="K66" s="163">
        <f t="shared" si="25"/>
        <v>22974</v>
      </c>
      <c r="L66" s="163">
        <f t="shared" si="26"/>
        <v>47502</v>
      </c>
      <c r="M66" s="164">
        <f>H66/H$8</f>
        <v>3.5832445349526731E-2</v>
      </c>
      <c r="N66" s="79"/>
    </row>
    <row r="67" spans="1:14" x14ac:dyDescent="0.25">
      <c r="A67" s="161" t="s">
        <v>100</v>
      </c>
      <c r="B67" s="162" t="s">
        <v>100</v>
      </c>
      <c r="C67" s="163">
        <v>59559</v>
      </c>
      <c r="D67" s="163">
        <v>72540</v>
      </c>
      <c r="E67" s="163">
        <v>39063</v>
      </c>
      <c r="F67" s="163">
        <v>35192</v>
      </c>
      <c r="G67" s="163">
        <v>60205</v>
      </c>
      <c r="H67" s="163">
        <v>103680</v>
      </c>
      <c r="I67" s="164">
        <f>IFERROR(H67/G67-1,"-")</f>
        <v>0.72211610331367826</v>
      </c>
      <c r="J67" s="165">
        <f t="shared" si="24"/>
        <v>0.42928039702233245</v>
      </c>
      <c r="K67" s="163">
        <f t="shared" si="25"/>
        <v>43475</v>
      </c>
      <c r="L67" s="163">
        <f t="shared" si="26"/>
        <v>31140</v>
      </c>
      <c r="M67" s="164">
        <f>H67/H$8</f>
        <v>3.5975054797073004E-2</v>
      </c>
      <c r="N67" s="79"/>
    </row>
    <row r="68" spans="1:14" x14ac:dyDescent="0.25">
      <c r="A68" s="161"/>
      <c r="B68" s="157" t="s">
        <v>107</v>
      </c>
      <c r="C68" s="158">
        <v>47285</v>
      </c>
      <c r="D68" s="158">
        <v>45913</v>
      </c>
      <c r="E68" s="158">
        <v>5207</v>
      </c>
      <c r="F68" s="158">
        <v>67772</v>
      </c>
      <c r="G68" s="158">
        <v>38580</v>
      </c>
      <c r="H68" s="158">
        <v>55604</v>
      </c>
      <c r="I68" s="159">
        <f>IFERROR(H68/G68-1,"-")</f>
        <v>0.44126490409538621</v>
      </c>
      <c r="J68" s="160">
        <f t="shared" si="24"/>
        <v>0.21107311654651184</v>
      </c>
      <c r="K68" s="158">
        <f t="shared" si="25"/>
        <v>17024</v>
      </c>
      <c r="L68" s="158">
        <f t="shared" si="26"/>
        <v>9691</v>
      </c>
      <c r="M68" s="159">
        <f>H68/H$8</f>
        <v>1.9293566232025917E-2</v>
      </c>
      <c r="N68" s="79"/>
    </row>
    <row r="69" spans="1:14" s="56" customFormat="1" x14ac:dyDescent="0.25">
      <c r="A69" s="161"/>
      <c r="B69" s="162" t="s">
        <v>110</v>
      </c>
      <c r="C69" s="163">
        <v>18917</v>
      </c>
      <c r="D69" s="163">
        <v>16492</v>
      </c>
      <c r="E69" s="163">
        <v>1405</v>
      </c>
      <c r="F69" s="163">
        <v>31051</v>
      </c>
      <c r="G69" s="163">
        <v>16616</v>
      </c>
      <c r="H69" s="163">
        <v>28214</v>
      </c>
      <c r="I69" s="164">
        <f t="shared" ref="I69:I76" si="27">IFERROR(H69/G69-1,"-")</f>
        <v>0.69800192585459797</v>
      </c>
      <c r="J69" s="165">
        <f t="shared" si="24"/>
        <v>0.71076885762794073</v>
      </c>
      <c r="K69" s="163">
        <f t="shared" si="25"/>
        <v>11598</v>
      </c>
      <c r="L69" s="163">
        <f t="shared" si="26"/>
        <v>11722</v>
      </c>
      <c r="M69" s="164">
        <f t="shared" ref="M69:M76" si="28">H69/H$8</f>
        <v>9.7897395451834266E-3</v>
      </c>
      <c r="N69" s="166"/>
    </row>
    <row r="70" spans="1:14" s="56" customFormat="1" x14ac:dyDescent="0.25">
      <c r="A70" s="161"/>
      <c r="B70" s="162" t="s">
        <v>113</v>
      </c>
      <c r="C70" s="163">
        <v>10979</v>
      </c>
      <c r="D70" s="163">
        <v>9196</v>
      </c>
      <c r="E70" s="163">
        <v>829</v>
      </c>
      <c r="F70" s="163">
        <v>2175</v>
      </c>
      <c r="G70" s="163">
        <v>3872</v>
      </c>
      <c r="H70" s="163">
        <v>3058</v>
      </c>
      <c r="I70" s="164">
        <f t="shared" si="27"/>
        <v>-0.21022727272727271</v>
      </c>
      <c r="J70" s="165">
        <f t="shared" si="24"/>
        <v>-0.66746411483253587</v>
      </c>
      <c r="K70" s="163">
        <f t="shared" si="25"/>
        <v>-814</v>
      </c>
      <c r="L70" s="163">
        <f t="shared" si="26"/>
        <v>-6138</v>
      </c>
      <c r="M70" s="164">
        <f t="shared" si="28"/>
        <v>1.0610698068041014E-3</v>
      </c>
      <c r="N70" s="166"/>
    </row>
    <row r="71" spans="1:14" x14ac:dyDescent="0.25">
      <c r="A71" s="161"/>
      <c r="B71" s="162" t="s">
        <v>116</v>
      </c>
      <c r="C71" s="163">
        <v>2349</v>
      </c>
      <c r="D71" s="163">
        <v>4889</v>
      </c>
      <c r="E71" s="163">
        <v>694</v>
      </c>
      <c r="F71" s="163">
        <v>10452</v>
      </c>
      <c r="G71" s="163">
        <v>2122</v>
      </c>
      <c r="H71" s="163">
        <v>3768</v>
      </c>
      <c r="I71" s="164">
        <f t="shared" si="27"/>
        <v>0.7756833176248823</v>
      </c>
      <c r="J71" s="165">
        <f t="shared" si="24"/>
        <v>-0.22929024340355897</v>
      </c>
      <c r="K71" s="163">
        <f t="shared" si="25"/>
        <v>1646</v>
      </c>
      <c r="L71" s="163">
        <f t="shared" si="26"/>
        <v>-1121</v>
      </c>
      <c r="M71" s="164">
        <f t="shared" si="28"/>
        <v>1.3074267599862178E-3</v>
      </c>
      <c r="N71" s="79"/>
    </row>
    <row r="72" spans="1:14" x14ac:dyDescent="0.25">
      <c r="A72" s="161"/>
      <c r="B72" s="162" t="s">
        <v>123</v>
      </c>
      <c r="C72" s="163">
        <v>1251</v>
      </c>
      <c r="D72" s="163">
        <v>405</v>
      </c>
      <c r="E72" s="163">
        <v>23</v>
      </c>
      <c r="F72" s="163">
        <v>1098</v>
      </c>
      <c r="G72" s="163">
        <v>1581</v>
      </c>
      <c r="H72" s="163">
        <v>3392</v>
      </c>
      <c r="I72" s="164">
        <f t="shared" si="27"/>
        <v>1.1454775458570525</v>
      </c>
      <c r="J72" s="165">
        <f t="shared" si="24"/>
        <v>7.3753086419753089</v>
      </c>
      <c r="K72" s="163">
        <f t="shared" si="25"/>
        <v>1811</v>
      </c>
      <c r="L72" s="163">
        <f t="shared" si="26"/>
        <v>2987</v>
      </c>
      <c r="M72" s="164">
        <f t="shared" si="28"/>
        <v>1.1769616692869562E-3</v>
      </c>
      <c r="N72" s="79"/>
    </row>
    <row r="73" spans="1:14" x14ac:dyDescent="0.25">
      <c r="A73" s="161"/>
      <c r="B73" s="162" t="s">
        <v>119</v>
      </c>
      <c r="C73" s="163">
        <v>902</v>
      </c>
      <c r="D73" s="163">
        <v>739</v>
      </c>
      <c r="E73" s="163">
        <v>1207</v>
      </c>
      <c r="F73" s="163">
        <v>2542</v>
      </c>
      <c r="G73" s="163">
        <v>345</v>
      </c>
      <c r="H73" s="163">
        <v>1688</v>
      </c>
      <c r="I73" s="164">
        <f t="shared" si="27"/>
        <v>3.8927536231884057</v>
      </c>
      <c r="J73" s="165">
        <f t="shared" si="24"/>
        <v>1.2841677943166441</v>
      </c>
      <c r="K73" s="163">
        <f t="shared" si="25"/>
        <v>1343</v>
      </c>
      <c r="L73" s="163">
        <f t="shared" si="26"/>
        <v>949</v>
      </c>
      <c r="M73" s="164">
        <f t="shared" si="28"/>
        <v>5.8570498164987677E-4</v>
      </c>
      <c r="N73" s="79"/>
    </row>
    <row r="74" spans="1:14" x14ac:dyDescent="0.25">
      <c r="A74" s="161"/>
      <c r="B74" s="162" t="s">
        <v>128</v>
      </c>
      <c r="C74" s="163">
        <v>151</v>
      </c>
      <c r="D74" s="163">
        <v>13</v>
      </c>
      <c r="E74" s="163">
        <v>0</v>
      </c>
      <c r="F74" s="163">
        <v>84</v>
      </c>
      <c r="G74" s="163">
        <v>12</v>
      </c>
      <c r="H74" s="163">
        <v>181</v>
      </c>
      <c r="I74" s="164">
        <f t="shared" si="27"/>
        <v>14.083333333333334</v>
      </c>
      <c r="J74" s="165">
        <f t="shared" si="24"/>
        <v>12.923076923076923</v>
      </c>
      <c r="K74" s="163">
        <f t="shared" si="25"/>
        <v>169</v>
      </c>
      <c r="L74" s="163">
        <f t="shared" si="26"/>
        <v>168</v>
      </c>
      <c r="M74" s="164">
        <f t="shared" si="28"/>
        <v>6.2803673980229687E-5</v>
      </c>
      <c r="N74" s="79"/>
    </row>
    <row r="75" spans="1:14" x14ac:dyDescent="0.25">
      <c r="A75" s="161" t="s">
        <v>144</v>
      </c>
      <c r="B75" s="162" t="s">
        <v>131</v>
      </c>
      <c r="C75" s="163">
        <v>60</v>
      </c>
      <c r="D75" s="163">
        <v>83</v>
      </c>
      <c r="E75" s="163">
        <v>11</v>
      </c>
      <c r="F75" s="163">
        <v>23</v>
      </c>
      <c r="G75" s="163">
        <v>24</v>
      </c>
      <c r="H75" s="163">
        <v>412</v>
      </c>
      <c r="I75" s="164">
        <f t="shared" si="27"/>
        <v>16.166666666666668</v>
      </c>
      <c r="J75" s="165">
        <f t="shared" si="24"/>
        <v>3.9638554216867474</v>
      </c>
      <c r="K75" s="163">
        <f t="shared" si="25"/>
        <v>388</v>
      </c>
      <c r="L75" s="163">
        <f t="shared" si="26"/>
        <v>329</v>
      </c>
      <c r="M75" s="164">
        <f t="shared" si="28"/>
        <v>1.4295642917046757E-4</v>
      </c>
      <c r="N75" s="79"/>
    </row>
    <row r="76" spans="1:14" x14ac:dyDescent="0.25">
      <c r="A76" s="161" t="s">
        <v>145</v>
      </c>
      <c r="B76" s="168" t="s">
        <v>145</v>
      </c>
      <c r="C76" s="169">
        <f t="shared" ref="C76:H76" si="29">C68-SUM(C69:C75)</f>
        <v>12676</v>
      </c>
      <c r="D76" s="169">
        <f t="shared" si="29"/>
        <v>14096</v>
      </c>
      <c r="E76" s="169">
        <f t="shared" si="29"/>
        <v>1038</v>
      </c>
      <c r="F76" s="169">
        <f t="shared" si="29"/>
        <v>20347</v>
      </c>
      <c r="G76" s="169">
        <f t="shared" si="29"/>
        <v>14008</v>
      </c>
      <c r="H76" s="169">
        <f t="shared" si="29"/>
        <v>14891</v>
      </c>
      <c r="I76" s="170">
        <f t="shared" si="27"/>
        <v>6.3035408338092624E-2</v>
      </c>
      <c r="J76" s="171">
        <f t="shared" si="24"/>
        <v>5.639897843359809E-2</v>
      </c>
      <c r="K76" s="169">
        <f>H76-G76</f>
        <v>883</v>
      </c>
      <c r="L76" s="169">
        <f t="shared" si="26"/>
        <v>795</v>
      </c>
      <c r="M76" s="170">
        <f t="shared" si="28"/>
        <v>5.1669033659646419E-3</v>
      </c>
      <c r="N76" s="79"/>
    </row>
    <row r="77" spans="1:14" s="144" customFormat="1" x14ac:dyDescent="0.25">
      <c r="A77" s="161"/>
      <c r="B77" s="153" t="s">
        <v>48</v>
      </c>
      <c r="C77" s="151"/>
      <c r="D77" s="151"/>
      <c r="E77" s="151"/>
      <c r="F77" s="151"/>
      <c r="G77" s="151"/>
      <c r="H77" s="151"/>
      <c r="I77" s="151"/>
      <c r="J77" s="151"/>
      <c r="K77" s="151"/>
      <c r="L77" s="151"/>
      <c r="M77" s="151"/>
    </row>
    <row r="78" spans="1:14" x14ac:dyDescent="0.25">
      <c r="A78" s="161"/>
      <c r="B78" s="154" t="s">
        <v>68</v>
      </c>
      <c r="C78" s="176">
        <v>507900</v>
      </c>
      <c r="D78" s="176">
        <v>471100</v>
      </c>
      <c r="E78" s="176">
        <v>80706</v>
      </c>
      <c r="F78" s="176">
        <v>378277</v>
      </c>
      <c r="G78" s="176">
        <v>441114</v>
      </c>
      <c r="H78" s="176">
        <v>489204</v>
      </c>
      <c r="I78" s="177">
        <f>IFERROR(H78/G78-1,"-")</f>
        <v>0.10901943715230078</v>
      </c>
      <c r="J78" s="177">
        <f>IFERROR(H78/D78-1,"-")</f>
        <v>3.8429208236043344E-2</v>
      </c>
      <c r="K78" s="176">
        <f>H78-G78</f>
        <v>48090</v>
      </c>
      <c r="L78" s="176">
        <f>H78-D78</f>
        <v>18104</v>
      </c>
      <c r="M78" s="177">
        <f>H78/H$8</f>
        <v>0.16974479848521701</v>
      </c>
      <c r="N78" s="79"/>
    </row>
    <row r="79" spans="1:14" x14ac:dyDescent="0.25">
      <c r="A79" s="161" t="s">
        <v>96</v>
      </c>
      <c r="B79" s="157" t="s">
        <v>97</v>
      </c>
      <c r="C79" s="158">
        <v>174826</v>
      </c>
      <c r="D79" s="158">
        <v>171150</v>
      </c>
      <c r="E79" s="158">
        <v>52265</v>
      </c>
      <c r="F79" s="158">
        <v>158091</v>
      </c>
      <c r="G79" s="158">
        <v>158021</v>
      </c>
      <c r="H79" s="158">
        <v>159761</v>
      </c>
      <c r="I79" s="159">
        <f>IFERROR(H79/G79-1,"-")</f>
        <v>1.1011194714626527E-2</v>
      </c>
      <c r="J79" s="160">
        <f t="shared" ref="J79:J90" si="30">IFERROR(H79/D79-1,"-")</f>
        <v>-6.6543967280163652E-2</v>
      </c>
      <c r="K79" s="158">
        <f t="shared" ref="K79:K89" si="31">H79-G79</f>
        <v>1740</v>
      </c>
      <c r="L79" s="158">
        <f t="shared" ref="L79:L90" si="32">H79-D79</f>
        <v>-11389</v>
      </c>
      <c r="M79" s="159">
        <f>H79/H$8</f>
        <v>5.5434131263842397E-2</v>
      </c>
      <c r="N79" s="79"/>
    </row>
    <row r="80" spans="1:14" x14ac:dyDescent="0.25">
      <c r="A80" s="161" t="s">
        <v>103</v>
      </c>
      <c r="B80" s="162" t="s">
        <v>103</v>
      </c>
      <c r="C80" s="163">
        <v>271266</v>
      </c>
      <c r="D80" s="163">
        <v>167866</v>
      </c>
      <c r="E80" s="163">
        <v>41775</v>
      </c>
      <c r="F80" s="163">
        <v>192946</v>
      </c>
      <c r="G80" s="163">
        <v>217002</v>
      </c>
      <c r="H80" s="163">
        <v>232668</v>
      </c>
      <c r="I80" s="164">
        <f>IFERROR(H80/G80-1,"-")</f>
        <v>7.2192883014903009E-2</v>
      </c>
      <c r="J80" s="165">
        <f t="shared" si="30"/>
        <v>0.38603409862628535</v>
      </c>
      <c r="K80" s="163">
        <f t="shared" si="31"/>
        <v>15666</v>
      </c>
      <c r="L80" s="163">
        <f t="shared" si="32"/>
        <v>64802</v>
      </c>
      <c r="M80" s="164">
        <f>H80/H$8</f>
        <v>8.0731520539403759E-2</v>
      </c>
      <c r="N80" s="79"/>
    </row>
    <row r="81" spans="1:14" x14ac:dyDescent="0.25">
      <c r="A81" s="161" t="s">
        <v>100</v>
      </c>
      <c r="B81" s="162" t="s">
        <v>100</v>
      </c>
      <c r="C81" s="163">
        <v>1307072</v>
      </c>
      <c r="D81" s="163">
        <v>1339936</v>
      </c>
      <c r="E81" s="163">
        <v>329240</v>
      </c>
      <c r="F81" s="163">
        <v>1105204</v>
      </c>
      <c r="G81" s="163">
        <v>1141010</v>
      </c>
      <c r="H81" s="163">
        <v>1119285</v>
      </c>
      <c r="I81" s="164">
        <f>IFERROR(H81/G81-1,"-")</f>
        <v>-1.904014864023984E-2</v>
      </c>
      <c r="J81" s="165">
        <f t="shared" si="30"/>
        <v>-0.16467279034222526</v>
      </c>
      <c r="K81" s="163">
        <f t="shared" si="31"/>
        <v>-21725</v>
      </c>
      <c r="L81" s="163">
        <f t="shared" si="32"/>
        <v>-220651</v>
      </c>
      <c r="M81" s="164">
        <f>H81/H$8</f>
        <v>0.38837132724288054</v>
      </c>
      <c r="N81" s="79"/>
    </row>
    <row r="82" spans="1:14" x14ac:dyDescent="0.25">
      <c r="A82" s="161"/>
      <c r="B82" s="157" t="s">
        <v>107</v>
      </c>
      <c r="C82" s="158">
        <v>333074</v>
      </c>
      <c r="D82" s="158">
        <v>299950</v>
      </c>
      <c r="E82" s="158">
        <v>28441</v>
      </c>
      <c r="F82" s="158">
        <v>220186</v>
      </c>
      <c r="G82" s="158">
        <v>283093</v>
      </c>
      <c r="H82" s="158">
        <v>329443</v>
      </c>
      <c r="I82" s="159">
        <f>IFERROR(H82/G82-1,"-")</f>
        <v>0.16372711441116516</v>
      </c>
      <c r="J82" s="160">
        <f t="shared" si="30"/>
        <v>9.8326387731288545E-2</v>
      </c>
      <c r="K82" s="158">
        <f t="shared" si="31"/>
        <v>46350</v>
      </c>
      <c r="L82" s="158">
        <f t="shared" si="32"/>
        <v>29493</v>
      </c>
      <c r="M82" s="159">
        <f>H82/H$8</f>
        <v>0.11431066722137462</v>
      </c>
      <c r="N82" s="79"/>
    </row>
    <row r="83" spans="1:14" s="56" customFormat="1" x14ac:dyDescent="0.25">
      <c r="A83" s="161"/>
      <c r="B83" s="162" t="s">
        <v>110</v>
      </c>
      <c r="C83" s="163">
        <v>54642</v>
      </c>
      <c r="D83" s="163">
        <v>60384</v>
      </c>
      <c r="E83" s="163">
        <v>4342</v>
      </c>
      <c r="F83" s="163">
        <v>46875</v>
      </c>
      <c r="G83" s="163">
        <v>70200</v>
      </c>
      <c r="H83" s="163">
        <v>77720</v>
      </c>
      <c r="I83" s="164">
        <f t="shared" ref="I83:I90" si="33">IFERROR(H83/G83-1,"-")</f>
        <v>0.10712250712250704</v>
      </c>
      <c r="J83" s="165">
        <f t="shared" si="30"/>
        <v>0.2870959194488607</v>
      </c>
      <c r="K83" s="163">
        <f t="shared" si="31"/>
        <v>7520</v>
      </c>
      <c r="L83" s="163">
        <f t="shared" si="32"/>
        <v>17336</v>
      </c>
      <c r="M83" s="164">
        <f t="shared" ref="M83:M90" si="34">H83/H$8</f>
        <v>2.6967411832836744E-2</v>
      </c>
      <c r="N83" s="166"/>
    </row>
    <row r="84" spans="1:14" s="56" customFormat="1" x14ac:dyDescent="0.25">
      <c r="A84" s="161"/>
      <c r="B84" s="162" t="s">
        <v>113</v>
      </c>
      <c r="C84" s="163">
        <v>151162</v>
      </c>
      <c r="D84" s="163">
        <v>121486</v>
      </c>
      <c r="E84" s="163">
        <v>4527</v>
      </c>
      <c r="F84" s="163">
        <v>81698</v>
      </c>
      <c r="G84" s="163">
        <v>87257</v>
      </c>
      <c r="H84" s="163">
        <v>95768</v>
      </c>
      <c r="I84" s="164">
        <f t="shared" si="33"/>
        <v>9.7539452422155337E-2</v>
      </c>
      <c r="J84" s="165">
        <f t="shared" si="30"/>
        <v>-0.21169517475264643</v>
      </c>
      <c r="K84" s="163">
        <f t="shared" si="31"/>
        <v>8511</v>
      </c>
      <c r="L84" s="163">
        <f t="shared" si="32"/>
        <v>-25718</v>
      </c>
      <c r="M84" s="164">
        <f t="shared" si="34"/>
        <v>3.3229736186401307E-2</v>
      </c>
      <c r="N84" s="166"/>
    </row>
    <row r="85" spans="1:14" x14ac:dyDescent="0.25">
      <c r="A85" s="161"/>
      <c r="B85" s="162" t="s">
        <v>116</v>
      </c>
      <c r="C85" s="163">
        <v>14162</v>
      </c>
      <c r="D85" s="163">
        <v>17116</v>
      </c>
      <c r="E85" s="163">
        <v>1472</v>
      </c>
      <c r="F85" s="163">
        <v>16073</v>
      </c>
      <c r="G85" s="163">
        <v>25350</v>
      </c>
      <c r="H85" s="163">
        <v>32169</v>
      </c>
      <c r="I85" s="164">
        <f t="shared" si="33"/>
        <v>0.26899408284023663</v>
      </c>
      <c r="J85" s="165">
        <f t="shared" si="30"/>
        <v>0.87946950222014486</v>
      </c>
      <c r="K85" s="163">
        <f t="shared" si="31"/>
        <v>6819</v>
      </c>
      <c r="L85" s="163">
        <f t="shared" si="32"/>
        <v>15053</v>
      </c>
      <c r="M85" s="164">
        <f t="shared" si="34"/>
        <v>1.1162051868895075E-2</v>
      </c>
      <c r="N85" s="79"/>
    </row>
    <row r="86" spans="1:14" x14ac:dyDescent="0.25">
      <c r="A86" s="161"/>
      <c r="B86" s="162" t="s">
        <v>123</v>
      </c>
      <c r="C86" s="163">
        <v>7983</v>
      </c>
      <c r="D86" s="163">
        <v>6570</v>
      </c>
      <c r="E86" s="163">
        <v>396</v>
      </c>
      <c r="F86" s="163">
        <v>7103</v>
      </c>
      <c r="G86" s="163">
        <v>9989</v>
      </c>
      <c r="H86" s="163">
        <v>13011</v>
      </c>
      <c r="I86" s="164">
        <f t="shared" si="33"/>
        <v>0.30253278606467116</v>
      </c>
      <c r="J86" s="165">
        <f t="shared" si="30"/>
        <v>0.98036529680365292</v>
      </c>
      <c r="K86" s="163">
        <f t="shared" si="31"/>
        <v>3022</v>
      </c>
      <c r="L86" s="163">
        <f t="shared" si="32"/>
        <v>6441</v>
      </c>
      <c r="M86" s="164">
        <f t="shared" si="34"/>
        <v>4.5145779124683332E-3</v>
      </c>
      <c r="N86" s="79"/>
    </row>
    <row r="87" spans="1:14" x14ac:dyDescent="0.25">
      <c r="A87" s="161"/>
      <c r="B87" s="162" t="s">
        <v>119</v>
      </c>
      <c r="C87" s="163">
        <v>5617</v>
      </c>
      <c r="D87" s="163">
        <v>4261</v>
      </c>
      <c r="E87" s="163">
        <v>3461</v>
      </c>
      <c r="F87" s="163">
        <v>3064</v>
      </c>
      <c r="G87" s="163">
        <v>4673</v>
      </c>
      <c r="H87" s="163">
        <v>5487</v>
      </c>
      <c r="I87" s="164">
        <f t="shared" si="33"/>
        <v>0.17419216777230906</v>
      </c>
      <c r="J87" s="165">
        <f t="shared" si="30"/>
        <v>0.28772588594226711</v>
      </c>
      <c r="K87" s="163">
        <f t="shared" si="31"/>
        <v>814</v>
      </c>
      <c r="L87" s="163">
        <f t="shared" si="32"/>
        <v>1226</v>
      </c>
      <c r="M87" s="164">
        <f t="shared" si="34"/>
        <v>1.9038881719862998E-3</v>
      </c>
      <c r="N87" s="79"/>
    </row>
    <row r="88" spans="1:14" x14ac:dyDescent="0.25">
      <c r="A88" s="161"/>
      <c r="B88" s="162" t="s">
        <v>128</v>
      </c>
      <c r="C88" s="163">
        <v>2621</v>
      </c>
      <c r="D88" s="163">
        <v>1927</v>
      </c>
      <c r="E88" s="163">
        <v>100</v>
      </c>
      <c r="F88" s="163">
        <v>1619</v>
      </c>
      <c r="G88" s="163">
        <v>906</v>
      </c>
      <c r="H88" s="163">
        <v>1480</v>
      </c>
      <c r="I88" s="164">
        <f t="shared" si="33"/>
        <v>0.63355408388520962</v>
      </c>
      <c r="J88" s="165">
        <f t="shared" si="30"/>
        <v>-0.23196678775298396</v>
      </c>
      <c r="K88" s="163">
        <f t="shared" si="31"/>
        <v>574</v>
      </c>
      <c r="L88" s="163">
        <f t="shared" si="32"/>
        <v>-447</v>
      </c>
      <c r="M88" s="164">
        <f t="shared" si="34"/>
        <v>5.1353280381624265E-4</v>
      </c>
      <c r="N88" s="79"/>
    </row>
    <row r="89" spans="1:14" x14ac:dyDescent="0.25">
      <c r="A89" s="161" t="s">
        <v>144</v>
      </c>
      <c r="B89" s="162" t="s">
        <v>131</v>
      </c>
      <c r="C89" s="163">
        <v>1370</v>
      </c>
      <c r="D89" s="163">
        <v>1244</v>
      </c>
      <c r="E89" s="163">
        <v>134</v>
      </c>
      <c r="F89" s="163">
        <v>876</v>
      </c>
      <c r="G89" s="163">
        <v>677</v>
      </c>
      <c r="H89" s="163">
        <v>1644</v>
      </c>
      <c r="I89" s="164">
        <f t="shared" si="33"/>
        <v>1.4283604135893651</v>
      </c>
      <c r="J89" s="165">
        <f t="shared" si="30"/>
        <v>0.32154340836012851</v>
      </c>
      <c r="K89" s="163">
        <f t="shared" si="31"/>
        <v>967</v>
      </c>
      <c r="L89" s="163">
        <f t="shared" si="32"/>
        <v>400</v>
      </c>
      <c r="M89" s="164">
        <f t="shared" si="34"/>
        <v>5.7043779018506964E-4</v>
      </c>
      <c r="N89" s="79"/>
    </row>
    <row r="90" spans="1:14" x14ac:dyDescent="0.25">
      <c r="A90" s="161" t="s">
        <v>145</v>
      </c>
      <c r="B90" s="168" t="s">
        <v>145</v>
      </c>
      <c r="C90" s="169">
        <f t="shared" ref="C90:H90" si="35">C82-SUM(C83:C89)</f>
        <v>95517</v>
      </c>
      <c r="D90" s="169">
        <f t="shared" si="35"/>
        <v>86962</v>
      </c>
      <c r="E90" s="169">
        <f t="shared" si="35"/>
        <v>14009</v>
      </c>
      <c r="F90" s="169">
        <f t="shared" si="35"/>
        <v>62878</v>
      </c>
      <c r="G90" s="169">
        <f t="shared" si="35"/>
        <v>84041</v>
      </c>
      <c r="H90" s="169">
        <f t="shared" si="35"/>
        <v>102164</v>
      </c>
      <c r="I90" s="170">
        <f t="shared" si="33"/>
        <v>0.21564474482692964</v>
      </c>
      <c r="J90" s="171">
        <f t="shared" si="30"/>
        <v>0.17481198684482879</v>
      </c>
      <c r="K90" s="169">
        <f>H90-G90</f>
        <v>18123</v>
      </c>
      <c r="L90" s="169">
        <f t="shared" si="32"/>
        <v>15202</v>
      </c>
      <c r="M90" s="170">
        <f t="shared" si="34"/>
        <v>3.5449030654785552E-2</v>
      </c>
      <c r="N90" s="79"/>
    </row>
    <row r="91" spans="1:14" s="144" customFormat="1" x14ac:dyDescent="0.25">
      <c r="A91" s="161"/>
      <c r="B91" s="153" t="s">
        <v>49</v>
      </c>
      <c r="C91" s="151"/>
      <c r="D91" s="151"/>
      <c r="E91" s="151"/>
      <c r="F91" s="151"/>
      <c r="G91" s="151"/>
      <c r="H91" s="151"/>
      <c r="I91" s="151"/>
      <c r="J91" s="151"/>
      <c r="K91" s="151"/>
      <c r="L91" s="151"/>
      <c r="M91" s="151"/>
    </row>
    <row r="92" spans="1:14" x14ac:dyDescent="0.25">
      <c r="A92" s="161"/>
      <c r="B92" s="154" t="s">
        <v>68</v>
      </c>
      <c r="C92" s="176">
        <v>10615</v>
      </c>
      <c r="D92" s="176">
        <v>8003</v>
      </c>
      <c r="E92" s="176">
        <v>3767</v>
      </c>
      <c r="F92" s="176">
        <v>10967</v>
      </c>
      <c r="G92" s="176">
        <v>10606</v>
      </c>
      <c r="H92" s="176">
        <v>11345</v>
      </c>
      <c r="I92" s="177">
        <f>IFERROR(H92/G92-1,"-")</f>
        <v>6.9677541014520061E-2</v>
      </c>
      <c r="J92" s="177">
        <f>IFERROR(H92/D92-1,"-")</f>
        <v>0.41759340247407217</v>
      </c>
      <c r="K92" s="176">
        <f>H92-G92</f>
        <v>739</v>
      </c>
      <c r="L92" s="176">
        <f>H92-D92</f>
        <v>3342</v>
      </c>
      <c r="M92" s="177">
        <f>H92/H$8</f>
        <v>3.9365065265508604E-3</v>
      </c>
      <c r="N92" s="79"/>
    </row>
    <row r="93" spans="1:14" x14ac:dyDescent="0.25">
      <c r="A93" s="161" t="s">
        <v>96</v>
      </c>
      <c r="B93" s="157" t="s">
        <v>97</v>
      </c>
      <c r="C93" s="158">
        <v>6331</v>
      </c>
      <c r="D93" s="158">
        <v>5204</v>
      </c>
      <c r="E93" s="158">
        <v>3075</v>
      </c>
      <c r="F93" s="158">
        <v>6733</v>
      </c>
      <c r="G93" s="158">
        <v>6420</v>
      </c>
      <c r="H93" s="158">
        <v>7407</v>
      </c>
      <c r="I93" s="159">
        <f>IFERROR(H93/G93-1,"-")</f>
        <v>0.1537383177570093</v>
      </c>
      <c r="J93" s="160">
        <f t="shared" ref="J93:J104" si="36">IFERROR(H93/D93-1,"-")</f>
        <v>0.42332820906994617</v>
      </c>
      <c r="K93" s="158">
        <f t="shared" ref="K93:K103" si="37">H93-G93</f>
        <v>987</v>
      </c>
      <c r="L93" s="158">
        <f t="shared" ref="L93:L104" si="38">H93-D93</f>
        <v>2203</v>
      </c>
      <c r="M93" s="159">
        <f>H93/H$8</f>
        <v>2.5700928904506147E-3</v>
      </c>
      <c r="N93" s="79"/>
    </row>
    <row r="94" spans="1:14" x14ac:dyDescent="0.25">
      <c r="A94" s="161" t="s">
        <v>103</v>
      </c>
      <c r="B94" s="162" t="s">
        <v>103</v>
      </c>
      <c r="C94" s="163">
        <v>22573</v>
      </c>
      <c r="D94" s="163">
        <v>22522</v>
      </c>
      <c r="E94" s="163">
        <v>10036</v>
      </c>
      <c r="F94" s="163">
        <v>22783</v>
      </c>
      <c r="G94" s="163">
        <v>15570</v>
      </c>
      <c r="H94" s="163">
        <v>14648</v>
      </c>
      <c r="I94" s="164">
        <f>IFERROR(H94/G94-1,"-")</f>
        <v>-5.9216441875401427E-2</v>
      </c>
      <c r="J94" s="165">
        <f t="shared" si="36"/>
        <v>-0.34961371103809613</v>
      </c>
      <c r="K94" s="163">
        <f t="shared" si="37"/>
        <v>-922</v>
      </c>
      <c r="L94" s="163">
        <f t="shared" si="38"/>
        <v>-7874</v>
      </c>
      <c r="M94" s="164">
        <f>H94/H$8</f>
        <v>5.0825868312840018E-3</v>
      </c>
      <c r="N94" s="79"/>
    </row>
    <row r="95" spans="1:14" x14ac:dyDescent="0.25">
      <c r="A95" s="161" t="s">
        <v>100</v>
      </c>
      <c r="B95" s="162" t="s">
        <v>100</v>
      </c>
      <c r="C95" s="163">
        <v>30068</v>
      </c>
      <c r="D95" s="163">
        <v>30973</v>
      </c>
      <c r="E95" s="163">
        <v>11436</v>
      </c>
      <c r="F95" s="163">
        <v>30660</v>
      </c>
      <c r="G95" s="163">
        <v>42097</v>
      </c>
      <c r="H95" s="163">
        <v>37058</v>
      </c>
      <c r="I95" s="164">
        <f>IFERROR(H95/G95-1,"-")</f>
        <v>-0.11969974107418579</v>
      </c>
      <c r="J95" s="165">
        <f t="shared" si="36"/>
        <v>0.19646143415232631</v>
      </c>
      <c r="K95" s="163">
        <f t="shared" si="37"/>
        <v>-5039</v>
      </c>
      <c r="L95" s="163">
        <f t="shared" si="38"/>
        <v>6085</v>
      </c>
      <c r="M95" s="164">
        <f>H95/H$8</f>
        <v>1.2858445029609677E-2</v>
      </c>
      <c r="N95" s="79"/>
    </row>
    <row r="96" spans="1:14" x14ac:dyDescent="0.25">
      <c r="A96" s="161"/>
      <c r="B96" s="157" t="s">
        <v>107</v>
      </c>
      <c r="C96" s="158">
        <v>4284</v>
      </c>
      <c r="D96" s="158">
        <v>2799</v>
      </c>
      <c r="E96" s="158">
        <v>692</v>
      </c>
      <c r="F96" s="158">
        <v>4234</v>
      </c>
      <c r="G96" s="158">
        <v>4186</v>
      </c>
      <c r="H96" s="158">
        <v>3938</v>
      </c>
      <c r="I96" s="159">
        <f>IFERROR(H96/G96-1,"-")</f>
        <v>-5.9245102723363585E-2</v>
      </c>
      <c r="J96" s="160">
        <f t="shared" si="36"/>
        <v>0.40693104680242942</v>
      </c>
      <c r="K96" s="158">
        <f t="shared" si="37"/>
        <v>-248</v>
      </c>
      <c r="L96" s="158">
        <f t="shared" si="38"/>
        <v>1139</v>
      </c>
      <c r="M96" s="159">
        <f>H96/H$8</f>
        <v>1.3664136361002457E-3</v>
      </c>
      <c r="N96" s="79"/>
    </row>
    <row r="97" spans="1:14" s="56" customFormat="1" x14ac:dyDescent="0.25">
      <c r="A97" s="161"/>
      <c r="B97" s="162" t="s">
        <v>110</v>
      </c>
      <c r="C97" s="163">
        <v>547</v>
      </c>
      <c r="D97" s="163">
        <v>369</v>
      </c>
      <c r="E97" s="163">
        <v>42</v>
      </c>
      <c r="F97" s="163">
        <v>722</v>
      </c>
      <c r="G97" s="163">
        <v>664</v>
      </c>
      <c r="H97" s="163">
        <v>519</v>
      </c>
      <c r="I97" s="164">
        <f t="shared" ref="I97:I104" si="39">IFERROR(H97/G97-1,"-")</f>
        <v>-0.21837349397590367</v>
      </c>
      <c r="J97" s="165">
        <f t="shared" si="36"/>
        <v>0.4065040650406504</v>
      </c>
      <c r="K97" s="163">
        <f t="shared" si="37"/>
        <v>-145</v>
      </c>
      <c r="L97" s="163">
        <f t="shared" si="38"/>
        <v>150</v>
      </c>
      <c r="M97" s="164">
        <f t="shared" ref="M97:M104" si="40">H97/H$8</f>
        <v>1.800834629598851E-4</v>
      </c>
      <c r="N97" s="166"/>
    </row>
    <row r="98" spans="1:14" s="56" customFormat="1" x14ac:dyDescent="0.25">
      <c r="A98" s="161"/>
      <c r="B98" s="162" t="s">
        <v>113</v>
      </c>
      <c r="C98" s="163">
        <v>1407</v>
      </c>
      <c r="D98" s="163">
        <v>592</v>
      </c>
      <c r="E98" s="163">
        <v>72</v>
      </c>
      <c r="F98" s="163">
        <v>1386</v>
      </c>
      <c r="G98" s="163">
        <v>1288</v>
      </c>
      <c r="H98" s="163">
        <v>1311</v>
      </c>
      <c r="I98" s="164">
        <f t="shared" si="39"/>
        <v>1.7857142857142794E-2</v>
      </c>
      <c r="J98" s="165">
        <f t="shared" si="36"/>
        <v>1.2145270270270272</v>
      </c>
      <c r="K98" s="163">
        <f t="shared" si="37"/>
        <v>23</v>
      </c>
      <c r="L98" s="163">
        <f t="shared" si="38"/>
        <v>719</v>
      </c>
      <c r="M98" s="164">
        <f t="shared" si="40"/>
        <v>4.5489290932641498E-4</v>
      </c>
      <c r="N98" s="166"/>
    </row>
    <row r="99" spans="1:14" x14ac:dyDescent="0.25">
      <c r="A99" s="161"/>
      <c r="B99" s="162" t="s">
        <v>116</v>
      </c>
      <c r="C99" s="163">
        <v>406</v>
      </c>
      <c r="D99" s="163">
        <v>504</v>
      </c>
      <c r="E99" s="163">
        <v>104</v>
      </c>
      <c r="F99" s="163">
        <v>390</v>
      </c>
      <c r="G99" s="163">
        <v>486</v>
      </c>
      <c r="H99" s="163">
        <v>421</v>
      </c>
      <c r="I99" s="164">
        <f t="shared" si="39"/>
        <v>-0.13374485596707819</v>
      </c>
      <c r="J99" s="165">
        <f t="shared" si="36"/>
        <v>-0.16468253968253965</v>
      </c>
      <c r="K99" s="163">
        <f t="shared" si="37"/>
        <v>-65</v>
      </c>
      <c r="L99" s="163">
        <f t="shared" si="38"/>
        <v>-83</v>
      </c>
      <c r="M99" s="164">
        <f t="shared" si="40"/>
        <v>1.4607926378826903E-4</v>
      </c>
      <c r="N99" s="79"/>
    </row>
    <row r="100" spans="1:14" x14ac:dyDescent="0.25">
      <c r="A100" s="161"/>
      <c r="B100" s="162" t="s">
        <v>123</v>
      </c>
      <c r="C100" s="163">
        <v>113</v>
      </c>
      <c r="D100" s="163">
        <v>116</v>
      </c>
      <c r="E100" s="163">
        <v>6</v>
      </c>
      <c r="F100" s="163">
        <v>333</v>
      </c>
      <c r="G100" s="163">
        <v>194</v>
      </c>
      <c r="H100" s="163">
        <v>121</v>
      </c>
      <c r="I100" s="164">
        <f t="shared" si="39"/>
        <v>-0.37628865979381443</v>
      </c>
      <c r="J100" s="165">
        <f t="shared" si="36"/>
        <v>4.31034482758621E-2</v>
      </c>
      <c r="K100" s="163">
        <f t="shared" si="37"/>
        <v>-73</v>
      </c>
      <c r="L100" s="163">
        <f t="shared" si="38"/>
        <v>5</v>
      </c>
      <c r="M100" s="164">
        <f t="shared" si="40"/>
        <v>4.1984776528219842E-5</v>
      </c>
      <c r="N100" s="79"/>
    </row>
    <row r="101" spans="1:14" x14ac:dyDescent="0.25">
      <c r="A101" s="161"/>
      <c r="B101" s="162" t="s">
        <v>119</v>
      </c>
      <c r="C101" s="163">
        <v>82</v>
      </c>
      <c r="D101" s="163">
        <v>24</v>
      </c>
      <c r="E101" s="163">
        <v>86</v>
      </c>
      <c r="F101" s="163">
        <v>117</v>
      </c>
      <c r="G101" s="163">
        <v>120</v>
      </c>
      <c r="H101" s="163">
        <v>158</v>
      </c>
      <c r="I101" s="164">
        <f t="shared" si="39"/>
        <v>0.31666666666666665</v>
      </c>
      <c r="J101" s="165">
        <f t="shared" si="36"/>
        <v>5.583333333333333</v>
      </c>
      <c r="K101" s="163">
        <f t="shared" si="37"/>
        <v>38</v>
      </c>
      <c r="L101" s="163">
        <f t="shared" si="38"/>
        <v>134</v>
      </c>
      <c r="M101" s="164">
        <f t="shared" si="40"/>
        <v>5.482309662362591E-5</v>
      </c>
      <c r="N101" s="79"/>
    </row>
    <row r="102" spans="1:14" x14ac:dyDescent="0.25">
      <c r="A102" s="161"/>
      <c r="B102" s="162" t="s">
        <v>128</v>
      </c>
      <c r="C102" s="163">
        <v>0</v>
      </c>
      <c r="D102" s="163">
        <v>2</v>
      </c>
      <c r="E102" s="163">
        <v>2</v>
      </c>
      <c r="F102" s="163">
        <v>27</v>
      </c>
      <c r="G102" s="163">
        <v>14</v>
      </c>
      <c r="H102" s="163">
        <v>36</v>
      </c>
      <c r="I102" s="164">
        <f t="shared" si="39"/>
        <v>1.5714285714285716</v>
      </c>
      <c r="J102" s="165">
        <f t="shared" si="36"/>
        <v>17</v>
      </c>
      <c r="K102" s="163">
        <f t="shared" si="37"/>
        <v>22</v>
      </c>
      <c r="L102" s="163">
        <f t="shared" si="38"/>
        <v>34</v>
      </c>
      <c r="M102" s="164">
        <f t="shared" si="40"/>
        <v>1.2491338471205903E-5</v>
      </c>
      <c r="N102" s="79"/>
    </row>
    <row r="103" spans="1:14" x14ac:dyDescent="0.25">
      <c r="A103" s="161" t="s">
        <v>144</v>
      </c>
      <c r="B103" s="162" t="s">
        <v>131</v>
      </c>
      <c r="C103" s="163">
        <v>46</v>
      </c>
      <c r="D103" s="163">
        <v>0</v>
      </c>
      <c r="E103" s="163">
        <v>6</v>
      </c>
      <c r="F103" s="163">
        <v>8</v>
      </c>
      <c r="G103" s="163">
        <v>40</v>
      </c>
      <c r="H103" s="163">
        <v>24</v>
      </c>
      <c r="I103" s="164">
        <f t="shared" si="39"/>
        <v>-0.4</v>
      </c>
      <c r="J103" s="165" t="str">
        <f t="shared" si="36"/>
        <v>-</v>
      </c>
      <c r="K103" s="163">
        <f t="shared" si="37"/>
        <v>-16</v>
      </c>
      <c r="L103" s="163">
        <f t="shared" si="38"/>
        <v>24</v>
      </c>
      <c r="M103" s="164">
        <f t="shared" si="40"/>
        <v>8.3275589808039355E-6</v>
      </c>
      <c r="N103" s="79"/>
    </row>
    <row r="104" spans="1:14" x14ac:dyDescent="0.25">
      <c r="A104" s="161" t="s">
        <v>145</v>
      </c>
      <c r="B104" s="168" t="s">
        <v>145</v>
      </c>
      <c r="C104" s="169">
        <f t="shared" ref="C104:H104" si="41">C96-SUM(C97:C103)</f>
        <v>1683</v>
      </c>
      <c r="D104" s="169">
        <f t="shared" si="41"/>
        <v>1192</v>
      </c>
      <c r="E104" s="169">
        <f t="shared" si="41"/>
        <v>374</v>
      </c>
      <c r="F104" s="169">
        <f t="shared" si="41"/>
        <v>1251</v>
      </c>
      <c r="G104" s="169">
        <f t="shared" si="41"/>
        <v>1380</v>
      </c>
      <c r="H104" s="169">
        <f t="shared" si="41"/>
        <v>1348</v>
      </c>
      <c r="I104" s="170">
        <f t="shared" si="39"/>
        <v>-2.3188405797101463E-2</v>
      </c>
      <c r="J104" s="171">
        <f t="shared" si="36"/>
        <v>0.13087248322147649</v>
      </c>
      <c r="K104" s="169">
        <f>H104-G104</f>
        <v>-32</v>
      </c>
      <c r="L104" s="169">
        <f t="shared" si="38"/>
        <v>156</v>
      </c>
      <c r="M104" s="170">
        <f t="shared" si="40"/>
        <v>4.6773122942182104E-4</v>
      </c>
      <c r="N104" s="79"/>
    </row>
    <row r="105" spans="1:14" s="144" customFormat="1" x14ac:dyDescent="0.25">
      <c r="A105" s="161"/>
      <c r="B105" s="153" t="s">
        <v>50</v>
      </c>
      <c r="C105" s="151"/>
      <c r="D105" s="151"/>
      <c r="E105" s="151"/>
      <c r="F105" s="151"/>
      <c r="G105" s="151"/>
      <c r="H105" s="151"/>
      <c r="I105" s="151"/>
      <c r="J105" s="151"/>
      <c r="K105" s="151"/>
      <c r="L105" s="151"/>
      <c r="M105" s="151"/>
    </row>
    <row r="106" spans="1:14" x14ac:dyDescent="0.25">
      <c r="A106" s="161"/>
      <c r="B106" s="154" t="s">
        <v>68</v>
      </c>
      <c r="C106" s="176">
        <v>86272</v>
      </c>
      <c r="D106" s="176">
        <v>88940</v>
      </c>
      <c r="E106" s="176">
        <v>50300</v>
      </c>
      <c r="F106" s="176">
        <v>107425</v>
      </c>
      <c r="G106" s="176">
        <v>125237</v>
      </c>
      <c r="H106" s="176">
        <v>124231</v>
      </c>
      <c r="I106" s="177">
        <f>IFERROR(H106/G106-1,"-")</f>
        <v>-8.0327698683296811E-3</v>
      </c>
      <c r="J106" s="177">
        <f>IFERROR(H106/D106-1,"-")</f>
        <v>0.39679559253429275</v>
      </c>
      <c r="K106" s="176">
        <f>H106-G106</f>
        <v>-1006</v>
      </c>
      <c r="L106" s="176">
        <f>H106-D106</f>
        <v>35291</v>
      </c>
      <c r="M106" s="177">
        <f>H106/H$8</f>
        <v>4.3105874156010575E-2</v>
      </c>
      <c r="N106" s="79"/>
    </row>
    <row r="107" spans="1:14" x14ac:dyDescent="0.25">
      <c r="A107" s="161" t="s">
        <v>96</v>
      </c>
      <c r="B107" s="157" t="s">
        <v>97</v>
      </c>
      <c r="C107" s="158">
        <v>17354</v>
      </c>
      <c r="D107" s="158">
        <v>18213</v>
      </c>
      <c r="E107" s="158">
        <v>30000</v>
      </c>
      <c r="F107" s="158">
        <v>22910</v>
      </c>
      <c r="G107" s="158">
        <v>24058</v>
      </c>
      <c r="H107" s="158">
        <v>21808</v>
      </c>
      <c r="I107" s="159">
        <f>IFERROR(H107/G107-1,"-")</f>
        <v>-9.3523983706043756E-2</v>
      </c>
      <c r="J107" s="160">
        <f t="shared" ref="J107:J118" si="42">IFERROR(H107/D107-1,"-")</f>
        <v>0.19738648218305599</v>
      </c>
      <c r="K107" s="158">
        <f t="shared" ref="K107:K117" si="43">H107-G107</f>
        <v>-2250</v>
      </c>
      <c r="L107" s="158">
        <f t="shared" ref="L107:L118" si="44">H107-D107</f>
        <v>3595</v>
      </c>
      <c r="M107" s="159">
        <f>H107/H$8</f>
        <v>7.5669752605571758E-3</v>
      </c>
      <c r="N107" s="79"/>
    </row>
    <row r="108" spans="1:14" x14ac:dyDescent="0.25">
      <c r="A108" s="161" t="s">
        <v>103</v>
      </c>
      <c r="B108" s="162" t="s">
        <v>103</v>
      </c>
      <c r="C108" s="163">
        <v>41704</v>
      </c>
      <c r="D108" s="163">
        <v>34215</v>
      </c>
      <c r="E108" s="163">
        <v>5277</v>
      </c>
      <c r="F108" s="163">
        <v>48303</v>
      </c>
      <c r="G108" s="163">
        <v>49108</v>
      </c>
      <c r="H108" s="163">
        <v>48234</v>
      </c>
      <c r="I108" s="164">
        <f>IFERROR(H108/G108-1,"-")</f>
        <v>-1.7797507534413892E-2</v>
      </c>
      <c r="J108" s="165">
        <f t="shared" si="42"/>
        <v>0.40973257343270486</v>
      </c>
      <c r="K108" s="163">
        <f t="shared" si="43"/>
        <v>-874</v>
      </c>
      <c r="L108" s="163">
        <f t="shared" si="44"/>
        <v>14019</v>
      </c>
      <c r="M108" s="164">
        <f>H108/H$8</f>
        <v>1.6736311661670708E-2</v>
      </c>
      <c r="N108" s="79"/>
    </row>
    <row r="109" spans="1:14" x14ac:dyDescent="0.25">
      <c r="A109" s="161" t="s">
        <v>100</v>
      </c>
      <c r="B109" s="162" t="s">
        <v>100</v>
      </c>
      <c r="C109" s="163">
        <v>84073</v>
      </c>
      <c r="D109" s="163">
        <v>82055</v>
      </c>
      <c r="E109" s="163">
        <v>98046</v>
      </c>
      <c r="F109" s="163">
        <v>97907</v>
      </c>
      <c r="G109" s="163">
        <v>121994</v>
      </c>
      <c r="H109" s="163">
        <v>121947</v>
      </c>
      <c r="I109" s="164">
        <f>IFERROR(H109/G109-1,"-")</f>
        <v>-3.8526484909096048E-4</v>
      </c>
      <c r="J109" s="165">
        <f t="shared" si="42"/>
        <v>0.48616172079702635</v>
      </c>
      <c r="K109" s="163">
        <f t="shared" si="43"/>
        <v>-47</v>
      </c>
      <c r="L109" s="163">
        <f t="shared" si="44"/>
        <v>39892</v>
      </c>
      <c r="M109" s="164">
        <f>H109/H$8</f>
        <v>4.2313368126337396E-2</v>
      </c>
      <c r="N109" s="79"/>
    </row>
    <row r="110" spans="1:14" x14ac:dyDescent="0.25">
      <c r="A110" s="161"/>
      <c r="B110" s="157" t="s">
        <v>107</v>
      </c>
      <c r="C110" s="158">
        <v>68918</v>
      </c>
      <c r="D110" s="158">
        <v>70727</v>
      </c>
      <c r="E110" s="158">
        <v>20300</v>
      </c>
      <c r="F110" s="158">
        <v>84515</v>
      </c>
      <c r="G110" s="158">
        <v>101179</v>
      </c>
      <c r="H110" s="158">
        <v>102423</v>
      </c>
      <c r="I110" s="159">
        <f>IFERROR(H110/G110-1,"-")</f>
        <v>1.2295041461172662E-2</v>
      </c>
      <c r="J110" s="160">
        <f t="shared" si="42"/>
        <v>0.44814568693709611</v>
      </c>
      <c r="K110" s="158">
        <f t="shared" si="43"/>
        <v>1244</v>
      </c>
      <c r="L110" s="158">
        <f t="shared" si="44"/>
        <v>31696</v>
      </c>
      <c r="M110" s="159">
        <f>H110/H$8</f>
        <v>3.5538898895453398E-2</v>
      </c>
      <c r="N110" s="79"/>
    </row>
    <row r="111" spans="1:14" s="56" customFormat="1" x14ac:dyDescent="0.25">
      <c r="A111" s="161"/>
      <c r="B111" s="162" t="s">
        <v>110</v>
      </c>
      <c r="C111" s="163">
        <v>40123</v>
      </c>
      <c r="D111" s="163">
        <v>38111</v>
      </c>
      <c r="E111" s="163">
        <v>4379</v>
      </c>
      <c r="F111" s="163">
        <v>57053</v>
      </c>
      <c r="G111" s="163">
        <v>72566</v>
      </c>
      <c r="H111" s="163">
        <v>69731</v>
      </c>
      <c r="I111" s="164">
        <f t="shared" ref="I111:I118" si="45">IFERROR(H111/G111-1,"-")</f>
        <v>-3.9067883030620365E-2</v>
      </c>
      <c r="J111" s="165">
        <f t="shared" si="42"/>
        <v>0.82968171918868561</v>
      </c>
      <c r="K111" s="163">
        <f t="shared" si="43"/>
        <v>-2835</v>
      </c>
      <c r="L111" s="163">
        <f t="shared" si="44"/>
        <v>31620</v>
      </c>
      <c r="M111" s="164">
        <f t="shared" ref="M111:M118" si="46">H111/H$8</f>
        <v>2.4195375637101633E-2</v>
      </c>
      <c r="N111" s="166"/>
    </row>
    <row r="112" spans="1:14" s="56" customFormat="1" x14ac:dyDescent="0.25">
      <c r="A112" s="161"/>
      <c r="B112" s="162" t="s">
        <v>113</v>
      </c>
      <c r="C112" s="163">
        <v>9119</v>
      </c>
      <c r="D112" s="163">
        <v>8709</v>
      </c>
      <c r="E112" s="163">
        <v>1124</v>
      </c>
      <c r="F112" s="163">
        <v>1957</v>
      </c>
      <c r="G112" s="163">
        <v>3736</v>
      </c>
      <c r="H112" s="163">
        <v>3728</v>
      </c>
      <c r="I112" s="164">
        <f t="shared" si="45"/>
        <v>-2.1413276231263545E-3</v>
      </c>
      <c r="J112" s="165">
        <f t="shared" si="42"/>
        <v>-0.57193707658743831</v>
      </c>
      <c r="K112" s="163">
        <f t="shared" si="43"/>
        <v>-8</v>
      </c>
      <c r="L112" s="163">
        <f t="shared" si="44"/>
        <v>-4981</v>
      </c>
      <c r="M112" s="164">
        <f t="shared" si="46"/>
        <v>1.2935474950182112E-3</v>
      </c>
      <c r="N112" s="166"/>
    </row>
    <row r="113" spans="1:14" x14ac:dyDescent="0.25">
      <c r="A113" s="161"/>
      <c r="B113" s="162" t="s">
        <v>116</v>
      </c>
      <c r="C113" s="163">
        <v>8086</v>
      </c>
      <c r="D113" s="163">
        <v>8790</v>
      </c>
      <c r="E113" s="163">
        <v>1599</v>
      </c>
      <c r="F113" s="163">
        <v>6027</v>
      </c>
      <c r="G113" s="163">
        <v>5100</v>
      </c>
      <c r="H113" s="163">
        <v>7942</v>
      </c>
      <c r="I113" s="164">
        <f t="shared" si="45"/>
        <v>0.55725490196078442</v>
      </c>
      <c r="J113" s="165">
        <f t="shared" si="42"/>
        <v>-9.6473265073947712E-2</v>
      </c>
      <c r="K113" s="163">
        <f t="shared" si="43"/>
        <v>2842</v>
      </c>
      <c r="L113" s="163">
        <f t="shared" si="44"/>
        <v>-848</v>
      </c>
      <c r="M113" s="164">
        <f t="shared" si="46"/>
        <v>2.7557280593977023E-3</v>
      </c>
      <c r="N113" s="79"/>
    </row>
    <row r="114" spans="1:14" x14ac:dyDescent="0.25">
      <c r="A114" s="161"/>
      <c r="B114" s="162" t="s">
        <v>123</v>
      </c>
      <c r="C114" s="163">
        <v>864</v>
      </c>
      <c r="D114" s="163">
        <v>807</v>
      </c>
      <c r="E114" s="163">
        <v>184</v>
      </c>
      <c r="F114" s="163">
        <v>3035</v>
      </c>
      <c r="G114" s="163">
        <v>3026</v>
      </c>
      <c r="H114" s="163">
        <v>2654</v>
      </c>
      <c r="I114" s="164">
        <f t="shared" si="45"/>
        <v>-0.12293456708526107</v>
      </c>
      <c r="J114" s="165">
        <f t="shared" si="42"/>
        <v>2.288723667905824</v>
      </c>
      <c r="K114" s="163">
        <f t="shared" si="43"/>
        <v>-372</v>
      </c>
      <c r="L114" s="163">
        <f t="shared" si="44"/>
        <v>1847</v>
      </c>
      <c r="M114" s="164">
        <f t="shared" si="46"/>
        <v>9.2088923062723523E-4</v>
      </c>
      <c r="N114" s="79"/>
    </row>
    <row r="115" spans="1:14" x14ac:dyDescent="0.25">
      <c r="A115" s="161"/>
      <c r="B115" s="162" t="s">
        <v>119</v>
      </c>
      <c r="C115" s="163">
        <v>2440</v>
      </c>
      <c r="D115" s="163">
        <v>2126</v>
      </c>
      <c r="E115" s="163">
        <v>8307</v>
      </c>
      <c r="F115" s="163">
        <v>2964</v>
      </c>
      <c r="G115" s="163">
        <v>2896</v>
      </c>
      <c r="H115" s="163">
        <v>2306</v>
      </c>
      <c r="I115" s="164">
        <f t="shared" si="45"/>
        <v>-0.20372928176795579</v>
      </c>
      <c r="J115" s="165">
        <f t="shared" si="42"/>
        <v>8.4666039510818525E-2</v>
      </c>
      <c r="K115" s="163">
        <f t="shared" si="43"/>
        <v>-590</v>
      </c>
      <c r="L115" s="163">
        <f t="shared" si="44"/>
        <v>180</v>
      </c>
      <c r="M115" s="164">
        <f t="shared" si="46"/>
        <v>8.0013962540557819E-4</v>
      </c>
      <c r="N115" s="79"/>
    </row>
    <row r="116" spans="1:14" x14ac:dyDescent="0.25">
      <c r="A116" s="161"/>
      <c r="B116" s="162" t="s">
        <v>128</v>
      </c>
      <c r="C116" s="163">
        <v>14</v>
      </c>
      <c r="D116" s="163">
        <v>108</v>
      </c>
      <c r="E116" s="163">
        <v>49</v>
      </c>
      <c r="F116" s="163">
        <v>93</v>
      </c>
      <c r="G116" s="163">
        <v>219</v>
      </c>
      <c r="H116" s="163">
        <v>25</v>
      </c>
      <c r="I116" s="164">
        <f t="shared" si="45"/>
        <v>-0.88584474885844755</v>
      </c>
      <c r="J116" s="165">
        <f t="shared" si="42"/>
        <v>-0.76851851851851849</v>
      </c>
      <c r="K116" s="163">
        <f t="shared" si="43"/>
        <v>-194</v>
      </c>
      <c r="L116" s="163">
        <f t="shared" si="44"/>
        <v>-83</v>
      </c>
      <c r="M116" s="164">
        <f t="shared" si="46"/>
        <v>8.6745406050041E-6</v>
      </c>
      <c r="N116" s="79"/>
    </row>
    <row r="117" spans="1:14" x14ac:dyDescent="0.25">
      <c r="A117" s="161" t="s">
        <v>144</v>
      </c>
      <c r="B117" s="162" t="s">
        <v>131</v>
      </c>
      <c r="C117" s="163">
        <v>124</v>
      </c>
      <c r="D117" s="163">
        <v>146</v>
      </c>
      <c r="E117" s="163">
        <v>32</v>
      </c>
      <c r="F117" s="163">
        <v>81</v>
      </c>
      <c r="G117" s="163">
        <v>111</v>
      </c>
      <c r="H117" s="163">
        <v>22</v>
      </c>
      <c r="I117" s="164">
        <f t="shared" si="45"/>
        <v>-0.80180180180180183</v>
      </c>
      <c r="J117" s="165">
        <f t="shared" si="42"/>
        <v>-0.84931506849315075</v>
      </c>
      <c r="K117" s="163">
        <f t="shared" si="43"/>
        <v>-89</v>
      </c>
      <c r="L117" s="163">
        <f t="shared" si="44"/>
        <v>-124</v>
      </c>
      <c r="M117" s="164">
        <f t="shared" si="46"/>
        <v>7.6335957324036081E-6</v>
      </c>
      <c r="N117" s="79"/>
    </row>
    <row r="118" spans="1:14" x14ac:dyDescent="0.25">
      <c r="A118" s="161" t="s">
        <v>145</v>
      </c>
      <c r="B118" s="168" t="s">
        <v>145</v>
      </c>
      <c r="C118" s="169">
        <f t="shared" ref="C118:H118" si="47">C110-SUM(C111:C117)</f>
        <v>8148</v>
      </c>
      <c r="D118" s="169">
        <f t="shared" si="47"/>
        <v>11930</v>
      </c>
      <c r="E118" s="169">
        <f t="shared" si="47"/>
        <v>4626</v>
      </c>
      <c r="F118" s="169">
        <f t="shared" si="47"/>
        <v>13305</v>
      </c>
      <c r="G118" s="169">
        <f t="shared" si="47"/>
        <v>13525</v>
      </c>
      <c r="H118" s="169">
        <f t="shared" si="47"/>
        <v>16015</v>
      </c>
      <c r="I118" s="170">
        <f t="shared" si="45"/>
        <v>0.18410351201478736</v>
      </c>
      <c r="J118" s="171">
        <f t="shared" si="42"/>
        <v>0.34241408214585078</v>
      </c>
      <c r="K118" s="169">
        <f>H118-G118</f>
        <v>2490</v>
      </c>
      <c r="L118" s="169">
        <f t="shared" si="44"/>
        <v>4085</v>
      </c>
      <c r="M118" s="170">
        <f t="shared" si="46"/>
        <v>5.5569107115656258E-3</v>
      </c>
      <c r="N118" s="79"/>
    </row>
    <row r="119" spans="1:14" s="144" customFormat="1" x14ac:dyDescent="0.25">
      <c r="A119" s="161"/>
      <c r="B119" s="153" t="s">
        <v>51</v>
      </c>
      <c r="C119" s="151"/>
      <c r="D119" s="151"/>
      <c r="E119" s="151"/>
      <c r="F119" s="151"/>
      <c r="G119" s="151"/>
      <c r="H119" s="151"/>
      <c r="I119" s="151"/>
      <c r="J119" s="151"/>
      <c r="K119" s="151"/>
      <c r="L119" s="151"/>
      <c r="M119" s="151"/>
    </row>
    <row r="120" spans="1:14" x14ac:dyDescent="0.25">
      <c r="A120" s="161"/>
      <c r="B120" s="154" t="s">
        <v>68</v>
      </c>
      <c r="C120" s="176">
        <v>40986</v>
      </c>
      <c r="D120" s="176">
        <v>36471</v>
      </c>
      <c r="E120" s="176">
        <v>14501</v>
      </c>
      <c r="F120" s="176">
        <v>42224</v>
      </c>
      <c r="G120" s="176">
        <v>40151</v>
      </c>
      <c r="H120" s="176">
        <v>43154</v>
      </c>
      <c r="I120" s="177">
        <f>IFERROR(H120/G120-1,"-")</f>
        <v>7.479265771711785E-2</v>
      </c>
      <c r="J120" s="177">
        <f>IFERROR(H120/D120-1,"-")</f>
        <v>0.18324147953168279</v>
      </c>
      <c r="K120" s="176">
        <f>H120-G120</f>
        <v>3003</v>
      </c>
      <c r="L120" s="176">
        <f>H120-D120</f>
        <v>6683</v>
      </c>
      <c r="M120" s="177">
        <f>H120/H$8</f>
        <v>1.4973645010733876E-2</v>
      </c>
      <c r="N120" s="79"/>
    </row>
    <row r="121" spans="1:14" x14ac:dyDescent="0.25">
      <c r="A121" s="161" t="s">
        <v>96</v>
      </c>
      <c r="B121" s="157" t="s">
        <v>97</v>
      </c>
      <c r="C121" s="158">
        <v>20872</v>
      </c>
      <c r="D121" s="158">
        <v>18123</v>
      </c>
      <c r="E121" s="158">
        <v>9944</v>
      </c>
      <c r="F121" s="158">
        <v>24548</v>
      </c>
      <c r="G121" s="158">
        <v>23087</v>
      </c>
      <c r="H121" s="158">
        <v>27092</v>
      </c>
      <c r="I121" s="159">
        <f>IFERROR(H121/G121-1,"-")</f>
        <v>0.17347424957768443</v>
      </c>
      <c r="J121" s="160">
        <f t="shared" ref="J121:J132" si="48">IFERROR(H121/D121-1,"-")</f>
        <v>0.49489598852287142</v>
      </c>
      <c r="K121" s="158">
        <f t="shared" ref="K121:K131" si="49">H121-G121</f>
        <v>4005</v>
      </c>
      <c r="L121" s="158">
        <f t="shared" ref="L121:L132" si="50">H121-D121</f>
        <v>8969</v>
      </c>
      <c r="M121" s="159">
        <f>H121/H$8</f>
        <v>9.4004261628308425E-3</v>
      </c>
      <c r="N121" s="79"/>
    </row>
    <row r="122" spans="1:14" x14ac:dyDescent="0.25">
      <c r="A122" s="161" t="s">
        <v>103</v>
      </c>
      <c r="B122" s="162" t="s">
        <v>103</v>
      </c>
      <c r="C122" s="163">
        <v>103205</v>
      </c>
      <c r="D122" s="163">
        <v>80581</v>
      </c>
      <c r="E122" s="163">
        <v>28268</v>
      </c>
      <c r="F122" s="163">
        <v>94805</v>
      </c>
      <c r="G122" s="163">
        <v>89743</v>
      </c>
      <c r="H122" s="163">
        <v>103806</v>
      </c>
      <c r="I122" s="164">
        <f>IFERROR(H122/G122-1,"-")</f>
        <v>0.15670302976276695</v>
      </c>
      <c r="J122" s="165">
        <f t="shared" si="48"/>
        <v>0.28821930728087275</v>
      </c>
      <c r="K122" s="163">
        <f t="shared" si="49"/>
        <v>14063</v>
      </c>
      <c r="L122" s="163">
        <f t="shared" si="50"/>
        <v>23225</v>
      </c>
      <c r="M122" s="164">
        <f>H122/H$8</f>
        <v>3.6018774481722221E-2</v>
      </c>
      <c r="N122" s="79"/>
    </row>
    <row r="123" spans="1:14" x14ac:dyDescent="0.25">
      <c r="A123" s="161" t="s">
        <v>100</v>
      </c>
      <c r="B123" s="162" t="s">
        <v>100</v>
      </c>
      <c r="C123" s="163">
        <v>98229</v>
      </c>
      <c r="D123" s="163">
        <v>91876</v>
      </c>
      <c r="E123" s="163">
        <v>42294</v>
      </c>
      <c r="F123" s="163">
        <v>104197</v>
      </c>
      <c r="G123" s="163">
        <v>135218</v>
      </c>
      <c r="H123" s="163">
        <v>126086</v>
      </c>
      <c r="I123" s="164">
        <f>IFERROR(H123/G123-1,"-")</f>
        <v>-6.7535387300507344E-2</v>
      </c>
      <c r="J123" s="165">
        <f t="shared" si="48"/>
        <v>0.37234968871087126</v>
      </c>
      <c r="K123" s="163">
        <f t="shared" si="49"/>
        <v>-9132</v>
      </c>
      <c r="L123" s="163">
        <f t="shared" si="50"/>
        <v>34210</v>
      </c>
      <c r="M123" s="164">
        <f>H123/H$8</f>
        <v>4.3749525068901875E-2</v>
      </c>
      <c r="N123" s="79"/>
    </row>
    <row r="124" spans="1:14" x14ac:dyDescent="0.25">
      <c r="A124" s="161"/>
      <c r="B124" s="157" t="s">
        <v>107</v>
      </c>
      <c r="C124" s="158">
        <v>20114</v>
      </c>
      <c r="D124" s="158">
        <v>18348</v>
      </c>
      <c r="E124" s="158">
        <v>4557</v>
      </c>
      <c r="F124" s="158">
        <v>17676</v>
      </c>
      <c r="G124" s="158">
        <v>17064</v>
      </c>
      <c r="H124" s="158">
        <v>16062</v>
      </c>
      <c r="I124" s="159">
        <f>IFERROR(H124/G124-1,"-")</f>
        <v>-5.8720112517580914E-2</v>
      </c>
      <c r="J124" s="160">
        <f t="shared" si="48"/>
        <v>-0.12459123610202749</v>
      </c>
      <c r="K124" s="158">
        <f t="shared" si="49"/>
        <v>-1002</v>
      </c>
      <c r="L124" s="158">
        <f t="shared" si="50"/>
        <v>-2286</v>
      </c>
      <c r="M124" s="159">
        <f>H124/H$8</f>
        <v>5.5732188479030338E-3</v>
      </c>
      <c r="N124" s="79"/>
    </row>
    <row r="125" spans="1:14" s="56" customFormat="1" x14ac:dyDescent="0.25">
      <c r="A125" s="161"/>
      <c r="B125" s="162" t="s">
        <v>110</v>
      </c>
      <c r="C125" s="163">
        <v>1843</v>
      </c>
      <c r="D125" s="163">
        <v>2147</v>
      </c>
      <c r="E125" s="163">
        <v>271</v>
      </c>
      <c r="F125" s="163">
        <v>2245</v>
      </c>
      <c r="G125" s="163">
        <v>4909</v>
      </c>
      <c r="H125" s="163">
        <v>2363</v>
      </c>
      <c r="I125" s="164">
        <f t="shared" ref="I125:I132" si="51">IFERROR(H125/G125-1,"-")</f>
        <v>-0.51863923405988999</v>
      </c>
      <c r="J125" s="165">
        <f t="shared" si="48"/>
        <v>0.10060549604098745</v>
      </c>
      <c r="K125" s="163">
        <f t="shared" si="49"/>
        <v>-2546</v>
      </c>
      <c r="L125" s="163">
        <f t="shared" si="50"/>
        <v>216</v>
      </c>
      <c r="M125" s="164">
        <f t="shared" ref="M125:M132" si="52">H125/H$8</f>
        <v>8.1991757798498754E-4</v>
      </c>
      <c r="N125" s="166"/>
    </row>
    <row r="126" spans="1:14" s="56" customFormat="1" x14ac:dyDescent="0.25">
      <c r="A126" s="161"/>
      <c r="B126" s="162" t="s">
        <v>113</v>
      </c>
      <c r="C126" s="163">
        <v>1829</v>
      </c>
      <c r="D126" s="163">
        <v>1505</v>
      </c>
      <c r="E126" s="163">
        <v>265</v>
      </c>
      <c r="F126" s="163">
        <v>1872</v>
      </c>
      <c r="G126" s="163">
        <v>2184</v>
      </c>
      <c r="H126" s="163">
        <v>2212</v>
      </c>
      <c r="I126" s="164">
        <f t="shared" si="51"/>
        <v>1.2820512820512775E-2</v>
      </c>
      <c r="J126" s="165">
        <f t="shared" si="48"/>
        <v>0.46976744186046515</v>
      </c>
      <c r="K126" s="163">
        <f t="shared" si="49"/>
        <v>28</v>
      </c>
      <c r="L126" s="163">
        <f t="shared" si="50"/>
        <v>707</v>
      </c>
      <c r="M126" s="164">
        <f t="shared" si="52"/>
        <v>7.6752335273076277E-4</v>
      </c>
      <c r="N126" s="166"/>
    </row>
    <row r="127" spans="1:14" x14ac:dyDescent="0.25">
      <c r="A127" s="161"/>
      <c r="B127" s="162" t="s">
        <v>116</v>
      </c>
      <c r="C127" s="163">
        <v>2226</v>
      </c>
      <c r="D127" s="163">
        <v>1701</v>
      </c>
      <c r="E127" s="163">
        <v>212</v>
      </c>
      <c r="F127" s="163">
        <v>1536</v>
      </c>
      <c r="G127" s="163">
        <v>1358</v>
      </c>
      <c r="H127" s="163">
        <v>2078</v>
      </c>
      <c r="I127" s="164">
        <f t="shared" si="51"/>
        <v>0.53019145802650947</v>
      </c>
      <c r="J127" s="165">
        <f t="shared" si="48"/>
        <v>0.22163433274544375</v>
      </c>
      <c r="K127" s="163">
        <f t="shared" si="49"/>
        <v>720</v>
      </c>
      <c r="L127" s="163">
        <f t="shared" si="50"/>
        <v>377</v>
      </c>
      <c r="M127" s="164">
        <f t="shared" si="52"/>
        <v>7.2102781508794078E-4</v>
      </c>
      <c r="N127" s="79"/>
    </row>
    <row r="128" spans="1:14" x14ac:dyDescent="0.25">
      <c r="A128" s="161"/>
      <c r="B128" s="162" t="s">
        <v>123</v>
      </c>
      <c r="C128" s="163">
        <v>302</v>
      </c>
      <c r="D128" s="163">
        <v>361</v>
      </c>
      <c r="E128" s="163">
        <v>29</v>
      </c>
      <c r="F128" s="163">
        <v>373</v>
      </c>
      <c r="G128" s="163">
        <v>576</v>
      </c>
      <c r="H128" s="163">
        <v>351</v>
      </c>
      <c r="I128" s="164">
        <f t="shared" si="51"/>
        <v>-0.390625</v>
      </c>
      <c r="J128" s="165">
        <f t="shared" si="48"/>
        <v>-2.7700831024930705E-2</v>
      </c>
      <c r="K128" s="163">
        <f t="shared" si="49"/>
        <v>-225</v>
      </c>
      <c r="L128" s="163">
        <f t="shared" si="50"/>
        <v>-10</v>
      </c>
      <c r="M128" s="164">
        <f t="shared" si="52"/>
        <v>1.2179055009425756E-4</v>
      </c>
      <c r="N128" s="79"/>
    </row>
    <row r="129" spans="1:14" x14ac:dyDescent="0.25">
      <c r="A129" s="161"/>
      <c r="B129" s="162" t="s">
        <v>119</v>
      </c>
      <c r="C129" s="163">
        <v>421</v>
      </c>
      <c r="D129" s="163">
        <v>328</v>
      </c>
      <c r="E129" s="163">
        <v>140</v>
      </c>
      <c r="F129" s="163">
        <v>243</v>
      </c>
      <c r="G129" s="163">
        <v>288</v>
      </c>
      <c r="H129" s="163">
        <v>439</v>
      </c>
      <c r="I129" s="164">
        <f t="shared" si="51"/>
        <v>0.52430555555555558</v>
      </c>
      <c r="J129" s="165">
        <f t="shared" si="48"/>
        <v>0.33841463414634143</v>
      </c>
      <c r="K129" s="163">
        <f t="shared" si="49"/>
        <v>151</v>
      </c>
      <c r="L129" s="163">
        <f t="shared" si="50"/>
        <v>111</v>
      </c>
      <c r="M129" s="164">
        <f t="shared" si="52"/>
        <v>1.5232493302387199E-4</v>
      </c>
      <c r="N129" s="79"/>
    </row>
    <row r="130" spans="1:14" x14ac:dyDescent="0.25">
      <c r="A130" s="161"/>
      <c r="B130" s="162" t="s">
        <v>128</v>
      </c>
      <c r="C130" s="163">
        <v>85</v>
      </c>
      <c r="D130" s="163">
        <v>237</v>
      </c>
      <c r="E130" s="163">
        <v>0</v>
      </c>
      <c r="F130" s="163">
        <v>50</v>
      </c>
      <c r="G130" s="163">
        <v>136</v>
      </c>
      <c r="H130" s="163">
        <v>55</v>
      </c>
      <c r="I130" s="164">
        <f t="shared" si="51"/>
        <v>-0.59558823529411764</v>
      </c>
      <c r="J130" s="165">
        <f t="shared" si="48"/>
        <v>-0.76793248945147674</v>
      </c>
      <c r="K130" s="163">
        <f t="shared" si="49"/>
        <v>-81</v>
      </c>
      <c r="L130" s="163">
        <f t="shared" si="50"/>
        <v>-182</v>
      </c>
      <c r="M130" s="164">
        <f t="shared" si="52"/>
        <v>1.9083989331009019E-5</v>
      </c>
      <c r="N130" s="79"/>
    </row>
    <row r="131" spans="1:14" x14ac:dyDescent="0.25">
      <c r="A131" s="161" t="s">
        <v>144</v>
      </c>
      <c r="B131" s="162" t="s">
        <v>131</v>
      </c>
      <c r="C131" s="163">
        <v>121</v>
      </c>
      <c r="D131" s="163">
        <v>101</v>
      </c>
      <c r="E131" s="163">
        <v>63</v>
      </c>
      <c r="F131" s="163">
        <v>73</v>
      </c>
      <c r="G131" s="163">
        <v>105</v>
      </c>
      <c r="H131" s="163">
        <v>48</v>
      </c>
      <c r="I131" s="164">
        <f t="shared" si="51"/>
        <v>-0.54285714285714293</v>
      </c>
      <c r="J131" s="165">
        <f t="shared" si="48"/>
        <v>-0.52475247524752477</v>
      </c>
      <c r="K131" s="163">
        <f t="shared" si="49"/>
        <v>-57</v>
      </c>
      <c r="L131" s="163">
        <f t="shared" si="50"/>
        <v>-53</v>
      </c>
      <c r="M131" s="164">
        <f t="shared" si="52"/>
        <v>1.6655117961607871E-5</v>
      </c>
      <c r="N131" s="79"/>
    </row>
    <row r="132" spans="1:14" x14ac:dyDescent="0.25">
      <c r="A132" s="161" t="s">
        <v>145</v>
      </c>
      <c r="B132" s="168" t="s">
        <v>145</v>
      </c>
      <c r="C132" s="169">
        <f t="shared" ref="C132:H132" si="53">C124-SUM(C125:C131)</f>
        <v>13287</v>
      </c>
      <c r="D132" s="169">
        <f t="shared" si="53"/>
        <v>11968</v>
      </c>
      <c r="E132" s="169">
        <f t="shared" si="53"/>
        <v>3577</v>
      </c>
      <c r="F132" s="169">
        <f t="shared" si="53"/>
        <v>11284</v>
      </c>
      <c r="G132" s="169">
        <f t="shared" si="53"/>
        <v>7508</v>
      </c>
      <c r="H132" s="169">
        <f t="shared" si="53"/>
        <v>8516</v>
      </c>
      <c r="I132" s="170">
        <f t="shared" si="51"/>
        <v>0.13425679275439539</v>
      </c>
      <c r="J132" s="171">
        <f t="shared" si="48"/>
        <v>-0.28843582887700536</v>
      </c>
      <c r="K132" s="169">
        <f>H132-G132</f>
        <v>1008</v>
      </c>
      <c r="L132" s="169">
        <f t="shared" si="50"/>
        <v>-3452</v>
      </c>
      <c r="M132" s="170">
        <f t="shared" si="52"/>
        <v>2.9548955116885964E-3</v>
      </c>
      <c r="N132" s="79"/>
    </row>
    <row r="133" spans="1:14" s="144" customFormat="1" x14ac:dyDescent="0.25">
      <c r="A133" s="161"/>
      <c r="B133" s="153" t="s">
        <v>52</v>
      </c>
      <c r="C133" s="151"/>
      <c r="D133" s="151"/>
      <c r="E133" s="151"/>
      <c r="F133" s="151"/>
      <c r="G133" s="151"/>
      <c r="H133" s="151"/>
      <c r="I133" s="151"/>
      <c r="J133" s="151"/>
      <c r="K133" s="151"/>
      <c r="L133" s="151"/>
      <c r="M133" s="151"/>
    </row>
    <row r="134" spans="1:14" x14ac:dyDescent="0.25">
      <c r="A134" s="161"/>
      <c r="B134" s="154" t="s">
        <v>68</v>
      </c>
      <c r="C134" s="176">
        <v>175183</v>
      </c>
      <c r="D134" s="176">
        <v>164115</v>
      </c>
      <c r="E134" s="176">
        <v>22909</v>
      </c>
      <c r="F134" s="176">
        <v>136089</v>
      </c>
      <c r="G134" s="176">
        <v>150809</v>
      </c>
      <c r="H134" s="176">
        <v>145872</v>
      </c>
      <c r="I134" s="177">
        <f>IFERROR(H134/G134-1,"-")</f>
        <v>-3.2736773004263697E-2</v>
      </c>
      <c r="J134" s="177">
        <f>IFERROR(H134/D134-1,"-")</f>
        <v>-0.11115985741705514</v>
      </c>
      <c r="K134" s="176">
        <f>H134-G134</f>
        <v>-4937</v>
      </c>
      <c r="L134" s="176">
        <f>H134-D134</f>
        <v>-18243</v>
      </c>
      <c r="M134" s="177">
        <f>H134/H$8</f>
        <v>5.0614903485326324E-2</v>
      </c>
      <c r="N134" s="79"/>
    </row>
    <row r="135" spans="1:14" x14ac:dyDescent="0.25">
      <c r="A135" s="161" t="s">
        <v>96</v>
      </c>
      <c r="B135" s="157" t="s">
        <v>97</v>
      </c>
      <c r="C135" s="158">
        <v>25354</v>
      </c>
      <c r="D135" s="158">
        <v>26178</v>
      </c>
      <c r="E135" s="158">
        <v>10533</v>
      </c>
      <c r="F135" s="158">
        <v>12307</v>
      </c>
      <c r="G135" s="158">
        <v>12268</v>
      </c>
      <c r="H135" s="158">
        <v>11247</v>
      </c>
      <c r="I135" s="159">
        <f>IFERROR(H135/G135-1,"-")</f>
        <v>-8.3224649494620162E-2</v>
      </c>
      <c r="J135" s="160">
        <f t="shared" ref="J135:J146" si="54">IFERROR(H135/D135-1,"-")</f>
        <v>-0.57036442814577126</v>
      </c>
      <c r="K135" s="158">
        <f t="shared" ref="K135:K145" si="55">H135-G135</f>
        <v>-1021</v>
      </c>
      <c r="L135" s="158">
        <f t="shared" ref="L135:L146" si="56">H135-D135</f>
        <v>-14931</v>
      </c>
      <c r="M135" s="159">
        <f>H135/H$8</f>
        <v>3.9025023273792443E-3</v>
      </c>
      <c r="N135" s="79"/>
    </row>
    <row r="136" spans="1:14" x14ac:dyDescent="0.25">
      <c r="A136" s="161" t="s">
        <v>103</v>
      </c>
      <c r="B136" s="162" t="s">
        <v>103</v>
      </c>
      <c r="C136" s="163">
        <v>131110</v>
      </c>
      <c r="D136" s="163">
        <v>83126</v>
      </c>
      <c r="E136" s="163">
        <v>27488</v>
      </c>
      <c r="F136" s="163">
        <v>48763</v>
      </c>
      <c r="G136" s="163">
        <v>51759</v>
      </c>
      <c r="H136" s="163">
        <v>38627</v>
      </c>
      <c r="I136" s="164">
        <f>IFERROR(H136/G136-1,"-")</f>
        <v>-0.25371432987499754</v>
      </c>
      <c r="J136" s="165">
        <f t="shared" si="54"/>
        <v>-0.53531987585111751</v>
      </c>
      <c r="K136" s="163">
        <f t="shared" si="55"/>
        <v>-13132</v>
      </c>
      <c r="L136" s="163">
        <f t="shared" si="56"/>
        <v>-44499</v>
      </c>
      <c r="M136" s="164">
        <f>H136/H$8</f>
        <v>1.3402859197979735E-2</v>
      </c>
      <c r="N136" s="79"/>
    </row>
    <row r="137" spans="1:14" x14ac:dyDescent="0.25">
      <c r="A137" s="161" t="s">
        <v>100</v>
      </c>
      <c r="B137" s="162" t="s">
        <v>100</v>
      </c>
      <c r="C137" s="163">
        <v>52287</v>
      </c>
      <c r="D137" s="163">
        <v>80178</v>
      </c>
      <c r="E137" s="163">
        <v>16929</v>
      </c>
      <c r="F137" s="163">
        <v>39073</v>
      </c>
      <c r="G137" s="163">
        <v>43847</v>
      </c>
      <c r="H137" s="163">
        <v>42303</v>
      </c>
      <c r="I137" s="164">
        <f>IFERROR(H137/G137-1,"-")</f>
        <v>-3.5213355531735324E-2</v>
      </c>
      <c r="J137" s="165">
        <f t="shared" si="54"/>
        <v>-0.47238644017062037</v>
      </c>
      <c r="K137" s="163">
        <f t="shared" si="55"/>
        <v>-1544</v>
      </c>
      <c r="L137" s="163">
        <f t="shared" si="56"/>
        <v>-37875</v>
      </c>
      <c r="M137" s="164">
        <f>H137/H$8</f>
        <v>1.4678363648539536E-2</v>
      </c>
      <c r="N137" s="79"/>
    </row>
    <row r="138" spans="1:14" x14ac:dyDescent="0.25">
      <c r="A138" s="161"/>
      <c r="B138" s="157" t="s">
        <v>107</v>
      </c>
      <c r="C138" s="158">
        <v>149829</v>
      </c>
      <c r="D138" s="158">
        <v>137937</v>
      </c>
      <c r="E138" s="158">
        <v>12376</v>
      </c>
      <c r="F138" s="158">
        <v>123782</v>
      </c>
      <c r="G138" s="158">
        <v>138541</v>
      </c>
      <c r="H138" s="158">
        <v>134625</v>
      </c>
      <c r="I138" s="159">
        <f>IFERROR(H138/G138-1,"-")</f>
        <v>-2.8266000678499492E-2</v>
      </c>
      <c r="J138" s="160">
        <f t="shared" si="54"/>
        <v>-2.4010961525913976E-2</v>
      </c>
      <c r="K138" s="158">
        <f t="shared" si="55"/>
        <v>-3916</v>
      </c>
      <c r="L138" s="158">
        <f t="shared" si="56"/>
        <v>-3312</v>
      </c>
      <c r="M138" s="159">
        <f>H138/H$8</f>
        <v>4.671240115794708E-2</v>
      </c>
      <c r="N138" s="79"/>
    </row>
    <row r="139" spans="1:14" s="56" customFormat="1" x14ac:dyDescent="0.25">
      <c r="A139" s="161"/>
      <c r="B139" s="162" t="s">
        <v>110</v>
      </c>
      <c r="C139" s="163">
        <v>89589</v>
      </c>
      <c r="D139" s="163">
        <v>76931</v>
      </c>
      <c r="E139" s="163">
        <v>1376</v>
      </c>
      <c r="F139" s="163">
        <v>60744</v>
      </c>
      <c r="G139" s="163">
        <v>69941</v>
      </c>
      <c r="H139" s="163">
        <v>69701</v>
      </c>
      <c r="I139" s="164">
        <f t="shared" ref="I139:I146" si="57">IFERROR(H139/G139-1,"-")</f>
        <v>-3.4314636622295724E-3</v>
      </c>
      <c r="J139" s="165">
        <f t="shared" si="54"/>
        <v>-9.3980320027037267E-2</v>
      </c>
      <c r="K139" s="163">
        <f t="shared" si="55"/>
        <v>-240</v>
      </c>
      <c r="L139" s="163">
        <f t="shared" si="56"/>
        <v>-7230</v>
      </c>
      <c r="M139" s="164">
        <f t="shared" ref="M139:M146" si="58">H139/H$8</f>
        <v>2.418496618837563E-2</v>
      </c>
      <c r="N139" s="166"/>
    </row>
    <row r="140" spans="1:14" s="56" customFormat="1" x14ac:dyDescent="0.25">
      <c r="A140" s="161"/>
      <c r="B140" s="162" t="s">
        <v>113</v>
      </c>
      <c r="C140" s="163">
        <v>10354</v>
      </c>
      <c r="D140" s="163">
        <v>9866</v>
      </c>
      <c r="E140" s="163">
        <v>1355</v>
      </c>
      <c r="F140" s="163">
        <v>9609</v>
      </c>
      <c r="G140" s="163">
        <v>12732</v>
      </c>
      <c r="H140" s="163">
        <v>10309</v>
      </c>
      <c r="I140" s="164">
        <f t="shared" si="57"/>
        <v>-0.19030788564247569</v>
      </c>
      <c r="J140" s="165">
        <f t="shared" si="54"/>
        <v>4.4901682546117927E-2</v>
      </c>
      <c r="K140" s="163">
        <f t="shared" si="55"/>
        <v>-2423</v>
      </c>
      <c r="L140" s="163">
        <f t="shared" si="56"/>
        <v>443</v>
      </c>
      <c r="M140" s="164">
        <f t="shared" si="58"/>
        <v>3.5770335638794907E-3</v>
      </c>
      <c r="N140" s="166"/>
    </row>
    <row r="141" spans="1:14" x14ac:dyDescent="0.25">
      <c r="A141" s="161"/>
      <c r="B141" s="162" t="s">
        <v>116</v>
      </c>
      <c r="C141" s="163">
        <v>11878</v>
      </c>
      <c r="D141" s="163">
        <v>10681</v>
      </c>
      <c r="E141" s="163">
        <v>2045</v>
      </c>
      <c r="F141" s="163">
        <v>11521</v>
      </c>
      <c r="G141" s="163">
        <v>13438</v>
      </c>
      <c r="H141" s="163">
        <v>10957</v>
      </c>
      <c r="I141" s="164">
        <f t="shared" si="57"/>
        <v>-0.18462568834648008</v>
      </c>
      <c r="J141" s="165">
        <f t="shared" si="54"/>
        <v>2.5840277127609834E-2</v>
      </c>
      <c r="K141" s="163">
        <f t="shared" si="55"/>
        <v>-2481</v>
      </c>
      <c r="L141" s="163">
        <f t="shared" si="56"/>
        <v>276</v>
      </c>
      <c r="M141" s="164">
        <f t="shared" si="58"/>
        <v>3.8018776563611967E-3</v>
      </c>
      <c r="N141" s="79"/>
    </row>
    <row r="142" spans="1:14" x14ac:dyDescent="0.25">
      <c r="A142" s="161"/>
      <c r="B142" s="162" t="s">
        <v>123</v>
      </c>
      <c r="C142" s="163">
        <v>2765</v>
      </c>
      <c r="D142" s="163">
        <v>3118</v>
      </c>
      <c r="E142" s="163">
        <v>57</v>
      </c>
      <c r="F142" s="163">
        <v>5770</v>
      </c>
      <c r="G142" s="163">
        <v>7531</v>
      </c>
      <c r="H142" s="163">
        <v>3763</v>
      </c>
      <c r="I142" s="164">
        <f t="shared" si="57"/>
        <v>-0.50033196122692869</v>
      </c>
      <c r="J142" s="165">
        <f t="shared" si="54"/>
        <v>0.20686337395766508</v>
      </c>
      <c r="K142" s="163">
        <f t="shared" si="55"/>
        <v>-3768</v>
      </c>
      <c r="L142" s="163">
        <f t="shared" si="56"/>
        <v>645</v>
      </c>
      <c r="M142" s="164">
        <f t="shared" si="58"/>
        <v>1.3056918518652171E-3</v>
      </c>
      <c r="N142" s="79"/>
    </row>
    <row r="143" spans="1:14" x14ac:dyDescent="0.25">
      <c r="A143" s="161"/>
      <c r="B143" s="162" t="s">
        <v>119</v>
      </c>
      <c r="C143" s="163">
        <v>4509</v>
      </c>
      <c r="D143" s="163">
        <v>3446</v>
      </c>
      <c r="E143" s="163">
        <v>1017</v>
      </c>
      <c r="F143" s="163">
        <v>2357</v>
      </c>
      <c r="G143" s="163">
        <v>2600</v>
      </c>
      <c r="H143" s="163">
        <v>1713</v>
      </c>
      <c r="I143" s="164">
        <f t="shared" si="57"/>
        <v>-0.34115384615384614</v>
      </c>
      <c r="J143" s="165">
        <f t="shared" si="54"/>
        <v>-0.50290191526407435</v>
      </c>
      <c r="K143" s="163">
        <f t="shared" si="55"/>
        <v>-887</v>
      </c>
      <c r="L143" s="163">
        <f t="shared" si="56"/>
        <v>-1733</v>
      </c>
      <c r="M143" s="164">
        <f t="shared" si="58"/>
        <v>5.9437952225488086E-4</v>
      </c>
      <c r="N143" s="79"/>
    </row>
    <row r="144" spans="1:14" x14ac:dyDescent="0.25">
      <c r="A144" s="161"/>
      <c r="B144" s="162" t="s">
        <v>128</v>
      </c>
      <c r="C144" s="163">
        <v>482</v>
      </c>
      <c r="D144" s="163">
        <v>45</v>
      </c>
      <c r="E144" s="163">
        <v>6</v>
      </c>
      <c r="F144" s="163">
        <v>126</v>
      </c>
      <c r="G144" s="163">
        <v>46</v>
      </c>
      <c r="H144" s="163">
        <v>94</v>
      </c>
      <c r="I144" s="164">
        <f t="shared" si="57"/>
        <v>1.0434782608695654</v>
      </c>
      <c r="J144" s="165">
        <f t="shared" si="54"/>
        <v>1.088888888888889</v>
      </c>
      <c r="K144" s="163">
        <f t="shared" si="55"/>
        <v>48</v>
      </c>
      <c r="L144" s="163">
        <f t="shared" si="56"/>
        <v>49</v>
      </c>
      <c r="M144" s="164">
        <f t="shared" si="58"/>
        <v>3.2616272674815413E-5</v>
      </c>
      <c r="N144" s="79"/>
    </row>
    <row r="145" spans="1:14" x14ac:dyDescent="0.25">
      <c r="A145" s="161" t="s">
        <v>144</v>
      </c>
      <c r="B145" s="162" t="s">
        <v>131</v>
      </c>
      <c r="C145" s="163">
        <v>103</v>
      </c>
      <c r="D145" s="163">
        <v>136</v>
      </c>
      <c r="E145" s="163">
        <v>0</v>
      </c>
      <c r="F145" s="163">
        <v>15</v>
      </c>
      <c r="G145" s="163">
        <v>53</v>
      </c>
      <c r="H145" s="163">
        <v>102</v>
      </c>
      <c r="I145" s="164">
        <f t="shared" si="57"/>
        <v>0.92452830188679247</v>
      </c>
      <c r="J145" s="165">
        <f t="shared" si="54"/>
        <v>-0.25</v>
      </c>
      <c r="K145" s="163">
        <f t="shared" si="55"/>
        <v>49</v>
      </c>
      <c r="L145" s="163">
        <f t="shared" si="56"/>
        <v>-34</v>
      </c>
      <c r="M145" s="164">
        <f t="shared" si="58"/>
        <v>3.5392125668416729E-5</v>
      </c>
      <c r="N145" s="79"/>
    </row>
    <row r="146" spans="1:14" x14ac:dyDescent="0.25">
      <c r="A146" s="161" t="s">
        <v>145</v>
      </c>
      <c r="B146" s="168" t="s">
        <v>145</v>
      </c>
      <c r="C146" s="169">
        <f t="shared" ref="C146:H146" si="59">C138-SUM(C139:C145)</f>
        <v>30149</v>
      </c>
      <c r="D146" s="169">
        <f t="shared" si="59"/>
        <v>33714</v>
      </c>
      <c r="E146" s="169">
        <f t="shared" si="59"/>
        <v>6520</v>
      </c>
      <c r="F146" s="169">
        <f t="shared" si="59"/>
        <v>33640</v>
      </c>
      <c r="G146" s="169">
        <f t="shared" si="59"/>
        <v>32200</v>
      </c>
      <c r="H146" s="169">
        <f t="shared" si="59"/>
        <v>37986</v>
      </c>
      <c r="I146" s="170">
        <f t="shared" si="57"/>
        <v>0.17968944099378881</v>
      </c>
      <c r="J146" s="171">
        <f t="shared" si="54"/>
        <v>0.12671293824523944</v>
      </c>
      <c r="K146" s="169">
        <f>H146-G146</f>
        <v>5786</v>
      </c>
      <c r="L146" s="169">
        <f t="shared" si="56"/>
        <v>4272</v>
      </c>
      <c r="M146" s="170">
        <f t="shared" si="58"/>
        <v>1.3180443976867429E-2</v>
      </c>
      <c r="N146" s="79"/>
    </row>
    <row r="147" spans="1:14" s="144" customFormat="1" x14ac:dyDescent="0.25">
      <c r="A147" s="161"/>
      <c r="B147" s="153" t="s">
        <v>53</v>
      </c>
      <c r="C147" s="151"/>
      <c r="D147" s="151"/>
      <c r="E147" s="151"/>
      <c r="F147" s="151"/>
      <c r="G147" s="151"/>
      <c r="H147" s="151"/>
      <c r="I147" s="151"/>
      <c r="J147" s="151"/>
      <c r="K147" s="151"/>
      <c r="L147" s="151"/>
      <c r="M147" s="151"/>
    </row>
    <row r="148" spans="1:14" x14ac:dyDescent="0.25">
      <c r="A148" s="161"/>
      <c r="B148" s="154" t="s">
        <v>68</v>
      </c>
      <c r="C148" s="176">
        <v>77782</v>
      </c>
      <c r="D148" s="176">
        <v>46117</v>
      </c>
      <c r="E148" s="176">
        <v>12773</v>
      </c>
      <c r="F148" s="176">
        <v>45326</v>
      </c>
      <c r="G148" s="176">
        <v>51812</v>
      </c>
      <c r="H148" s="176">
        <v>59839</v>
      </c>
      <c r="I148" s="177">
        <f>IFERROR(H148/G148-1,"-")</f>
        <v>0.15492549988419668</v>
      </c>
      <c r="J148" s="177">
        <f>IFERROR(H148/D148-1,"-")</f>
        <v>0.29754754212112666</v>
      </c>
      <c r="K148" s="176">
        <f>H148-G148</f>
        <v>8027</v>
      </c>
      <c r="L148" s="176">
        <f>H148-D148</f>
        <v>13722</v>
      </c>
      <c r="M148" s="177">
        <f>H148/H$8</f>
        <v>2.0763033410513613E-2</v>
      </c>
      <c r="N148" s="79"/>
    </row>
    <row r="149" spans="1:14" x14ac:dyDescent="0.25">
      <c r="A149" s="161" t="s">
        <v>96</v>
      </c>
      <c r="B149" s="157" t="s">
        <v>97</v>
      </c>
      <c r="C149" s="158">
        <v>35437</v>
      </c>
      <c r="D149" s="158">
        <v>12798</v>
      </c>
      <c r="E149" s="158">
        <v>8890</v>
      </c>
      <c r="F149" s="158">
        <v>20101</v>
      </c>
      <c r="G149" s="158">
        <v>20643</v>
      </c>
      <c r="H149" s="158">
        <v>23005</v>
      </c>
      <c r="I149" s="159">
        <f>IFERROR(H149/G149-1,"-")</f>
        <v>0.11442135348544302</v>
      </c>
      <c r="J149" s="160">
        <f t="shared" ref="J149:J160" si="60">IFERROR(H149/D149-1,"-")</f>
        <v>0.79754649163931868</v>
      </c>
      <c r="K149" s="158">
        <f t="shared" ref="K149:K159" si="61">H149-G149</f>
        <v>2362</v>
      </c>
      <c r="L149" s="158">
        <f t="shared" ref="L149:L160" si="62">H149-D149</f>
        <v>10207</v>
      </c>
      <c r="M149" s="159">
        <f>H149/H$8</f>
        <v>7.9823122647247717E-3</v>
      </c>
      <c r="N149" s="79"/>
    </row>
    <row r="150" spans="1:14" x14ac:dyDescent="0.25">
      <c r="A150" s="161" t="s">
        <v>103</v>
      </c>
      <c r="B150" s="162" t="s">
        <v>103</v>
      </c>
      <c r="C150" s="163">
        <v>86384</v>
      </c>
      <c r="D150" s="163">
        <v>81451</v>
      </c>
      <c r="E150" s="163">
        <v>30833</v>
      </c>
      <c r="F150" s="163">
        <v>112268</v>
      </c>
      <c r="G150" s="163">
        <v>162008</v>
      </c>
      <c r="H150" s="163">
        <v>142328</v>
      </c>
      <c r="I150" s="164">
        <f>IFERROR(H150/G150-1,"-")</f>
        <v>-0.12147548269221276</v>
      </c>
      <c r="J150" s="165">
        <f t="shared" si="60"/>
        <v>0.74740641612748759</v>
      </c>
      <c r="K150" s="163">
        <f t="shared" si="61"/>
        <v>-19680</v>
      </c>
      <c r="L150" s="163">
        <f t="shared" si="62"/>
        <v>60877</v>
      </c>
      <c r="M150" s="164">
        <f>H150/H$8</f>
        <v>4.9385200609160941E-2</v>
      </c>
      <c r="N150" s="79"/>
    </row>
    <row r="151" spans="1:14" x14ac:dyDescent="0.25">
      <c r="A151" s="161" t="s">
        <v>100</v>
      </c>
      <c r="B151" s="162" t="s">
        <v>100</v>
      </c>
      <c r="C151" s="163">
        <v>115852</v>
      </c>
      <c r="D151" s="163">
        <v>118563</v>
      </c>
      <c r="E151" s="163">
        <v>41277</v>
      </c>
      <c r="F151" s="163">
        <v>75221</v>
      </c>
      <c r="G151" s="163">
        <v>75257</v>
      </c>
      <c r="H151" s="163">
        <v>74496</v>
      </c>
      <c r="I151" s="164">
        <f>IFERROR(H151/G151-1,"-")</f>
        <v>-1.011201615796542E-2</v>
      </c>
      <c r="J151" s="165">
        <f t="shared" si="60"/>
        <v>-0.37167581791958704</v>
      </c>
      <c r="K151" s="163">
        <f t="shared" si="61"/>
        <v>-761</v>
      </c>
      <c r="L151" s="163">
        <f t="shared" si="62"/>
        <v>-44067</v>
      </c>
      <c r="M151" s="164">
        <f>H151/H$8</f>
        <v>2.5848743076415416E-2</v>
      </c>
      <c r="N151" s="79"/>
    </row>
    <row r="152" spans="1:14" x14ac:dyDescent="0.25">
      <c r="A152" s="161"/>
      <c r="B152" s="157" t="s">
        <v>107</v>
      </c>
      <c r="C152" s="158">
        <v>42345</v>
      </c>
      <c r="D152" s="158">
        <v>33319</v>
      </c>
      <c r="E152" s="158">
        <v>3883</v>
      </c>
      <c r="F152" s="158">
        <v>25225</v>
      </c>
      <c r="G152" s="158">
        <v>31169</v>
      </c>
      <c r="H152" s="158">
        <v>36834</v>
      </c>
      <c r="I152" s="159">
        <f>IFERROR(H152/G152-1,"-")</f>
        <v>0.1817510988482145</v>
      </c>
      <c r="J152" s="160">
        <f t="shared" si="60"/>
        <v>0.10549536300609264</v>
      </c>
      <c r="K152" s="158">
        <f t="shared" si="61"/>
        <v>5665</v>
      </c>
      <c r="L152" s="158">
        <f t="shared" si="62"/>
        <v>3515</v>
      </c>
      <c r="M152" s="159">
        <f>H152/H$8</f>
        <v>1.2780721145788839E-2</v>
      </c>
      <c r="N152" s="79"/>
    </row>
    <row r="153" spans="1:14" s="56" customFormat="1" x14ac:dyDescent="0.25">
      <c r="A153" s="161"/>
      <c r="B153" s="162" t="s">
        <v>110</v>
      </c>
      <c r="C153" s="163">
        <v>9223</v>
      </c>
      <c r="D153" s="163">
        <v>6231</v>
      </c>
      <c r="E153" s="163">
        <v>61</v>
      </c>
      <c r="F153" s="163">
        <v>10081</v>
      </c>
      <c r="G153" s="163">
        <v>10375</v>
      </c>
      <c r="H153" s="163">
        <v>10394</v>
      </c>
      <c r="I153" s="164">
        <f t="shared" ref="I153:I160" si="63">IFERROR(H153/G153-1,"-")</f>
        <v>1.8313253012047781E-3</v>
      </c>
      <c r="J153" s="165">
        <f t="shared" si="60"/>
        <v>0.66811105761515011</v>
      </c>
      <c r="K153" s="163">
        <f t="shared" si="61"/>
        <v>19</v>
      </c>
      <c r="L153" s="163">
        <f t="shared" si="62"/>
        <v>4163</v>
      </c>
      <c r="M153" s="164">
        <f t="shared" ref="M153:M160" si="64">H153/H$8</f>
        <v>3.6065270019365043E-3</v>
      </c>
      <c r="N153" s="166"/>
    </row>
    <row r="154" spans="1:14" s="56" customFormat="1" x14ac:dyDescent="0.25">
      <c r="A154" s="161"/>
      <c r="B154" s="162" t="s">
        <v>113</v>
      </c>
      <c r="C154" s="163">
        <v>13379</v>
      </c>
      <c r="D154" s="163">
        <v>11211</v>
      </c>
      <c r="E154" s="163">
        <v>621</v>
      </c>
      <c r="F154" s="163">
        <v>5508</v>
      </c>
      <c r="G154" s="163">
        <v>6218</v>
      </c>
      <c r="H154" s="163">
        <v>5753</v>
      </c>
      <c r="I154" s="164">
        <f t="shared" si="63"/>
        <v>-7.4782888388549407E-2</v>
      </c>
      <c r="J154" s="165">
        <f t="shared" si="60"/>
        <v>-0.4868432789224868</v>
      </c>
      <c r="K154" s="163">
        <f t="shared" si="61"/>
        <v>-465</v>
      </c>
      <c r="L154" s="163">
        <f t="shared" si="62"/>
        <v>-5458</v>
      </c>
      <c r="M154" s="164">
        <f t="shared" si="64"/>
        <v>1.9961852840235435E-3</v>
      </c>
      <c r="N154" s="166"/>
    </row>
    <row r="155" spans="1:14" x14ac:dyDescent="0.25">
      <c r="A155" s="161"/>
      <c r="B155" s="162" t="s">
        <v>116</v>
      </c>
      <c r="C155" s="163">
        <v>8629</v>
      </c>
      <c r="D155" s="163">
        <v>5028</v>
      </c>
      <c r="E155" s="163">
        <v>187</v>
      </c>
      <c r="F155" s="163">
        <v>3549</v>
      </c>
      <c r="G155" s="163">
        <v>6400</v>
      </c>
      <c r="H155" s="163">
        <v>8652</v>
      </c>
      <c r="I155" s="164">
        <f t="shared" si="63"/>
        <v>0.35187499999999994</v>
      </c>
      <c r="J155" s="165">
        <f t="shared" si="60"/>
        <v>0.72076372315035808</v>
      </c>
      <c r="K155" s="163">
        <f t="shared" si="61"/>
        <v>2252</v>
      </c>
      <c r="L155" s="163">
        <f t="shared" si="62"/>
        <v>3624</v>
      </c>
      <c r="M155" s="164">
        <f t="shared" si="64"/>
        <v>3.002085012579819E-3</v>
      </c>
      <c r="N155" s="79"/>
    </row>
    <row r="156" spans="1:14" x14ac:dyDescent="0.25">
      <c r="A156" s="161"/>
      <c r="B156" s="162" t="s">
        <v>123</v>
      </c>
      <c r="C156" s="163">
        <v>437</v>
      </c>
      <c r="D156" s="163">
        <v>483</v>
      </c>
      <c r="E156" s="163">
        <v>16</v>
      </c>
      <c r="F156" s="163">
        <v>626</v>
      </c>
      <c r="G156" s="163">
        <v>1017</v>
      </c>
      <c r="H156" s="163">
        <v>1441</v>
      </c>
      <c r="I156" s="164">
        <f t="shared" si="63"/>
        <v>0.41691248770894784</v>
      </c>
      <c r="J156" s="165">
        <f t="shared" si="60"/>
        <v>1.9834368530020705</v>
      </c>
      <c r="K156" s="163">
        <f t="shared" si="61"/>
        <v>424</v>
      </c>
      <c r="L156" s="163">
        <f t="shared" si="62"/>
        <v>958</v>
      </c>
      <c r="M156" s="164">
        <f t="shared" si="64"/>
        <v>5.0000052047243632E-4</v>
      </c>
      <c r="N156" s="79"/>
    </row>
    <row r="157" spans="1:14" x14ac:dyDescent="0.25">
      <c r="A157" s="161"/>
      <c r="B157" s="162" t="s">
        <v>119</v>
      </c>
      <c r="C157" s="163">
        <v>3183</v>
      </c>
      <c r="D157" s="163">
        <v>4168</v>
      </c>
      <c r="E157" s="163">
        <v>1392</v>
      </c>
      <c r="F157" s="163">
        <v>2120</v>
      </c>
      <c r="G157" s="163">
        <v>919</v>
      </c>
      <c r="H157" s="163">
        <v>2380</v>
      </c>
      <c r="I157" s="164">
        <f t="shared" si="63"/>
        <v>1.5897714907508163</v>
      </c>
      <c r="J157" s="165">
        <f t="shared" si="60"/>
        <v>-0.42898272552783112</v>
      </c>
      <c r="K157" s="163">
        <f t="shared" si="61"/>
        <v>1461</v>
      </c>
      <c r="L157" s="163">
        <f t="shared" si="62"/>
        <v>-1788</v>
      </c>
      <c r="M157" s="164">
        <f t="shared" si="64"/>
        <v>8.2581626559639031E-4</v>
      </c>
      <c r="N157" s="79"/>
    </row>
    <row r="158" spans="1:14" x14ac:dyDescent="0.25">
      <c r="A158" s="161"/>
      <c r="B158" s="162" t="s">
        <v>128</v>
      </c>
      <c r="C158" s="163">
        <v>25</v>
      </c>
      <c r="D158" s="163">
        <v>46</v>
      </c>
      <c r="E158" s="163">
        <v>29</v>
      </c>
      <c r="F158" s="163">
        <v>36</v>
      </c>
      <c r="G158" s="163">
        <v>36</v>
      </c>
      <c r="H158" s="163">
        <v>73</v>
      </c>
      <c r="I158" s="164">
        <f t="shared" si="63"/>
        <v>1.0277777777777777</v>
      </c>
      <c r="J158" s="165">
        <f t="shared" si="60"/>
        <v>0.58695652173913038</v>
      </c>
      <c r="K158" s="163">
        <f t="shared" si="61"/>
        <v>37</v>
      </c>
      <c r="L158" s="163">
        <f t="shared" si="62"/>
        <v>27</v>
      </c>
      <c r="M158" s="164">
        <f t="shared" si="64"/>
        <v>2.5329658566611971E-5</v>
      </c>
      <c r="N158" s="79"/>
    </row>
    <row r="159" spans="1:14" x14ac:dyDescent="0.25">
      <c r="A159" s="161" t="s">
        <v>144</v>
      </c>
      <c r="B159" s="162" t="s">
        <v>131</v>
      </c>
      <c r="C159" s="163">
        <v>28</v>
      </c>
      <c r="D159" s="163">
        <v>43</v>
      </c>
      <c r="E159" s="163">
        <v>0</v>
      </c>
      <c r="F159" s="163">
        <v>18</v>
      </c>
      <c r="G159" s="163">
        <v>46</v>
      </c>
      <c r="H159" s="163">
        <v>35</v>
      </c>
      <c r="I159" s="164">
        <f t="shared" si="63"/>
        <v>-0.23913043478260865</v>
      </c>
      <c r="J159" s="165">
        <f t="shared" si="60"/>
        <v>-0.18604651162790697</v>
      </c>
      <c r="K159" s="163">
        <f t="shared" si="61"/>
        <v>-11</v>
      </c>
      <c r="L159" s="163">
        <f t="shared" si="62"/>
        <v>-8</v>
      </c>
      <c r="M159" s="164">
        <f t="shared" si="64"/>
        <v>1.2144356847005739E-5</v>
      </c>
      <c r="N159" s="79"/>
    </row>
    <row r="160" spans="1:14" x14ac:dyDescent="0.25">
      <c r="A160" s="161" t="s">
        <v>145</v>
      </c>
      <c r="B160" s="168" t="s">
        <v>145</v>
      </c>
      <c r="C160" s="169">
        <f t="shared" ref="C160:H160" si="65">C152-SUM(C153:C159)</f>
        <v>7441</v>
      </c>
      <c r="D160" s="169">
        <f t="shared" si="65"/>
        <v>6109</v>
      </c>
      <c r="E160" s="169">
        <f t="shared" si="65"/>
        <v>1577</v>
      </c>
      <c r="F160" s="169">
        <f t="shared" si="65"/>
        <v>3287</v>
      </c>
      <c r="G160" s="169">
        <f t="shared" si="65"/>
        <v>6158</v>
      </c>
      <c r="H160" s="169">
        <f t="shared" si="65"/>
        <v>8106</v>
      </c>
      <c r="I160" s="170">
        <f t="shared" si="63"/>
        <v>0.31633647288080535</v>
      </c>
      <c r="J160" s="171">
        <f t="shared" si="60"/>
        <v>0.32689474545752173</v>
      </c>
      <c r="K160" s="169">
        <f>H160-G160</f>
        <v>1948</v>
      </c>
      <c r="L160" s="169">
        <f t="shared" si="62"/>
        <v>1997</v>
      </c>
      <c r="M160" s="170">
        <f t="shared" si="64"/>
        <v>2.8126330457665292E-3</v>
      </c>
      <c r="N160" s="79"/>
    </row>
    <row r="161" spans="1:16" ht="6" customHeight="1" x14ac:dyDescent="0.25">
      <c r="A161" s="161"/>
      <c r="B161" s="125"/>
      <c r="C161" s="125"/>
      <c r="D161" s="125"/>
      <c r="E161" s="125"/>
      <c r="F161" s="125"/>
      <c r="G161" s="125"/>
      <c r="H161" s="125"/>
      <c r="I161" s="125"/>
      <c r="J161" s="125"/>
      <c r="K161" s="125"/>
      <c r="L161" s="125"/>
      <c r="M161" s="125"/>
      <c r="N161" s="125"/>
      <c r="O161" s="125"/>
      <c r="P161" s="125"/>
    </row>
    <row r="162" spans="1:16" x14ac:dyDescent="0.25">
      <c r="B162" s="105" t="s">
        <v>55</v>
      </c>
      <c r="C162" s="105"/>
      <c r="D162" s="105"/>
      <c r="E162" s="105"/>
      <c r="F162" s="105"/>
      <c r="G162" s="105"/>
      <c r="H162" s="105"/>
      <c r="I162" s="105"/>
      <c r="J162" s="105"/>
      <c r="K162" s="105"/>
      <c r="L162" s="105"/>
      <c r="M162" s="105"/>
      <c r="N162" s="105"/>
      <c r="O162" s="105"/>
      <c r="P162" s="105"/>
    </row>
  </sheetData>
  <mergeCells count="1">
    <mergeCell ref="B4:M4"/>
  </mergeCells>
  <pageMargins left="0.25" right="0.25" top="0.75" bottom="0.75" header="0.3" footer="0.3"/>
  <pageSetup paperSize="9" scale="20" orientation="landscape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292B11-26B4-4C7F-BBC0-D5AA8B049776}">
  <sheetPr>
    <tabColor rgb="FFF29140"/>
    <pageSetUpPr fitToPage="1"/>
  </sheetPr>
  <dimension ref="A1:P162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</cols>
  <sheetData>
    <row r="1" spans="1:14" ht="42.75" customHeight="1" x14ac:dyDescent="0.25"/>
    <row r="3" spans="1:14" ht="42" customHeight="1" thickBot="1" x14ac:dyDescent="0.3">
      <c r="B3" s="270" t="str">
        <f>CONCATENATE("Pernoctaciones en los establecimientos alojativos de Tenerife según lugar de residencia y municipio de alojamiento (hotel + apartamento)")</f>
        <v>Pernoctaciones en los establecimientos alojativos de Tenerife según lugar de residencia y municipio de alojamiento (hotel + apartamento)</v>
      </c>
      <c r="C3" s="270"/>
      <c r="D3" s="270"/>
      <c r="E3" s="270"/>
      <c r="F3" s="270"/>
      <c r="G3" s="270"/>
      <c r="H3" s="270"/>
      <c r="I3" s="270"/>
      <c r="J3" s="270"/>
      <c r="K3" s="270"/>
      <c r="L3" s="270"/>
      <c r="M3" s="270"/>
    </row>
    <row r="4" spans="1:14" ht="6" customHeight="1" x14ac:dyDescent="0.25"/>
    <row r="5" spans="1:14" ht="15.75" x14ac:dyDescent="0.25">
      <c r="B5" s="143"/>
      <c r="C5" s="302" t="s">
        <v>43</v>
      </c>
      <c r="D5" s="303"/>
      <c r="E5" s="303"/>
      <c r="F5" s="303"/>
      <c r="G5" s="303"/>
      <c r="H5" s="303"/>
      <c r="I5" s="303"/>
      <c r="J5" s="303"/>
      <c r="K5" s="303"/>
      <c r="L5" s="303"/>
      <c r="M5" s="303"/>
    </row>
    <row r="6" spans="1:14" s="144" customFormat="1" ht="72" customHeight="1" x14ac:dyDescent="0.25">
      <c r="B6" s="145"/>
      <c r="C6" s="172" t="s">
        <v>261</v>
      </c>
      <c r="D6" s="172" t="s">
        <v>262</v>
      </c>
      <c r="E6" s="172" t="s">
        <v>263</v>
      </c>
      <c r="F6" s="172" t="s">
        <v>264</v>
      </c>
      <c r="G6" s="172" t="s">
        <v>265</v>
      </c>
      <c r="H6" s="172" t="s">
        <v>266</v>
      </c>
      <c r="I6" s="173" t="str">
        <f>CONCATENATE("var. ",RIGHT(H6,2),"/",RIGHT(G6,2))</f>
        <v>var. 24/23</v>
      </c>
      <c r="J6" s="173" t="str">
        <f>CONCATENATE("var. ",RIGHT(H6,2),"/",RIGHT(D6,2))</f>
        <v>var. 24/19</v>
      </c>
      <c r="K6" s="172" t="str">
        <f>CONCATENATE("dif. ",RIGHT(H6,2),"/",RIGHT(G6,2))</f>
        <v>dif. 24/23</v>
      </c>
      <c r="L6" s="172" t="str">
        <f>CONCATENATE("dif. ",RIGHT(H6,2),"/",RIGHT(D6,2))</f>
        <v>dif. 24/19</v>
      </c>
      <c r="M6" s="173" t="str">
        <f>CONCATENATE("Cuota s/ total lugares de residencia ",RIGHT(H6,4))</f>
        <v>Cuota s/ total lugares de residencia 2024</v>
      </c>
    </row>
    <row r="7" spans="1:14" s="144" customFormat="1" x14ac:dyDescent="0.25">
      <c r="B7" s="150" t="s">
        <v>43</v>
      </c>
      <c r="C7" s="151"/>
      <c r="D7" s="151"/>
      <c r="E7" s="151"/>
      <c r="F7" s="151"/>
      <c r="G7" s="151"/>
      <c r="H7" s="151"/>
      <c r="I7" s="151"/>
      <c r="J7" s="151"/>
      <c r="K7" s="151"/>
      <c r="L7" s="151"/>
      <c r="M7" s="151"/>
    </row>
    <row r="8" spans="1:14" x14ac:dyDescent="0.25">
      <c r="A8" s="1"/>
      <c r="B8" s="154" t="s">
        <v>68</v>
      </c>
      <c r="C8" s="176">
        <v>25905948</v>
      </c>
      <c r="D8" s="176">
        <v>25578799</v>
      </c>
      <c r="E8" s="176">
        <v>8930544</v>
      </c>
      <c r="F8" s="176">
        <v>23015665</v>
      </c>
      <c r="G8" s="176">
        <v>25556749</v>
      </c>
      <c r="H8" s="176">
        <v>27044823</v>
      </c>
      <c r="I8" s="177">
        <f>IFERROR(H8/G8-1,"-")</f>
        <v>5.8226263442192838E-2</v>
      </c>
      <c r="J8" s="177">
        <f>IFERROR(H8/D8-1,"-")</f>
        <v>5.7314027918198951E-2</v>
      </c>
      <c r="K8" s="176">
        <f>H8-G8</f>
        <v>1488074</v>
      </c>
      <c r="L8" s="176">
        <f>H8-D8</f>
        <v>1466024</v>
      </c>
      <c r="M8" s="177">
        <f>H8/H$8</f>
        <v>1</v>
      </c>
      <c r="N8" s="79"/>
    </row>
    <row r="9" spans="1:14" x14ac:dyDescent="0.25">
      <c r="A9" s="1" t="s">
        <v>96</v>
      </c>
      <c r="B9" s="157" t="s">
        <v>97</v>
      </c>
      <c r="C9" s="158">
        <v>3728058</v>
      </c>
      <c r="D9" s="158">
        <v>3687112</v>
      </c>
      <c r="E9" s="158">
        <v>1358306</v>
      </c>
      <c r="F9" s="158">
        <v>3245814</v>
      </c>
      <c r="G9" s="158">
        <v>3423966</v>
      </c>
      <c r="H9" s="158">
        <v>3369395</v>
      </c>
      <c r="I9" s="159">
        <f>IFERROR(H9/G9-1,"-")</f>
        <v>-1.5937950318431926E-2</v>
      </c>
      <c r="J9" s="160">
        <f t="shared" ref="J9:J20" si="0">IFERROR(H9/D9-1,"-")</f>
        <v>-8.6169609168368133E-2</v>
      </c>
      <c r="K9" s="158">
        <f t="shared" ref="K9:K19" si="1">H9-G9</f>
        <v>-54571</v>
      </c>
      <c r="L9" s="158">
        <f t="shared" ref="L9:L20" si="2">H9-D9</f>
        <v>-317717</v>
      </c>
      <c r="M9" s="159">
        <f>H9/H$8</f>
        <v>0.12458558149927622</v>
      </c>
      <c r="N9" s="79"/>
    </row>
    <row r="10" spans="1:14" x14ac:dyDescent="0.25">
      <c r="A10" s="161" t="s">
        <v>103</v>
      </c>
      <c r="B10" s="162" t="s">
        <v>103</v>
      </c>
      <c r="C10" s="163">
        <v>1155666</v>
      </c>
      <c r="D10" s="163">
        <v>1048799</v>
      </c>
      <c r="E10" s="163">
        <v>424865</v>
      </c>
      <c r="F10" s="163">
        <v>957251</v>
      </c>
      <c r="G10" s="163">
        <v>1065182</v>
      </c>
      <c r="H10" s="163">
        <v>1074979</v>
      </c>
      <c r="I10" s="164">
        <f>IFERROR(H10/G10-1,"-")</f>
        <v>9.1974892553572385E-3</v>
      </c>
      <c r="J10" s="165">
        <f t="shared" si="0"/>
        <v>2.4961884975100102E-2</v>
      </c>
      <c r="K10" s="163">
        <f t="shared" si="1"/>
        <v>9797</v>
      </c>
      <c r="L10" s="163">
        <f t="shared" si="2"/>
        <v>26180</v>
      </c>
      <c r="M10" s="164">
        <f>H10/H$8</f>
        <v>3.9748050856165708E-2</v>
      </c>
      <c r="N10" s="79"/>
    </row>
    <row r="11" spans="1:14" x14ac:dyDescent="0.25">
      <c r="A11" s="161" t="s">
        <v>100</v>
      </c>
      <c r="B11" s="162" t="s">
        <v>100</v>
      </c>
      <c r="C11" s="163">
        <v>2572392</v>
      </c>
      <c r="D11" s="163">
        <v>2638313</v>
      </c>
      <c r="E11" s="163">
        <v>933441</v>
      </c>
      <c r="F11" s="163">
        <v>2288563</v>
      </c>
      <c r="G11" s="163">
        <v>2358784</v>
      </c>
      <c r="H11" s="163">
        <v>2294416</v>
      </c>
      <c r="I11" s="164">
        <f>IFERROR(H11/G11-1,"-")</f>
        <v>-2.7288636856956816E-2</v>
      </c>
      <c r="J11" s="165">
        <f t="shared" si="0"/>
        <v>-0.13034730905696179</v>
      </c>
      <c r="K11" s="163">
        <f t="shared" si="1"/>
        <v>-64368</v>
      </c>
      <c r="L11" s="163">
        <f t="shared" si="2"/>
        <v>-343897</v>
      </c>
      <c r="M11" s="164">
        <f>H11/H$8</f>
        <v>8.4837530643110518E-2</v>
      </c>
      <c r="N11" s="79"/>
    </row>
    <row r="12" spans="1:14" x14ac:dyDescent="0.25">
      <c r="A12" s="1"/>
      <c r="B12" s="157" t="s">
        <v>107</v>
      </c>
      <c r="C12" s="158">
        <v>22177890</v>
      </c>
      <c r="D12" s="158">
        <v>21891687</v>
      </c>
      <c r="E12" s="158">
        <v>7572238</v>
      </c>
      <c r="F12" s="158">
        <v>19769851</v>
      </c>
      <c r="G12" s="158">
        <v>22132783</v>
      </c>
      <c r="H12" s="158">
        <v>23675428</v>
      </c>
      <c r="I12" s="159">
        <f>IFERROR(H12/G12-1,"-")</f>
        <v>6.9699549306564856E-2</v>
      </c>
      <c r="J12" s="160">
        <f t="shared" si="0"/>
        <v>8.1480289755650137E-2</v>
      </c>
      <c r="K12" s="158">
        <f t="shared" si="1"/>
        <v>1542645</v>
      </c>
      <c r="L12" s="158">
        <f t="shared" si="2"/>
        <v>1783741</v>
      </c>
      <c r="M12" s="159">
        <f>H12/H$8</f>
        <v>0.87541441850072377</v>
      </c>
      <c r="N12" s="79"/>
    </row>
    <row r="13" spans="1:14" s="56" customFormat="1" x14ac:dyDescent="0.25">
      <c r="A13" s="161"/>
      <c r="B13" s="162" t="s">
        <v>110</v>
      </c>
      <c r="C13" s="163">
        <v>9666021</v>
      </c>
      <c r="D13" s="163">
        <v>10028810</v>
      </c>
      <c r="E13" s="163">
        <v>2918774</v>
      </c>
      <c r="F13" s="163">
        <v>9382512</v>
      </c>
      <c r="G13" s="163">
        <v>10349496</v>
      </c>
      <c r="H13" s="163">
        <v>11157754</v>
      </c>
      <c r="I13" s="164">
        <f t="shared" ref="I13:I20" si="3">IFERROR(H13/G13-1,"-")</f>
        <v>7.809636333981862E-2</v>
      </c>
      <c r="J13" s="165">
        <f t="shared" si="0"/>
        <v>0.11257008558343418</v>
      </c>
      <c r="K13" s="163">
        <f t="shared" si="1"/>
        <v>808258</v>
      </c>
      <c r="L13" s="163">
        <f t="shared" si="2"/>
        <v>1128944</v>
      </c>
      <c r="M13" s="164">
        <f t="shared" ref="M13:M20" si="4">H13/H$8</f>
        <v>0.41256524400252131</v>
      </c>
      <c r="N13" s="166"/>
    </row>
    <row r="14" spans="1:14" s="56" customFormat="1" x14ac:dyDescent="0.25">
      <c r="A14" s="161"/>
      <c r="B14" s="162" t="s">
        <v>113</v>
      </c>
      <c r="C14" s="163">
        <v>3792824</v>
      </c>
      <c r="D14" s="163">
        <v>3248761</v>
      </c>
      <c r="E14" s="163">
        <v>1150264</v>
      </c>
      <c r="F14" s="163">
        <v>2214213</v>
      </c>
      <c r="G14" s="163">
        <v>2530507</v>
      </c>
      <c r="H14" s="163">
        <v>2658876</v>
      </c>
      <c r="I14" s="164">
        <f t="shared" si="3"/>
        <v>5.0728569413164948E-2</v>
      </c>
      <c r="J14" s="165">
        <f t="shared" si="0"/>
        <v>-0.18157229786986484</v>
      </c>
      <c r="K14" s="163">
        <f t="shared" si="1"/>
        <v>128369</v>
      </c>
      <c r="L14" s="163">
        <f t="shared" si="2"/>
        <v>-589885</v>
      </c>
      <c r="M14" s="164">
        <f t="shared" si="4"/>
        <v>9.8313677260893892E-2</v>
      </c>
      <c r="N14" s="166"/>
    </row>
    <row r="15" spans="1:14" x14ac:dyDescent="0.25">
      <c r="A15" s="161"/>
      <c r="B15" s="162" t="s">
        <v>116</v>
      </c>
      <c r="C15" s="163">
        <v>901191</v>
      </c>
      <c r="D15" s="163">
        <v>927867</v>
      </c>
      <c r="E15" s="163">
        <v>323121</v>
      </c>
      <c r="F15" s="163">
        <v>942553</v>
      </c>
      <c r="G15" s="163">
        <v>1133961</v>
      </c>
      <c r="H15" s="163">
        <v>1213515</v>
      </c>
      <c r="I15" s="164">
        <f t="shared" si="3"/>
        <v>7.0155851920833179E-2</v>
      </c>
      <c r="J15" s="165">
        <f t="shared" si="0"/>
        <v>0.30785446621121348</v>
      </c>
      <c r="K15" s="163">
        <f t="shared" si="1"/>
        <v>79554</v>
      </c>
      <c r="L15" s="163">
        <f t="shared" si="2"/>
        <v>285648</v>
      </c>
      <c r="M15" s="164">
        <f t="shared" si="4"/>
        <v>4.4870509967841164E-2</v>
      </c>
      <c r="N15" s="79"/>
    </row>
    <row r="16" spans="1:14" x14ac:dyDescent="0.25">
      <c r="A16" s="161"/>
      <c r="B16" s="162" t="s">
        <v>123</v>
      </c>
      <c r="C16" s="163">
        <v>927445</v>
      </c>
      <c r="D16" s="163">
        <v>864379</v>
      </c>
      <c r="E16" s="163">
        <v>280169</v>
      </c>
      <c r="F16" s="163">
        <v>1010222</v>
      </c>
      <c r="G16" s="163">
        <v>992524</v>
      </c>
      <c r="H16" s="163">
        <v>1029391</v>
      </c>
      <c r="I16" s="164">
        <f t="shared" si="3"/>
        <v>3.7144693730327916E-2</v>
      </c>
      <c r="J16" s="165">
        <f t="shared" si="0"/>
        <v>0.19090237037225566</v>
      </c>
      <c r="K16" s="163">
        <f t="shared" si="1"/>
        <v>36867</v>
      </c>
      <c r="L16" s="163">
        <f t="shared" si="2"/>
        <v>165012</v>
      </c>
      <c r="M16" s="164">
        <f t="shared" si="4"/>
        <v>3.806240477151579E-2</v>
      </c>
      <c r="N16" s="79"/>
    </row>
    <row r="17" spans="1:14" x14ac:dyDescent="0.25">
      <c r="A17" s="161"/>
      <c r="B17" s="162" t="s">
        <v>119</v>
      </c>
      <c r="C17" s="163">
        <v>826086</v>
      </c>
      <c r="D17" s="163">
        <v>802853</v>
      </c>
      <c r="E17" s="163">
        <v>381223</v>
      </c>
      <c r="F17" s="163">
        <v>826401</v>
      </c>
      <c r="G17" s="163">
        <v>849221</v>
      </c>
      <c r="H17" s="163">
        <v>877709</v>
      </c>
      <c r="I17" s="164">
        <f t="shared" si="3"/>
        <v>3.3546038074894424E-2</v>
      </c>
      <c r="J17" s="165">
        <f t="shared" si="0"/>
        <v>9.3237491794886385E-2</v>
      </c>
      <c r="K17" s="163">
        <f t="shared" si="1"/>
        <v>28488</v>
      </c>
      <c r="L17" s="163">
        <f t="shared" si="2"/>
        <v>74856</v>
      </c>
      <c r="M17" s="164">
        <f t="shared" si="4"/>
        <v>3.2453863720979061E-2</v>
      </c>
      <c r="N17" s="79"/>
    </row>
    <row r="18" spans="1:14" x14ac:dyDescent="0.25">
      <c r="A18" s="161"/>
      <c r="B18" s="162" t="s">
        <v>128</v>
      </c>
      <c r="C18" s="163">
        <v>388707</v>
      </c>
      <c r="D18" s="163">
        <v>415821</v>
      </c>
      <c r="E18" s="163">
        <v>239983</v>
      </c>
      <c r="F18" s="163">
        <v>303983</v>
      </c>
      <c r="G18" s="163">
        <v>364696</v>
      </c>
      <c r="H18" s="163">
        <v>350071</v>
      </c>
      <c r="I18" s="164">
        <f t="shared" si="3"/>
        <v>-4.0101893083554496E-2</v>
      </c>
      <c r="J18" s="165">
        <f t="shared" si="0"/>
        <v>-0.1581209222237453</v>
      </c>
      <c r="K18" s="163">
        <f t="shared" si="1"/>
        <v>-14625</v>
      </c>
      <c r="L18" s="163">
        <f t="shared" si="2"/>
        <v>-65750</v>
      </c>
      <c r="M18" s="164">
        <f t="shared" si="4"/>
        <v>1.2944103941815407E-2</v>
      </c>
      <c r="N18" s="79"/>
    </row>
    <row r="19" spans="1:14" x14ac:dyDescent="0.25">
      <c r="A19" s="161" t="s">
        <v>144</v>
      </c>
      <c r="B19" s="162" t="s">
        <v>131</v>
      </c>
      <c r="C19" s="163">
        <v>610787</v>
      </c>
      <c r="D19" s="163">
        <v>516905</v>
      </c>
      <c r="E19" s="163">
        <v>339355</v>
      </c>
      <c r="F19" s="163">
        <v>221326</v>
      </c>
      <c r="G19" s="163">
        <v>324645</v>
      </c>
      <c r="H19" s="163">
        <v>334953</v>
      </c>
      <c r="I19" s="164">
        <f t="shared" si="3"/>
        <v>3.1751605599962929E-2</v>
      </c>
      <c r="J19" s="165">
        <f t="shared" si="0"/>
        <v>-0.35200278581170619</v>
      </c>
      <c r="K19" s="163">
        <f t="shared" si="1"/>
        <v>10308</v>
      </c>
      <c r="L19" s="163">
        <f t="shared" si="2"/>
        <v>-181952</v>
      </c>
      <c r="M19" s="164">
        <f t="shared" si="4"/>
        <v>1.2385106014559607E-2</v>
      </c>
      <c r="N19" s="79"/>
    </row>
    <row r="20" spans="1:14" x14ac:dyDescent="0.25">
      <c r="A20" s="161" t="s">
        <v>145</v>
      </c>
      <c r="B20" s="168" t="s">
        <v>145</v>
      </c>
      <c r="C20" s="169">
        <f t="shared" ref="C20:H20" si="5">C12-SUM(C13:C19)</f>
        <v>5064829</v>
      </c>
      <c r="D20" s="169">
        <f t="shared" si="5"/>
        <v>5086291</v>
      </c>
      <c r="E20" s="169">
        <f t="shared" si="5"/>
        <v>1939349</v>
      </c>
      <c r="F20" s="169">
        <f t="shared" si="5"/>
        <v>4868641</v>
      </c>
      <c r="G20" s="169">
        <f t="shared" si="5"/>
        <v>5587733</v>
      </c>
      <c r="H20" s="169">
        <f t="shared" si="5"/>
        <v>6053159</v>
      </c>
      <c r="I20" s="170">
        <f t="shared" si="3"/>
        <v>8.3294244732166067E-2</v>
      </c>
      <c r="J20" s="171">
        <f t="shared" si="0"/>
        <v>0.19009293805643446</v>
      </c>
      <c r="K20" s="169">
        <f>H20-G20</f>
        <v>465426</v>
      </c>
      <c r="L20" s="169">
        <f t="shared" si="2"/>
        <v>966868</v>
      </c>
      <c r="M20" s="170">
        <f t="shared" si="4"/>
        <v>0.22381950882059756</v>
      </c>
      <c r="N20" s="79"/>
    </row>
    <row r="21" spans="1:14" s="144" customFormat="1" x14ac:dyDescent="0.25">
      <c r="A21" s="161"/>
      <c r="B21" s="153" t="s">
        <v>44</v>
      </c>
      <c r="C21" s="151"/>
      <c r="D21" s="151"/>
      <c r="E21" s="151"/>
      <c r="F21" s="151"/>
      <c r="G21" s="151"/>
      <c r="H21" s="151"/>
      <c r="I21" s="151"/>
      <c r="J21" s="151"/>
      <c r="K21" s="151"/>
      <c r="L21" s="151"/>
      <c r="M21" s="151"/>
    </row>
    <row r="22" spans="1:14" x14ac:dyDescent="0.25">
      <c r="A22" s="161"/>
      <c r="B22" s="154" t="s">
        <v>68</v>
      </c>
      <c r="C22" s="176">
        <v>9543452</v>
      </c>
      <c r="D22" s="176">
        <v>9847763</v>
      </c>
      <c r="E22" s="176">
        <v>3228073</v>
      </c>
      <c r="F22" s="176">
        <v>9333775</v>
      </c>
      <c r="G22" s="176">
        <v>10077442</v>
      </c>
      <c r="H22" s="176">
        <v>10350937</v>
      </c>
      <c r="I22" s="177">
        <f>IFERROR(H22/G22-1,"-")</f>
        <v>2.7139327619052578E-2</v>
      </c>
      <c r="J22" s="177">
        <f>IFERROR(H22/D22-1,"-")</f>
        <v>5.1095258892806417E-2</v>
      </c>
      <c r="K22" s="176">
        <f>H22-G22</f>
        <v>273495</v>
      </c>
      <c r="L22" s="176">
        <f>H22-D22</f>
        <v>503174</v>
      </c>
      <c r="M22" s="177">
        <f>H22/H$8</f>
        <v>0.38273265829841074</v>
      </c>
      <c r="N22" s="79"/>
    </row>
    <row r="23" spans="1:14" x14ac:dyDescent="0.25">
      <c r="A23" s="161" t="s">
        <v>96</v>
      </c>
      <c r="B23" s="157" t="s">
        <v>97</v>
      </c>
      <c r="C23" s="158">
        <v>689477</v>
      </c>
      <c r="D23" s="158">
        <v>835888</v>
      </c>
      <c r="E23" s="158">
        <v>287860</v>
      </c>
      <c r="F23" s="158">
        <v>747196</v>
      </c>
      <c r="G23" s="158">
        <v>656924</v>
      </c>
      <c r="H23" s="158">
        <v>601274</v>
      </c>
      <c r="I23" s="159">
        <f>IFERROR(H23/G23-1,"-")</f>
        <v>-8.4712995719443906E-2</v>
      </c>
      <c r="J23" s="160">
        <f t="shared" ref="J23:J34" si="6">IFERROR(H23/D23-1,"-")</f>
        <v>-0.28067635855521311</v>
      </c>
      <c r="K23" s="158">
        <f t="shared" ref="K23:K33" si="7">H23-G23</f>
        <v>-55650</v>
      </c>
      <c r="L23" s="158">
        <f t="shared" ref="L23:L34" si="8">H23-D23</f>
        <v>-234614</v>
      </c>
      <c r="M23" s="159">
        <f>H23/H$8</f>
        <v>2.223249898880832E-2</v>
      </c>
      <c r="N23" s="79"/>
    </row>
    <row r="24" spans="1:14" x14ac:dyDescent="0.25">
      <c r="A24" s="161" t="s">
        <v>103</v>
      </c>
      <c r="B24" s="162" t="s">
        <v>103</v>
      </c>
      <c r="C24" s="163">
        <v>254840</v>
      </c>
      <c r="D24" s="163">
        <v>343442</v>
      </c>
      <c r="E24" s="163">
        <v>131807</v>
      </c>
      <c r="F24" s="163">
        <v>230301</v>
      </c>
      <c r="G24" s="163">
        <v>211250</v>
      </c>
      <c r="H24" s="163">
        <v>181841</v>
      </c>
      <c r="I24" s="164">
        <f>IFERROR(H24/G24-1,"-")</f>
        <v>-0.13921420118343197</v>
      </c>
      <c r="J24" s="165">
        <f t="shared" si="6"/>
        <v>-0.47053359810390105</v>
      </c>
      <c r="K24" s="163">
        <f t="shared" si="7"/>
        <v>-29409</v>
      </c>
      <c r="L24" s="163">
        <f t="shared" si="8"/>
        <v>-161601</v>
      </c>
      <c r="M24" s="164">
        <f>H24/H$8</f>
        <v>6.7236897797408402E-3</v>
      </c>
      <c r="N24" s="79"/>
    </row>
    <row r="25" spans="1:14" x14ac:dyDescent="0.25">
      <c r="A25" s="161" t="s">
        <v>100</v>
      </c>
      <c r="B25" s="162" t="s">
        <v>100</v>
      </c>
      <c r="C25" s="163">
        <v>434637</v>
      </c>
      <c r="D25" s="163">
        <v>492446</v>
      </c>
      <c r="E25" s="163">
        <v>156053</v>
      </c>
      <c r="F25" s="163">
        <v>516895</v>
      </c>
      <c r="G25" s="163">
        <v>445674</v>
      </c>
      <c r="H25" s="163">
        <v>419433</v>
      </c>
      <c r="I25" s="164">
        <f>IFERROR(H25/G25-1,"-")</f>
        <v>-5.8879360249868729E-2</v>
      </c>
      <c r="J25" s="165">
        <f t="shared" si="6"/>
        <v>-0.14826600276984681</v>
      </c>
      <c r="K25" s="163">
        <f t="shared" si="7"/>
        <v>-26241</v>
      </c>
      <c r="L25" s="163">
        <f t="shared" si="8"/>
        <v>-73013</v>
      </c>
      <c r="M25" s="164">
        <f>H25/H$8</f>
        <v>1.550880920906748E-2</v>
      </c>
      <c r="N25" s="79"/>
    </row>
    <row r="26" spans="1:14" x14ac:dyDescent="0.25">
      <c r="A26" s="161"/>
      <c r="B26" s="157" t="s">
        <v>107</v>
      </c>
      <c r="C26" s="158">
        <v>8853975</v>
      </c>
      <c r="D26" s="158">
        <v>9011875</v>
      </c>
      <c r="E26" s="158">
        <v>2940213</v>
      </c>
      <c r="F26" s="158">
        <v>8586579</v>
      </c>
      <c r="G26" s="158">
        <v>9420518</v>
      </c>
      <c r="H26" s="158">
        <v>9749663</v>
      </c>
      <c r="I26" s="159">
        <f>IFERROR(H26/G26-1,"-")</f>
        <v>3.4939161519568218E-2</v>
      </c>
      <c r="J26" s="160">
        <f t="shared" si="6"/>
        <v>8.1868423607739826E-2</v>
      </c>
      <c r="K26" s="158">
        <f t="shared" si="7"/>
        <v>329145</v>
      </c>
      <c r="L26" s="158">
        <f t="shared" si="8"/>
        <v>737788</v>
      </c>
      <c r="M26" s="159">
        <f>H26/H$8</f>
        <v>0.36050015930960244</v>
      </c>
      <c r="N26" s="79"/>
    </row>
    <row r="27" spans="1:14" s="56" customFormat="1" x14ac:dyDescent="0.25">
      <c r="A27" s="161"/>
      <c r="B27" s="162" t="s">
        <v>110</v>
      </c>
      <c r="C27" s="163">
        <v>4039219</v>
      </c>
      <c r="D27" s="163">
        <v>4276177</v>
      </c>
      <c r="E27" s="163">
        <v>1243159</v>
      </c>
      <c r="F27" s="163">
        <v>4332424</v>
      </c>
      <c r="G27" s="163">
        <v>4829410</v>
      </c>
      <c r="H27" s="163">
        <v>5052166</v>
      </c>
      <c r="I27" s="164">
        <f t="shared" ref="I27:I34" si="9">IFERROR(H27/G27-1,"-")</f>
        <v>4.6124888961591504E-2</v>
      </c>
      <c r="J27" s="165">
        <f t="shared" si="6"/>
        <v>0.18146793268847383</v>
      </c>
      <c r="K27" s="163">
        <f t="shared" si="7"/>
        <v>222756</v>
      </c>
      <c r="L27" s="163">
        <f t="shared" si="8"/>
        <v>775989</v>
      </c>
      <c r="M27" s="164">
        <f t="shared" ref="M27:M34" si="10">H27/H$8</f>
        <v>0.18680713865274695</v>
      </c>
      <c r="N27" s="166"/>
    </row>
    <row r="28" spans="1:14" s="56" customFormat="1" x14ac:dyDescent="0.25">
      <c r="A28" s="161"/>
      <c r="B28" s="162" t="s">
        <v>113</v>
      </c>
      <c r="C28" s="163">
        <v>1452865</v>
      </c>
      <c r="D28" s="163">
        <v>1345464</v>
      </c>
      <c r="E28" s="163">
        <v>414667</v>
      </c>
      <c r="F28" s="163">
        <v>1019837</v>
      </c>
      <c r="G28" s="163">
        <v>1081490</v>
      </c>
      <c r="H28" s="163">
        <v>1062041</v>
      </c>
      <c r="I28" s="164">
        <f t="shared" si="9"/>
        <v>-1.7983522732526458E-2</v>
      </c>
      <c r="J28" s="165">
        <f t="shared" si="6"/>
        <v>-0.21065074948121987</v>
      </c>
      <c r="K28" s="163">
        <f t="shared" si="7"/>
        <v>-19449</v>
      </c>
      <c r="L28" s="163">
        <f t="shared" si="8"/>
        <v>-283423</v>
      </c>
      <c r="M28" s="164">
        <f t="shared" si="10"/>
        <v>3.9269659853200002E-2</v>
      </c>
      <c r="N28" s="166"/>
    </row>
    <row r="29" spans="1:14" x14ac:dyDescent="0.25">
      <c r="A29" s="161"/>
      <c r="B29" s="162" t="s">
        <v>116</v>
      </c>
      <c r="C29" s="163">
        <v>313122</v>
      </c>
      <c r="D29" s="163">
        <v>330897</v>
      </c>
      <c r="E29" s="163">
        <v>135620</v>
      </c>
      <c r="F29" s="163">
        <v>350575</v>
      </c>
      <c r="G29" s="163">
        <v>398844</v>
      </c>
      <c r="H29" s="163">
        <v>364141</v>
      </c>
      <c r="I29" s="164">
        <f t="shared" si="9"/>
        <v>-8.7008955882500461E-2</v>
      </c>
      <c r="J29" s="165">
        <f t="shared" si="6"/>
        <v>0.10046630824697722</v>
      </c>
      <c r="K29" s="163">
        <f t="shared" si="7"/>
        <v>-34703</v>
      </c>
      <c r="L29" s="163">
        <f t="shared" si="8"/>
        <v>33244</v>
      </c>
      <c r="M29" s="164">
        <f t="shared" si="10"/>
        <v>1.3464351384366613E-2</v>
      </c>
      <c r="N29" s="79"/>
    </row>
    <row r="30" spans="1:14" x14ac:dyDescent="0.25">
      <c r="A30" s="161"/>
      <c r="B30" s="162" t="s">
        <v>123</v>
      </c>
      <c r="C30" s="163">
        <v>414841</v>
      </c>
      <c r="D30" s="163">
        <v>383239</v>
      </c>
      <c r="E30" s="163">
        <v>121574</v>
      </c>
      <c r="F30" s="163">
        <v>467069</v>
      </c>
      <c r="G30" s="163">
        <v>423389</v>
      </c>
      <c r="H30" s="163">
        <v>423920</v>
      </c>
      <c r="I30" s="164">
        <f t="shared" si="9"/>
        <v>1.2541657907976234E-3</v>
      </c>
      <c r="J30" s="165">
        <f t="shared" si="6"/>
        <v>0.10615047007220046</v>
      </c>
      <c r="K30" s="163">
        <f t="shared" si="7"/>
        <v>531</v>
      </c>
      <c r="L30" s="163">
        <f t="shared" si="8"/>
        <v>40681</v>
      </c>
      <c r="M30" s="164">
        <f t="shared" si="10"/>
        <v>1.5674718965622367E-2</v>
      </c>
      <c r="N30" s="79"/>
    </row>
    <row r="31" spans="1:14" x14ac:dyDescent="0.25">
      <c r="A31" s="161"/>
      <c r="B31" s="162" t="s">
        <v>119</v>
      </c>
      <c r="C31" s="163">
        <v>435710</v>
      </c>
      <c r="D31" s="163">
        <v>424803</v>
      </c>
      <c r="E31" s="163">
        <v>188425</v>
      </c>
      <c r="F31" s="163">
        <v>472282</v>
      </c>
      <c r="G31" s="163">
        <v>444309</v>
      </c>
      <c r="H31" s="163">
        <v>458279</v>
      </c>
      <c r="I31" s="164">
        <f t="shared" si="9"/>
        <v>3.1442081974481617E-2</v>
      </c>
      <c r="J31" s="165">
        <f t="shared" si="6"/>
        <v>7.8803586603672704E-2</v>
      </c>
      <c r="K31" s="163">
        <f t="shared" si="7"/>
        <v>13970</v>
      </c>
      <c r="L31" s="163">
        <f t="shared" si="8"/>
        <v>33476</v>
      </c>
      <c r="M31" s="164">
        <f t="shared" si="10"/>
        <v>1.6945165438871611E-2</v>
      </c>
      <c r="N31" s="79"/>
    </row>
    <row r="32" spans="1:14" x14ac:dyDescent="0.25">
      <c r="A32" s="161"/>
      <c r="B32" s="162" t="s">
        <v>128</v>
      </c>
      <c r="C32" s="163">
        <v>154249</v>
      </c>
      <c r="D32" s="163">
        <v>176635</v>
      </c>
      <c r="E32" s="163">
        <v>94459</v>
      </c>
      <c r="F32" s="163">
        <v>114576</v>
      </c>
      <c r="G32" s="163">
        <v>129191</v>
      </c>
      <c r="H32" s="163">
        <v>127582</v>
      </c>
      <c r="I32" s="164">
        <f t="shared" si="9"/>
        <v>-1.2454427940026824E-2</v>
      </c>
      <c r="J32" s="165">
        <f t="shared" si="6"/>
        <v>-0.27770826846321506</v>
      </c>
      <c r="K32" s="163">
        <f t="shared" si="7"/>
        <v>-1609</v>
      </c>
      <c r="L32" s="163">
        <f t="shared" si="8"/>
        <v>-49053</v>
      </c>
      <c r="M32" s="164">
        <f t="shared" si="10"/>
        <v>4.7174278049444069E-3</v>
      </c>
      <c r="N32" s="79"/>
    </row>
    <row r="33" spans="1:14" x14ac:dyDescent="0.25">
      <c r="A33" s="161" t="s">
        <v>144</v>
      </c>
      <c r="B33" s="162" t="s">
        <v>131</v>
      </c>
      <c r="C33" s="163">
        <v>188327</v>
      </c>
      <c r="D33" s="163">
        <v>164859</v>
      </c>
      <c r="E33" s="163">
        <v>103139</v>
      </c>
      <c r="F33" s="163">
        <v>69505</v>
      </c>
      <c r="G33" s="163">
        <v>110811</v>
      </c>
      <c r="H33" s="163">
        <v>102902</v>
      </c>
      <c r="I33" s="164">
        <f t="shared" si="9"/>
        <v>-7.1373780581350244E-2</v>
      </c>
      <c r="J33" s="165">
        <f t="shared" si="6"/>
        <v>-0.37581812336602793</v>
      </c>
      <c r="K33" s="163">
        <f t="shared" si="7"/>
        <v>-7909</v>
      </c>
      <c r="L33" s="163">
        <f t="shared" si="8"/>
        <v>-61957</v>
      </c>
      <c r="M33" s="164">
        <f t="shared" si="10"/>
        <v>3.8048686804125135E-3</v>
      </c>
      <c r="N33" s="79"/>
    </row>
    <row r="34" spans="1:14" x14ac:dyDescent="0.25">
      <c r="A34" s="161" t="s">
        <v>145</v>
      </c>
      <c r="B34" s="168" t="s">
        <v>145</v>
      </c>
      <c r="C34" s="169">
        <f t="shared" ref="C34:H34" si="11">C26-SUM(C27:C33)</f>
        <v>1855642</v>
      </c>
      <c r="D34" s="169">
        <f t="shared" si="11"/>
        <v>1909801</v>
      </c>
      <c r="E34" s="169">
        <f t="shared" si="11"/>
        <v>639170</v>
      </c>
      <c r="F34" s="169">
        <f t="shared" si="11"/>
        <v>1760311</v>
      </c>
      <c r="G34" s="169">
        <f t="shared" si="11"/>
        <v>2003074</v>
      </c>
      <c r="H34" s="169">
        <f t="shared" si="11"/>
        <v>2158632</v>
      </c>
      <c r="I34" s="170">
        <f t="shared" si="9"/>
        <v>7.7659637137719395E-2</v>
      </c>
      <c r="J34" s="171">
        <f t="shared" si="6"/>
        <v>0.13029158535365726</v>
      </c>
      <c r="K34" s="169">
        <f>H34-G34</f>
        <v>155558</v>
      </c>
      <c r="L34" s="169">
        <f t="shared" si="8"/>
        <v>248831</v>
      </c>
      <c r="M34" s="170">
        <f t="shared" si="10"/>
        <v>7.9816828529437958E-2</v>
      </c>
      <c r="N34" s="79"/>
    </row>
    <row r="35" spans="1:14" s="144" customFormat="1" x14ac:dyDescent="0.25">
      <c r="A35" s="161"/>
      <c r="B35" s="153" t="s">
        <v>45</v>
      </c>
      <c r="C35" s="151"/>
      <c r="D35" s="151"/>
      <c r="E35" s="151"/>
      <c r="F35" s="151"/>
      <c r="G35" s="151"/>
      <c r="H35" s="151"/>
      <c r="I35" s="151"/>
      <c r="J35" s="151"/>
      <c r="K35" s="151"/>
      <c r="L35" s="151"/>
      <c r="M35" s="151"/>
    </row>
    <row r="36" spans="1:14" x14ac:dyDescent="0.25">
      <c r="A36" s="161"/>
      <c r="B36" s="154" t="s">
        <v>68</v>
      </c>
      <c r="C36" s="176">
        <v>7629195</v>
      </c>
      <c r="D36" s="176">
        <v>7573908</v>
      </c>
      <c r="E36" s="176">
        <v>2404828</v>
      </c>
      <c r="F36" s="176">
        <v>6487078</v>
      </c>
      <c r="G36" s="176">
        <v>7196338</v>
      </c>
      <c r="H36" s="176">
        <v>7492248</v>
      </c>
      <c r="I36" s="177">
        <f>IFERROR(H36/G36-1,"-")</f>
        <v>4.1119524958388665E-2</v>
      </c>
      <c r="J36" s="177">
        <f>IFERROR(H36/D36-1,"-")</f>
        <v>-1.0781752300133562E-2</v>
      </c>
      <c r="K36" s="176">
        <f>H36-G36</f>
        <v>295910</v>
      </c>
      <c r="L36" s="176">
        <f>H36-D36</f>
        <v>-81660</v>
      </c>
      <c r="M36" s="177">
        <f>H36/H$8</f>
        <v>0.27703076481587624</v>
      </c>
      <c r="N36" s="79"/>
    </row>
    <row r="37" spans="1:14" x14ac:dyDescent="0.25">
      <c r="A37" s="161" t="s">
        <v>96</v>
      </c>
      <c r="B37" s="157" t="s">
        <v>97</v>
      </c>
      <c r="C37" s="158">
        <v>547806</v>
      </c>
      <c r="D37" s="158">
        <v>485180</v>
      </c>
      <c r="E37" s="158">
        <v>174594</v>
      </c>
      <c r="F37" s="158">
        <v>407411</v>
      </c>
      <c r="G37" s="158">
        <v>450459</v>
      </c>
      <c r="H37" s="158">
        <v>438799</v>
      </c>
      <c r="I37" s="159">
        <f>IFERROR(H37/G37-1,"-")</f>
        <v>-2.5884708708228676E-2</v>
      </c>
      <c r="J37" s="160">
        <f t="shared" ref="J37:J48" si="12">IFERROR(H37/D37-1,"-")</f>
        <v>-9.559544911166995E-2</v>
      </c>
      <c r="K37" s="158">
        <f t="shared" ref="K37:K47" si="13">H37-G37</f>
        <v>-11660</v>
      </c>
      <c r="L37" s="158">
        <f t="shared" ref="L37:L48" si="14">H37-D37</f>
        <v>-46381</v>
      </c>
      <c r="M37" s="159">
        <f>H37/H$8</f>
        <v>1.6224879711728934E-2</v>
      </c>
      <c r="N37" s="79"/>
    </row>
    <row r="38" spans="1:14" x14ac:dyDescent="0.25">
      <c r="A38" s="161" t="s">
        <v>103</v>
      </c>
      <c r="B38" s="162" t="s">
        <v>103</v>
      </c>
      <c r="C38" s="163">
        <v>168725</v>
      </c>
      <c r="D38" s="163">
        <v>168921</v>
      </c>
      <c r="E38" s="163">
        <v>66491</v>
      </c>
      <c r="F38" s="163">
        <v>132386</v>
      </c>
      <c r="G38" s="163">
        <v>167419</v>
      </c>
      <c r="H38" s="163">
        <v>197752</v>
      </c>
      <c r="I38" s="164">
        <f>IFERROR(H38/G38-1,"-")</f>
        <v>0.18118015279030453</v>
      </c>
      <c r="J38" s="165">
        <f t="shared" si="12"/>
        <v>0.17067741725421937</v>
      </c>
      <c r="K38" s="163">
        <f t="shared" si="13"/>
        <v>30333</v>
      </c>
      <c r="L38" s="163">
        <f t="shared" si="14"/>
        <v>28831</v>
      </c>
      <c r="M38" s="164">
        <f>H38/H$8</f>
        <v>7.3120094000984955E-3</v>
      </c>
      <c r="N38" s="79"/>
    </row>
    <row r="39" spans="1:14" x14ac:dyDescent="0.25">
      <c r="A39" s="161" t="s">
        <v>100</v>
      </c>
      <c r="B39" s="162" t="s">
        <v>100</v>
      </c>
      <c r="C39" s="163">
        <v>379081</v>
      </c>
      <c r="D39" s="163">
        <v>316259</v>
      </c>
      <c r="E39" s="163">
        <v>108103</v>
      </c>
      <c r="F39" s="163">
        <v>275025</v>
      </c>
      <c r="G39" s="163">
        <v>283040</v>
      </c>
      <c r="H39" s="163">
        <v>241047</v>
      </c>
      <c r="I39" s="164">
        <f>IFERROR(H39/G39-1,"-")</f>
        <v>-0.14836418880723568</v>
      </c>
      <c r="J39" s="165">
        <f t="shared" si="12"/>
        <v>-0.23781773799322703</v>
      </c>
      <c r="K39" s="163">
        <f t="shared" si="13"/>
        <v>-41993</v>
      </c>
      <c r="L39" s="163">
        <f t="shared" si="14"/>
        <v>-75212</v>
      </c>
      <c r="M39" s="164">
        <f>H39/H$8</f>
        <v>8.9128703116304366E-3</v>
      </c>
      <c r="N39" s="79"/>
    </row>
    <row r="40" spans="1:14" x14ac:dyDescent="0.25">
      <c r="A40" s="161"/>
      <c r="B40" s="157" t="s">
        <v>107</v>
      </c>
      <c r="C40" s="158">
        <v>7081389</v>
      </c>
      <c r="D40" s="158">
        <v>7088728</v>
      </c>
      <c r="E40" s="158">
        <v>2230234</v>
      </c>
      <c r="F40" s="158">
        <v>6079667</v>
      </c>
      <c r="G40" s="158">
        <v>6745879</v>
      </c>
      <c r="H40" s="158">
        <v>7053449</v>
      </c>
      <c r="I40" s="159">
        <f>IFERROR(H40/G40-1,"-")</f>
        <v>4.5593761761810514E-2</v>
      </c>
      <c r="J40" s="160">
        <f t="shared" si="12"/>
        <v>-4.9767743945035026E-3</v>
      </c>
      <c r="K40" s="158">
        <f t="shared" si="13"/>
        <v>307570</v>
      </c>
      <c r="L40" s="158">
        <f t="shared" si="14"/>
        <v>-35279</v>
      </c>
      <c r="M40" s="159">
        <f>H40/H$8</f>
        <v>0.26080588510414726</v>
      </c>
      <c r="N40" s="79"/>
    </row>
    <row r="41" spans="1:14" s="56" customFormat="1" x14ac:dyDescent="0.25">
      <c r="A41" s="161"/>
      <c r="B41" s="162" t="s">
        <v>110</v>
      </c>
      <c r="C41" s="163">
        <v>3641132</v>
      </c>
      <c r="D41" s="163">
        <v>3935311</v>
      </c>
      <c r="E41" s="163">
        <v>972971</v>
      </c>
      <c r="F41" s="163">
        <v>3165011</v>
      </c>
      <c r="G41" s="163">
        <v>3481161</v>
      </c>
      <c r="H41" s="163">
        <v>3721099</v>
      </c>
      <c r="I41" s="164">
        <f t="shared" ref="I41:I48" si="15">IFERROR(H41/G41-1,"-")</f>
        <v>6.8924706441328087E-2</v>
      </c>
      <c r="J41" s="165">
        <f t="shared" si="12"/>
        <v>-5.4433309082814518E-2</v>
      </c>
      <c r="K41" s="163">
        <f t="shared" si="13"/>
        <v>239938</v>
      </c>
      <c r="L41" s="163">
        <f t="shared" si="14"/>
        <v>-214212</v>
      </c>
      <c r="M41" s="164">
        <f t="shared" ref="M41:M48" si="16">H41/H$8</f>
        <v>0.1375900666830025</v>
      </c>
      <c r="N41" s="166"/>
    </row>
    <row r="42" spans="1:14" s="56" customFormat="1" x14ac:dyDescent="0.25">
      <c r="A42" s="161"/>
      <c r="B42" s="162" t="s">
        <v>113</v>
      </c>
      <c r="C42" s="163">
        <v>477191</v>
      </c>
      <c r="D42" s="163">
        <v>348599</v>
      </c>
      <c r="E42" s="163">
        <v>118015</v>
      </c>
      <c r="F42" s="163">
        <v>215817</v>
      </c>
      <c r="G42" s="163">
        <v>254303</v>
      </c>
      <c r="H42" s="163">
        <v>245100</v>
      </c>
      <c r="I42" s="164">
        <f t="shared" si="15"/>
        <v>-3.6189112987263239E-2</v>
      </c>
      <c r="J42" s="165">
        <f t="shared" si="12"/>
        <v>-0.29689987636223858</v>
      </c>
      <c r="K42" s="163">
        <f t="shared" si="13"/>
        <v>-9203</v>
      </c>
      <c r="L42" s="163">
        <f t="shared" si="14"/>
        <v>-103499</v>
      </c>
      <c r="M42" s="164">
        <f t="shared" si="16"/>
        <v>9.0627326346339934E-3</v>
      </c>
      <c r="N42" s="166"/>
    </row>
    <row r="43" spans="1:14" x14ac:dyDescent="0.25">
      <c r="A43" s="161"/>
      <c r="B43" s="162" t="s">
        <v>116</v>
      </c>
      <c r="C43" s="163">
        <v>142516</v>
      </c>
      <c r="D43" s="163">
        <v>139355</v>
      </c>
      <c r="E43" s="163">
        <v>53624</v>
      </c>
      <c r="F43" s="163">
        <v>144404</v>
      </c>
      <c r="G43" s="163">
        <v>184615</v>
      </c>
      <c r="H43" s="163">
        <v>185724</v>
      </c>
      <c r="I43" s="164">
        <f t="shared" si="15"/>
        <v>6.0070958481164283E-3</v>
      </c>
      <c r="J43" s="165">
        <f t="shared" si="12"/>
        <v>0.33274012414337473</v>
      </c>
      <c r="K43" s="163">
        <f t="shared" si="13"/>
        <v>1109</v>
      </c>
      <c r="L43" s="163">
        <f t="shared" si="14"/>
        <v>46369</v>
      </c>
      <c r="M43" s="164">
        <f t="shared" si="16"/>
        <v>6.8672662416759019E-3</v>
      </c>
      <c r="N43" s="79"/>
    </row>
    <row r="44" spans="1:14" x14ac:dyDescent="0.25">
      <c r="A44" s="161"/>
      <c r="B44" s="162" t="s">
        <v>123</v>
      </c>
      <c r="C44" s="163">
        <v>366094</v>
      </c>
      <c r="D44" s="163">
        <v>354201</v>
      </c>
      <c r="E44" s="163">
        <v>102738</v>
      </c>
      <c r="F44" s="163">
        <v>374048</v>
      </c>
      <c r="G44" s="163">
        <v>377945</v>
      </c>
      <c r="H44" s="163">
        <v>372670</v>
      </c>
      <c r="I44" s="164">
        <f t="shared" si="15"/>
        <v>-1.3957057243778825E-2</v>
      </c>
      <c r="J44" s="165">
        <f t="shared" si="12"/>
        <v>5.2142709930237396E-2</v>
      </c>
      <c r="K44" s="163">
        <f t="shared" si="13"/>
        <v>-5275</v>
      </c>
      <c r="L44" s="163">
        <f t="shared" si="14"/>
        <v>18469</v>
      </c>
      <c r="M44" s="164">
        <f t="shared" si="16"/>
        <v>1.377971673173827E-2</v>
      </c>
      <c r="N44" s="79"/>
    </row>
    <row r="45" spans="1:14" x14ac:dyDescent="0.25">
      <c r="A45" s="161"/>
      <c r="B45" s="162" t="s">
        <v>119</v>
      </c>
      <c r="C45" s="163">
        <v>263548</v>
      </c>
      <c r="D45" s="163">
        <v>251608</v>
      </c>
      <c r="E45" s="163">
        <v>109378</v>
      </c>
      <c r="F45" s="163">
        <v>225141</v>
      </c>
      <c r="G45" s="163">
        <v>269310</v>
      </c>
      <c r="H45" s="163">
        <v>269282</v>
      </c>
      <c r="I45" s="164">
        <f t="shared" si="15"/>
        <v>-1.0396940328993853E-4</v>
      </c>
      <c r="J45" s="165">
        <f t="shared" si="12"/>
        <v>7.0244189373946719E-2</v>
      </c>
      <c r="K45" s="163">
        <f t="shared" si="13"/>
        <v>-28</v>
      </c>
      <c r="L45" s="163">
        <f t="shared" si="14"/>
        <v>17674</v>
      </c>
      <c r="M45" s="164">
        <f t="shared" si="16"/>
        <v>9.9568778838005339E-3</v>
      </c>
      <c r="N45" s="79"/>
    </row>
    <row r="46" spans="1:14" x14ac:dyDescent="0.25">
      <c r="A46" s="161"/>
      <c r="B46" s="162" t="s">
        <v>128</v>
      </c>
      <c r="C46" s="163">
        <v>162521</v>
      </c>
      <c r="D46" s="163">
        <v>156722</v>
      </c>
      <c r="E46" s="163">
        <v>85862</v>
      </c>
      <c r="F46" s="163">
        <v>122681</v>
      </c>
      <c r="G46" s="163">
        <v>129599</v>
      </c>
      <c r="H46" s="163">
        <v>125590</v>
      </c>
      <c r="I46" s="164">
        <f t="shared" si="15"/>
        <v>-3.0933880662659452E-2</v>
      </c>
      <c r="J46" s="165">
        <f t="shared" si="12"/>
        <v>-0.19864473398757032</v>
      </c>
      <c r="K46" s="163">
        <f t="shared" si="13"/>
        <v>-4009</v>
      </c>
      <c r="L46" s="163">
        <f t="shared" si="14"/>
        <v>-31132</v>
      </c>
      <c r="M46" s="164">
        <f t="shared" si="16"/>
        <v>4.6437723034829992E-3</v>
      </c>
      <c r="N46" s="79"/>
    </row>
    <row r="47" spans="1:14" x14ac:dyDescent="0.25">
      <c r="A47" s="161" t="s">
        <v>144</v>
      </c>
      <c r="B47" s="162" t="s">
        <v>131</v>
      </c>
      <c r="C47" s="163">
        <v>257916</v>
      </c>
      <c r="D47" s="163">
        <v>226100</v>
      </c>
      <c r="E47" s="163">
        <v>139118</v>
      </c>
      <c r="F47" s="163">
        <v>101645</v>
      </c>
      <c r="G47" s="163">
        <v>131609</v>
      </c>
      <c r="H47" s="163">
        <v>138398</v>
      </c>
      <c r="I47" s="164">
        <f t="shared" si="15"/>
        <v>5.1584618073232003E-2</v>
      </c>
      <c r="J47" s="165">
        <f t="shared" si="12"/>
        <v>-0.38789031402034502</v>
      </c>
      <c r="K47" s="163">
        <f t="shared" si="13"/>
        <v>6789</v>
      </c>
      <c r="L47" s="163">
        <f t="shared" si="14"/>
        <v>-87702</v>
      </c>
      <c r="M47" s="164">
        <f t="shared" si="16"/>
        <v>5.1173564715139754E-3</v>
      </c>
      <c r="N47" s="79"/>
    </row>
    <row r="48" spans="1:14" x14ac:dyDescent="0.25">
      <c r="A48" s="161" t="s">
        <v>145</v>
      </c>
      <c r="B48" s="168" t="s">
        <v>145</v>
      </c>
      <c r="C48" s="169">
        <f t="shared" ref="C48:H48" si="17">C40-SUM(C41:C47)</f>
        <v>1770471</v>
      </c>
      <c r="D48" s="169">
        <f t="shared" si="17"/>
        <v>1676832</v>
      </c>
      <c r="E48" s="169">
        <f t="shared" si="17"/>
        <v>648528</v>
      </c>
      <c r="F48" s="169">
        <f t="shared" si="17"/>
        <v>1730920</v>
      </c>
      <c r="G48" s="169">
        <f t="shared" si="17"/>
        <v>1917337</v>
      </c>
      <c r="H48" s="169">
        <f t="shared" si="17"/>
        <v>1995586</v>
      </c>
      <c r="I48" s="170">
        <f t="shared" si="15"/>
        <v>4.0811291911646119E-2</v>
      </c>
      <c r="J48" s="171">
        <f t="shared" si="12"/>
        <v>0.19009298486670101</v>
      </c>
      <c r="K48" s="169">
        <f>H48-G48</f>
        <v>78249</v>
      </c>
      <c r="L48" s="169">
        <f t="shared" si="14"/>
        <v>318754</v>
      </c>
      <c r="M48" s="170">
        <f t="shared" si="16"/>
        <v>7.3788096154299099E-2</v>
      </c>
      <c r="N48" s="79"/>
    </row>
    <row r="49" spans="1:14" s="144" customFormat="1" x14ac:dyDescent="0.25">
      <c r="A49" s="161"/>
      <c r="B49" s="153" t="s">
        <v>46</v>
      </c>
      <c r="C49" s="151"/>
      <c r="D49" s="151"/>
      <c r="E49" s="151"/>
      <c r="F49" s="151"/>
      <c r="G49" s="151"/>
      <c r="H49" s="151"/>
      <c r="I49" s="151"/>
      <c r="J49" s="151"/>
      <c r="K49" s="151"/>
      <c r="L49" s="151"/>
      <c r="M49" s="151"/>
    </row>
    <row r="50" spans="1:14" x14ac:dyDescent="0.25">
      <c r="A50" s="161"/>
      <c r="B50" s="154" t="s">
        <v>68</v>
      </c>
      <c r="C50" s="176">
        <v>176758</v>
      </c>
      <c r="D50" s="176">
        <v>171426</v>
      </c>
      <c r="E50" s="176">
        <v>58399</v>
      </c>
      <c r="F50" s="176">
        <v>119118</v>
      </c>
      <c r="G50" s="176">
        <v>124202</v>
      </c>
      <c r="H50" s="176">
        <v>142297</v>
      </c>
      <c r="I50" s="177">
        <f>IFERROR(H50/G50-1,"-")</f>
        <v>0.14569008550586937</v>
      </c>
      <c r="J50" s="177">
        <f>IFERROR(H50/D50-1,"-")</f>
        <v>-0.16992171549239909</v>
      </c>
      <c r="K50" s="176">
        <f>H50-G50</f>
        <v>18095</v>
      </c>
      <c r="L50" s="176">
        <f>H50-D50</f>
        <v>-29129</v>
      </c>
      <c r="M50" s="177">
        <f>H50/H$8</f>
        <v>5.2615245439025429E-3</v>
      </c>
      <c r="N50" s="79"/>
    </row>
    <row r="51" spans="1:14" x14ac:dyDescent="0.25">
      <c r="A51" s="161" t="s">
        <v>96</v>
      </c>
      <c r="B51" s="157" t="s">
        <v>97</v>
      </c>
      <c r="C51" s="158">
        <v>27000</v>
      </c>
      <c r="D51" s="158">
        <v>24395</v>
      </c>
      <c r="E51" s="158">
        <v>5882</v>
      </c>
      <c r="F51" s="158">
        <v>13227</v>
      </c>
      <c r="G51" s="158">
        <v>31470</v>
      </c>
      <c r="H51" s="158">
        <v>20887</v>
      </c>
      <c r="I51" s="159">
        <f>IFERROR(H51/G51-1,"-")</f>
        <v>-0.33628852875754689</v>
      </c>
      <c r="J51" s="160">
        <f t="shared" ref="J51:J62" si="18">IFERROR(H51/D51-1,"-")</f>
        <v>-0.14379995900799347</v>
      </c>
      <c r="K51" s="158">
        <f t="shared" ref="K51:K61" si="19">H51-G51</f>
        <v>-10583</v>
      </c>
      <c r="L51" s="158">
        <f t="shared" ref="L51:L62" si="20">H51-D51</f>
        <v>-3508</v>
      </c>
      <c r="M51" s="159">
        <f>H51/H$8</f>
        <v>7.7231047139779765E-4</v>
      </c>
      <c r="N51" s="79"/>
    </row>
    <row r="52" spans="1:14" x14ac:dyDescent="0.25">
      <c r="A52" s="161" t="s">
        <v>103</v>
      </c>
      <c r="B52" s="162" t="s">
        <v>103</v>
      </c>
      <c r="C52" s="163">
        <v>15466</v>
      </c>
      <c r="D52" s="163">
        <v>10908</v>
      </c>
      <c r="E52" s="163">
        <v>4149</v>
      </c>
      <c r="F52" s="163">
        <v>4038</v>
      </c>
      <c r="G52" s="163">
        <v>21028</v>
      </c>
      <c r="H52" s="163">
        <v>11806</v>
      </c>
      <c r="I52" s="164">
        <f>IFERROR(H52/G52-1,"-")</f>
        <v>-0.43855811299220082</v>
      </c>
      <c r="J52" s="165">
        <f t="shared" si="18"/>
        <v>8.2324899156582365E-2</v>
      </c>
      <c r="K52" s="163">
        <f t="shared" si="19"/>
        <v>-9222</v>
      </c>
      <c r="L52" s="163">
        <f t="shared" si="20"/>
        <v>898</v>
      </c>
      <c r="M52" s="164">
        <f>H52/H$8</f>
        <v>4.3653456338020775E-4</v>
      </c>
      <c r="N52" s="79"/>
    </row>
    <row r="53" spans="1:14" x14ac:dyDescent="0.25">
      <c r="A53" s="161" t="s">
        <v>100</v>
      </c>
      <c r="B53" s="162" t="s">
        <v>100</v>
      </c>
      <c r="C53" s="163">
        <v>11534</v>
      </c>
      <c r="D53" s="163">
        <v>13487</v>
      </c>
      <c r="E53" s="163">
        <v>1733</v>
      </c>
      <c r="F53" s="163">
        <v>9189</v>
      </c>
      <c r="G53" s="163">
        <v>10442</v>
      </c>
      <c r="H53" s="163">
        <v>9081</v>
      </c>
      <c r="I53" s="164">
        <f>IFERROR(H53/G53-1,"-")</f>
        <v>-0.1303390155142693</v>
      </c>
      <c r="J53" s="165">
        <f t="shared" si="18"/>
        <v>-0.32668495588344326</v>
      </c>
      <c r="K53" s="163">
        <f t="shared" si="19"/>
        <v>-1361</v>
      </c>
      <c r="L53" s="163">
        <f t="shared" si="20"/>
        <v>-4406</v>
      </c>
      <c r="M53" s="164">
        <f>H53/H$8</f>
        <v>3.357759080175899E-4</v>
      </c>
      <c r="N53" s="79"/>
    </row>
    <row r="54" spans="1:14" x14ac:dyDescent="0.25">
      <c r="A54" s="161"/>
      <c r="B54" s="157" t="s">
        <v>107</v>
      </c>
      <c r="C54" s="158">
        <v>149758</v>
      </c>
      <c r="D54" s="158">
        <v>147031</v>
      </c>
      <c r="E54" s="158">
        <v>52517</v>
      </c>
      <c r="F54" s="158">
        <v>105891</v>
      </c>
      <c r="G54" s="158">
        <v>92732</v>
      </c>
      <c r="H54" s="158">
        <v>121410</v>
      </c>
      <c r="I54" s="159">
        <f>IFERROR(H54/G54-1,"-")</f>
        <v>0.3092567829875339</v>
      </c>
      <c r="J54" s="160">
        <f t="shared" si="18"/>
        <v>-0.17425576919153107</v>
      </c>
      <c r="K54" s="158">
        <f t="shared" si="19"/>
        <v>28678</v>
      </c>
      <c r="L54" s="158">
        <f t="shared" si="20"/>
        <v>-25621</v>
      </c>
      <c r="M54" s="159">
        <f>H54/H$8</f>
        <v>4.4892140725047453E-3</v>
      </c>
      <c r="N54" s="79"/>
    </row>
    <row r="55" spans="1:14" s="56" customFormat="1" x14ac:dyDescent="0.25">
      <c r="A55" s="161"/>
      <c r="B55" s="162" t="s">
        <v>110</v>
      </c>
      <c r="C55" s="163">
        <v>49242</v>
      </c>
      <c r="D55" s="163">
        <v>51215</v>
      </c>
      <c r="E55" s="163">
        <v>19108</v>
      </c>
      <c r="F55" s="163">
        <v>48933</v>
      </c>
      <c r="G55" s="163">
        <v>39565</v>
      </c>
      <c r="H55" s="163">
        <v>51736</v>
      </c>
      <c r="I55" s="164">
        <f t="shared" ref="I55:I62" si="21">IFERROR(H55/G55-1,"-")</f>
        <v>0.30762037154050303</v>
      </c>
      <c r="J55" s="165">
        <f t="shared" si="18"/>
        <v>1.0172800937225501E-2</v>
      </c>
      <c r="K55" s="163">
        <f t="shared" si="19"/>
        <v>12171</v>
      </c>
      <c r="L55" s="163">
        <f t="shared" si="20"/>
        <v>521</v>
      </c>
      <c r="M55" s="164">
        <f t="shared" ref="M55:M62" si="22">H55/H$8</f>
        <v>1.9129724014093196E-3</v>
      </c>
      <c r="N55" s="166"/>
    </row>
    <row r="56" spans="1:14" s="56" customFormat="1" x14ac:dyDescent="0.25">
      <c r="A56" s="161"/>
      <c r="B56" s="162" t="s">
        <v>113</v>
      </c>
      <c r="C56" s="163">
        <v>59251</v>
      </c>
      <c r="D56" s="163">
        <v>47233</v>
      </c>
      <c r="E56" s="163">
        <v>15109</v>
      </c>
      <c r="F56" s="163">
        <v>23868</v>
      </c>
      <c r="G56" s="163">
        <v>19386</v>
      </c>
      <c r="H56" s="163">
        <v>27209</v>
      </c>
      <c r="I56" s="164">
        <f t="shared" si="21"/>
        <v>0.4035386361291653</v>
      </c>
      <c r="J56" s="165">
        <f t="shared" si="18"/>
        <v>-0.42394088878538305</v>
      </c>
      <c r="K56" s="163">
        <f t="shared" si="19"/>
        <v>7823</v>
      </c>
      <c r="L56" s="163">
        <f t="shared" si="20"/>
        <v>-20024</v>
      </c>
      <c r="M56" s="164">
        <f t="shared" si="22"/>
        <v>1.0060705518390709E-3</v>
      </c>
      <c r="N56" s="166"/>
    </row>
    <row r="57" spans="1:14" x14ac:dyDescent="0.25">
      <c r="A57" s="161"/>
      <c r="B57" s="162" t="s">
        <v>116</v>
      </c>
      <c r="C57" s="163">
        <v>3843</v>
      </c>
      <c r="D57" s="163">
        <v>5834</v>
      </c>
      <c r="E57" s="163">
        <v>1405</v>
      </c>
      <c r="F57" s="163">
        <v>4506</v>
      </c>
      <c r="G57" s="163">
        <v>4837</v>
      </c>
      <c r="H57" s="163">
        <v>5012</v>
      </c>
      <c r="I57" s="164">
        <f t="shared" si="21"/>
        <v>3.6179450072358899E-2</v>
      </c>
      <c r="J57" s="165">
        <f t="shared" si="18"/>
        <v>-0.14089818306479263</v>
      </c>
      <c r="K57" s="163">
        <f t="shared" si="19"/>
        <v>175</v>
      </c>
      <c r="L57" s="163">
        <f t="shared" si="20"/>
        <v>-822</v>
      </c>
      <c r="M57" s="164">
        <f t="shared" si="22"/>
        <v>1.8532197456052864E-4</v>
      </c>
      <c r="N57" s="79"/>
    </row>
    <row r="58" spans="1:14" x14ac:dyDescent="0.25">
      <c r="A58" s="161"/>
      <c r="B58" s="162" t="s">
        <v>123</v>
      </c>
      <c r="C58" s="163">
        <v>2127</v>
      </c>
      <c r="D58" s="163">
        <v>3094</v>
      </c>
      <c r="E58" s="163">
        <v>911</v>
      </c>
      <c r="F58" s="163">
        <v>2182</v>
      </c>
      <c r="G58" s="163">
        <v>1414</v>
      </c>
      <c r="H58" s="163">
        <v>3485</v>
      </c>
      <c r="I58" s="164">
        <f t="shared" si="21"/>
        <v>1.4646393210749644</v>
      </c>
      <c r="J58" s="165">
        <f t="shared" si="18"/>
        <v>0.12637362637362637</v>
      </c>
      <c r="K58" s="163">
        <f t="shared" si="19"/>
        <v>2071</v>
      </c>
      <c r="L58" s="163">
        <f t="shared" si="20"/>
        <v>391</v>
      </c>
      <c r="M58" s="164">
        <f t="shared" si="22"/>
        <v>1.2886015190411858E-4</v>
      </c>
      <c r="N58" s="79"/>
    </row>
    <row r="59" spans="1:14" x14ac:dyDescent="0.25">
      <c r="A59" s="161"/>
      <c r="B59" s="162" t="s">
        <v>119</v>
      </c>
      <c r="C59" s="163">
        <v>2409</v>
      </c>
      <c r="D59" s="163">
        <v>3723</v>
      </c>
      <c r="E59" s="163">
        <v>803</v>
      </c>
      <c r="F59" s="163">
        <v>1904</v>
      </c>
      <c r="G59" s="163">
        <v>1892</v>
      </c>
      <c r="H59" s="163">
        <v>2225</v>
      </c>
      <c r="I59" s="164">
        <f t="shared" si="21"/>
        <v>0.17600422832980978</v>
      </c>
      <c r="J59" s="165">
        <f t="shared" si="18"/>
        <v>-0.40236368520010746</v>
      </c>
      <c r="K59" s="163">
        <f t="shared" si="19"/>
        <v>333</v>
      </c>
      <c r="L59" s="163">
        <f t="shared" si="20"/>
        <v>-1498</v>
      </c>
      <c r="M59" s="164">
        <f t="shared" si="22"/>
        <v>8.2270828690577866E-5</v>
      </c>
      <c r="N59" s="79"/>
    </row>
    <row r="60" spans="1:14" x14ac:dyDescent="0.25">
      <c r="A60" s="161"/>
      <c r="B60" s="162" t="s">
        <v>128</v>
      </c>
      <c r="C60" s="163">
        <v>904</v>
      </c>
      <c r="D60" s="163">
        <v>1088</v>
      </c>
      <c r="E60" s="163">
        <v>713</v>
      </c>
      <c r="F60" s="163">
        <v>298</v>
      </c>
      <c r="G60" s="163">
        <v>583</v>
      </c>
      <c r="H60" s="163">
        <v>450</v>
      </c>
      <c r="I60" s="164">
        <f t="shared" si="21"/>
        <v>-0.22813036020583188</v>
      </c>
      <c r="J60" s="165">
        <f t="shared" si="18"/>
        <v>-0.58639705882352944</v>
      </c>
      <c r="K60" s="163">
        <f t="shared" si="19"/>
        <v>-133</v>
      </c>
      <c r="L60" s="163">
        <f t="shared" si="20"/>
        <v>-638</v>
      </c>
      <c r="M60" s="164">
        <f t="shared" si="22"/>
        <v>1.663904400483597E-5</v>
      </c>
      <c r="N60" s="79"/>
    </row>
    <row r="61" spans="1:14" x14ac:dyDescent="0.25">
      <c r="A61" s="161" t="s">
        <v>144</v>
      </c>
      <c r="B61" s="162" t="s">
        <v>131</v>
      </c>
      <c r="C61" s="163">
        <v>1010</v>
      </c>
      <c r="D61" s="163">
        <v>1733</v>
      </c>
      <c r="E61" s="163">
        <v>1488</v>
      </c>
      <c r="F61" s="163">
        <v>258</v>
      </c>
      <c r="G61" s="163">
        <v>458</v>
      </c>
      <c r="H61" s="163">
        <v>387</v>
      </c>
      <c r="I61" s="164">
        <f t="shared" si="21"/>
        <v>-0.15502183406113534</v>
      </c>
      <c r="J61" s="165">
        <f t="shared" si="18"/>
        <v>-0.77668782458165031</v>
      </c>
      <c r="K61" s="163">
        <f t="shared" si="19"/>
        <v>-71</v>
      </c>
      <c r="L61" s="163">
        <f t="shared" si="20"/>
        <v>-1346</v>
      </c>
      <c r="M61" s="164">
        <f t="shared" si="22"/>
        <v>1.4309577844158935E-5</v>
      </c>
      <c r="N61" s="79"/>
    </row>
    <row r="62" spans="1:14" x14ac:dyDescent="0.25">
      <c r="A62" s="161" t="s">
        <v>145</v>
      </c>
      <c r="B62" s="168" t="s">
        <v>145</v>
      </c>
      <c r="C62" s="169">
        <f t="shared" ref="C62:H62" si="23">C54-SUM(C55:C61)</f>
        <v>30972</v>
      </c>
      <c r="D62" s="169">
        <f t="shared" si="23"/>
        <v>33111</v>
      </c>
      <c r="E62" s="169">
        <f t="shared" si="23"/>
        <v>12980</v>
      </c>
      <c r="F62" s="169">
        <f t="shared" si="23"/>
        <v>23942</v>
      </c>
      <c r="G62" s="169">
        <f t="shared" si="23"/>
        <v>24597</v>
      </c>
      <c r="H62" s="169">
        <f t="shared" si="23"/>
        <v>30906</v>
      </c>
      <c r="I62" s="170">
        <f t="shared" si="21"/>
        <v>0.256494694474936</v>
      </c>
      <c r="J62" s="171">
        <f t="shared" si="18"/>
        <v>-6.6594183201957091E-2</v>
      </c>
      <c r="K62" s="169">
        <f>H62-G62</f>
        <v>6309</v>
      </c>
      <c r="L62" s="169">
        <f t="shared" si="20"/>
        <v>-2205</v>
      </c>
      <c r="M62" s="170">
        <f t="shared" si="22"/>
        <v>1.1427695422521345E-3</v>
      </c>
      <c r="N62" s="79"/>
    </row>
    <row r="63" spans="1:14" s="144" customFormat="1" x14ac:dyDescent="0.25">
      <c r="A63" s="161"/>
      <c r="B63" s="153" t="s">
        <v>47</v>
      </c>
      <c r="C63" s="151"/>
      <c r="D63" s="151"/>
      <c r="E63" s="151"/>
      <c r="F63" s="151"/>
      <c r="G63" s="151"/>
      <c r="H63" s="151"/>
      <c r="I63" s="151"/>
      <c r="J63" s="151"/>
      <c r="K63" s="151"/>
      <c r="L63" s="151"/>
      <c r="M63" s="151"/>
    </row>
    <row r="64" spans="1:14" x14ac:dyDescent="0.25">
      <c r="A64" s="161"/>
      <c r="B64" s="154" t="s">
        <v>68</v>
      </c>
      <c r="C64" s="176">
        <v>672922</v>
      </c>
      <c r="D64" s="176">
        <v>630914</v>
      </c>
      <c r="E64" s="176">
        <v>195183</v>
      </c>
      <c r="F64" s="176">
        <v>728683</v>
      </c>
      <c r="G64" s="176">
        <v>789742</v>
      </c>
      <c r="H64" s="176">
        <v>1039569</v>
      </c>
      <c r="I64" s="177">
        <f>IFERROR(H64/G64-1,"-")</f>
        <v>0.31634001990523486</v>
      </c>
      <c r="J64" s="177">
        <f>IFERROR(H64/D64-1,"-")</f>
        <v>0.64771902351192079</v>
      </c>
      <c r="K64" s="176">
        <f>H64-G64</f>
        <v>249827</v>
      </c>
      <c r="L64" s="176">
        <f>H64-D64</f>
        <v>408655</v>
      </c>
      <c r="M64" s="177">
        <f>H64/H$8</f>
        <v>3.8438742971251834E-2</v>
      </c>
      <c r="N64" s="79"/>
    </row>
    <row r="65" spans="1:14" x14ac:dyDescent="0.25">
      <c r="A65" s="161" t="s">
        <v>96</v>
      </c>
      <c r="B65" s="157" t="s">
        <v>97</v>
      </c>
      <c r="C65" s="158">
        <v>119952</v>
      </c>
      <c r="D65" s="158">
        <v>128307</v>
      </c>
      <c r="E65" s="158">
        <v>56889</v>
      </c>
      <c r="F65" s="158">
        <v>105850</v>
      </c>
      <c r="G65" s="158">
        <v>140500</v>
      </c>
      <c r="H65" s="158">
        <v>206949</v>
      </c>
      <c r="I65" s="159">
        <f>IFERROR(H65/G65-1,"-")</f>
        <v>0.47294661921708192</v>
      </c>
      <c r="J65" s="160">
        <f t="shared" ref="J65:J76" si="24">IFERROR(H65/D65-1,"-")</f>
        <v>0.61292057331244587</v>
      </c>
      <c r="K65" s="158">
        <f t="shared" ref="K65:K75" si="25">H65-G65</f>
        <v>66449</v>
      </c>
      <c r="L65" s="158">
        <f t="shared" ref="L65:L76" si="26">H65-D65</f>
        <v>78642</v>
      </c>
      <c r="M65" s="159">
        <f>H65/H$8</f>
        <v>7.6520744839039985E-3</v>
      </c>
      <c r="N65" s="79"/>
    </row>
    <row r="66" spans="1:14" x14ac:dyDescent="0.25">
      <c r="A66" s="161" t="s">
        <v>103</v>
      </c>
      <c r="B66" s="162" t="s">
        <v>103</v>
      </c>
      <c r="C66" s="163">
        <v>60393</v>
      </c>
      <c r="D66" s="163">
        <v>55767</v>
      </c>
      <c r="E66" s="163">
        <v>17826</v>
      </c>
      <c r="F66" s="163">
        <v>70658</v>
      </c>
      <c r="G66" s="163">
        <v>80295</v>
      </c>
      <c r="H66" s="163">
        <v>103269</v>
      </c>
      <c r="I66" s="164">
        <f>IFERROR(H66/G66-1,"-")</f>
        <v>0.28611993274799175</v>
      </c>
      <c r="J66" s="165">
        <f t="shared" si="24"/>
        <v>0.85179407176287047</v>
      </c>
      <c r="K66" s="163">
        <f t="shared" si="25"/>
        <v>22974</v>
      </c>
      <c r="L66" s="163">
        <f t="shared" si="26"/>
        <v>47502</v>
      </c>
      <c r="M66" s="164">
        <f>H66/H$8</f>
        <v>3.8184387451897909E-3</v>
      </c>
      <c r="N66" s="79"/>
    </row>
    <row r="67" spans="1:14" x14ac:dyDescent="0.25">
      <c r="A67" s="161" t="s">
        <v>100</v>
      </c>
      <c r="B67" s="162" t="s">
        <v>100</v>
      </c>
      <c r="C67" s="163">
        <v>59559</v>
      </c>
      <c r="D67" s="163">
        <v>72540</v>
      </c>
      <c r="E67" s="163">
        <v>39063</v>
      </c>
      <c r="F67" s="163">
        <v>35192</v>
      </c>
      <c r="G67" s="163">
        <v>60205</v>
      </c>
      <c r="H67" s="163">
        <v>103680</v>
      </c>
      <c r="I67" s="164">
        <f>IFERROR(H67/G67-1,"-")</f>
        <v>0.72211610331367826</v>
      </c>
      <c r="J67" s="165">
        <f t="shared" si="24"/>
        <v>0.42928039702233245</v>
      </c>
      <c r="K67" s="163">
        <f t="shared" si="25"/>
        <v>43475</v>
      </c>
      <c r="L67" s="163">
        <f t="shared" si="26"/>
        <v>31140</v>
      </c>
      <c r="M67" s="164">
        <f>H67/H$8</f>
        <v>3.833635738714208E-3</v>
      </c>
      <c r="N67" s="79"/>
    </row>
    <row r="68" spans="1:14" x14ac:dyDescent="0.25">
      <c r="A68" s="161"/>
      <c r="B68" s="157" t="s">
        <v>107</v>
      </c>
      <c r="C68" s="158">
        <v>552970</v>
      </c>
      <c r="D68" s="158">
        <v>502607</v>
      </c>
      <c r="E68" s="158">
        <v>138294</v>
      </c>
      <c r="F68" s="158">
        <v>622833</v>
      </c>
      <c r="G68" s="158">
        <v>649242</v>
      </c>
      <c r="H68" s="158">
        <v>832620</v>
      </c>
      <c r="I68" s="159">
        <f>IFERROR(H68/G68-1,"-")</f>
        <v>0.28244937943016635</v>
      </c>
      <c r="J68" s="160">
        <f t="shared" si="24"/>
        <v>0.65660247469693012</v>
      </c>
      <c r="K68" s="158">
        <f t="shared" si="25"/>
        <v>183378</v>
      </c>
      <c r="L68" s="158">
        <f t="shared" si="26"/>
        <v>330013</v>
      </c>
      <c r="M68" s="159">
        <f>H68/H$8</f>
        <v>3.0786668487347839E-2</v>
      </c>
      <c r="N68" s="79"/>
    </row>
    <row r="69" spans="1:14" s="56" customFormat="1" x14ac:dyDescent="0.25">
      <c r="A69" s="161"/>
      <c r="B69" s="162" t="s">
        <v>110</v>
      </c>
      <c r="C69" s="163">
        <v>251478</v>
      </c>
      <c r="D69" s="163">
        <v>217254</v>
      </c>
      <c r="E69" s="163">
        <v>50022</v>
      </c>
      <c r="F69" s="163">
        <v>299464</v>
      </c>
      <c r="G69" s="163">
        <v>244920</v>
      </c>
      <c r="H69" s="163">
        <v>355629</v>
      </c>
      <c r="I69" s="164">
        <f t="shared" ref="I69:I76" si="27">IFERROR(H69/G69-1,"-")</f>
        <v>0.45202106810387055</v>
      </c>
      <c r="J69" s="165">
        <f t="shared" si="24"/>
        <v>0.63692728327211467</v>
      </c>
      <c r="K69" s="163">
        <f t="shared" si="25"/>
        <v>110709</v>
      </c>
      <c r="L69" s="163">
        <f t="shared" si="26"/>
        <v>138375</v>
      </c>
      <c r="M69" s="164">
        <f t="shared" ref="M69:M76" si="28">H69/H$8</f>
        <v>1.3149614623101803E-2</v>
      </c>
      <c r="N69" s="166"/>
    </row>
    <row r="70" spans="1:14" s="56" customFormat="1" x14ac:dyDescent="0.25">
      <c r="A70" s="161"/>
      <c r="B70" s="162" t="s">
        <v>113</v>
      </c>
      <c r="C70" s="163">
        <v>83145</v>
      </c>
      <c r="D70" s="163">
        <v>66937</v>
      </c>
      <c r="E70" s="163">
        <v>20686</v>
      </c>
      <c r="F70" s="163">
        <v>43033</v>
      </c>
      <c r="G70" s="163">
        <v>55732</v>
      </c>
      <c r="H70" s="163">
        <v>51511</v>
      </c>
      <c r="I70" s="164">
        <f t="shared" si="27"/>
        <v>-7.5737457833919497E-2</v>
      </c>
      <c r="J70" s="165">
        <f t="shared" si="24"/>
        <v>-0.23045550293559613</v>
      </c>
      <c r="K70" s="163">
        <f t="shared" si="25"/>
        <v>-4221</v>
      </c>
      <c r="L70" s="163">
        <f t="shared" si="26"/>
        <v>-15426</v>
      </c>
      <c r="M70" s="164">
        <f t="shared" si="28"/>
        <v>1.9046528794069016E-3</v>
      </c>
      <c r="N70" s="166"/>
    </row>
    <row r="71" spans="1:14" x14ac:dyDescent="0.25">
      <c r="A71" s="161"/>
      <c r="B71" s="162" t="s">
        <v>116</v>
      </c>
      <c r="C71" s="163">
        <v>35407</v>
      </c>
      <c r="D71" s="163">
        <v>56301</v>
      </c>
      <c r="E71" s="163">
        <v>16601</v>
      </c>
      <c r="F71" s="163">
        <v>80284</v>
      </c>
      <c r="G71" s="163">
        <v>77308</v>
      </c>
      <c r="H71" s="163">
        <v>97520</v>
      </c>
      <c r="I71" s="164">
        <f t="shared" si="27"/>
        <v>0.26144771563098246</v>
      </c>
      <c r="J71" s="165">
        <f t="shared" si="24"/>
        <v>0.73211843484129946</v>
      </c>
      <c r="K71" s="163">
        <f t="shared" si="25"/>
        <v>20212</v>
      </c>
      <c r="L71" s="163">
        <f t="shared" si="26"/>
        <v>41219</v>
      </c>
      <c r="M71" s="164">
        <f t="shared" si="28"/>
        <v>3.6058657141146756E-3</v>
      </c>
      <c r="N71" s="79"/>
    </row>
    <row r="72" spans="1:14" x14ac:dyDescent="0.25">
      <c r="A72" s="161"/>
      <c r="B72" s="162" t="s">
        <v>123</v>
      </c>
      <c r="C72" s="163">
        <v>12516</v>
      </c>
      <c r="D72" s="163">
        <v>8844</v>
      </c>
      <c r="E72" s="163">
        <v>1561</v>
      </c>
      <c r="F72" s="163">
        <v>17485</v>
      </c>
      <c r="G72" s="163">
        <v>19544</v>
      </c>
      <c r="H72" s="163">
        <v>34657</v>
      </c>
      <c r="I72" s="164">
        <f t="shared" si="27"/>
        <v>0.7732808022922637</v>
      </c>
      <c r="J72" s="165">
        <f t="shared" si="24"/>
        <v>2.9187019448213478</v>
      </c>
      <c r="K72" s="163">
        <f t="shared" si="25"/>
        <v>15113</v>
      </c>
      <c r="L72" s="163">
        <f t="shared" si="26"/>
        <v>25813</v>
      </c>
      <c r="M72" s="164">
        <f t="shared" si="28"/>
        <v>1.2814652179457785E-3</v>
      </c>
      <c r="N72" s="79"/>
    </row>
    <row r="73" spans="1:14" x14ac:dyDescent="0.25">
      <c r="A73" s="161"/>
      <c r="B73" s="162" t="s">
        <v>119</v>
      </c>
      <c r="C73" s="163">
        <v>13817</v>
      </c>
      <c r="D73" s="163">
        <v>10144</v>
      </c>
      <c r="E73" s="163">
        <v>5257</v>
      </c>
      <c r="F73" s="163">
        <v>18083</v>
      </c>
      <c r="G73" s="163">
        <v>14195</v>
      </c>
      <c r="H73" s="163">
        <v>21106</v>
      </c>
      <c r="I73" s="164">
        <f t="shared" si="27"/>
        <v>0.4868615709756956</v>
      </c>
      <c r="J73" s="165">
        <f t="shared" si="24"/>
        <v>1.0806388012618298</v>
      </c>
      <c r="K73" s="163">
        <f t="shared" si="25"/>
        <v>6911</v>
      </c>
      <c r="L73" s="163">
        <f t="shared" si="26"/>
        <v>10962</v>
      </c>
      <c r="M73" s="164">
        <f t="shared" si="28"/>
        <v>7.8040813948015118E-4</v>
      </c>
      <c r="N73" s="79"/>
    </row>
    <row r="74" spans="1:14" x14ac:dyDescent="0.25">
      <c r="A74" s="161"/>
      <c r="B74" s="162" t="s">
        <v>128</v>
      </c>
      <c r="C74" s="163">
        <v>6948</v>
      </c>
      <c r="D74" s="163">
        <v>9010</v>
      </c>
      <c r="E74" s="163">
        <v>5452</v>
      </c>
      <c r="F74" s="163">
        <v>7866</v>
      </c>
      <c r="G74" s="163">
        <v>23161</v>
      </c>
      <c r="H74" s="163">
        <v>17511</v>
      </c>
      <c r="I74" s="164">
        <f t="shared" si="27"/>
        <v>-0.24394456197918912</v>
      </c>
      <c r="J74" s="165">
        <f t="shared" si="24"/>
        <v>0.94350721420643735</v>
      </c>
      <c r="K74" s="163">
        <f t="shared" si="25"/>
        <v>-5650</v>
      </c>
      <c r="L74" s="163">
        <f t="shared" si="26"/>
        <v>8501</v>
      </c>
      <c r="M74" s="164">
        <f t="shared" si="28"/>
        <v>6.4748066570818376E-4</v>
      </c>
      <c r="N74" s="79"/>
    </row>
    <row r="75" spans="1:14" x14ac:dyDescent="0.25">
      <c r="A75" s="161" t="s">
        <v>144</v>
      </c>
      <c r="B75" s="162" t="s">
        <v>131</v>
      </c>
      <c r="C75" s="163">
        <v>10226</v>
      </c>
      <c r="D75" s="163">
        <v>7321</v>
      </c>
      <c r="E75" s="163">
        <v>4548</v>
      </c>
      <c r="F75" s="163">
        <v>2796</v>
      </c>
      <c r="G75" s="163">
        <v>6974</v>
      </c>
      <c r="H75" s="163">
        <v>12214</v>
      </c>
      <c r="I75" s="164">
        <f t="shared" si="27"/>
        <v>0.75136220246630336</v>
      </c>
      <c r="J75" s="165">
        <f t="shared" si="24"/>
        <v>0.66835131812593906</v>
      </c>
      <c r="K75" s="163">
        <f t="shared" si="25"/>
        <v>5240</v>
      </c>
      <c r="L75" s="163">
        <f t="shared" si="26"/>
        <v>4893</v>
      </c>
      <c r="M75" s="164">
        <f t="shared" si="28"/>
        <v>4.5162062994459233E-4</v>
      </c>
      <c r="N75" s="79"/>
    </row>
    <row r="76" spans="1:14" x14ac:dyDescent="0.25">
      <c r="A76" s="161" t="s">
        <v>145</v>
      </c>
      <c r="B76" s="168" t="s">
        <v>145</v>
      </c>
      <c r="C76" s="169">
        <f t="shared" ref="C76:H76" si="29">C68-SUM(C69:C75)</f>
        <v>139433</v>
      </c>
      <c r="D76" s="169">
        <f t="shared" si="29"/>
        <v>126796</v>
      </c>
      <c r="E76" s="169">
        <f t="shared" si="29"/>
        <v>34167</v>
      </c>
      <c r="F76" s="169">
        <f t="shared" si="29"/>
        <v>153822</v>
      </c>
      <c r="G76" s="169">
        <f t="shared" si="29"/>
        <v>207408</v>
      </c>
      <c r="H76" s="169">
        <f t="shared" si="29"/>
        <v>242472</v>
      </c>
      <c r="I76" s="170">
        <f t="shared" si="27"/>
        <v>0.16905808840546177</v>
      </c>
      <c r="J76" s="171">
        <f t="shared" si="24"/>
        <v>0.9123000725574939</v>
      </c>
      <c r="K76" s="169">
        <f>H76-G76</f>
        <v>35064</v>
      </c>
      <c r="L76" s="169">
        <f t="shared" si="26"/>
        <v>115676</v>
      </c>
      <c r="M76" s="170">
        <f t="shared" si="28"/>
        <v>8.9655606176457497E-3</v>
      </c>
      <c r="N76" s="79"/>
    </row>
    <row r="77" spans="1:14" s="144" customFormat="1" x14ac:dyDescent="0.25">
      <c r="A77" s="161"/>
      <c r="B77" s="153" t="s">
        <v>48</v>
      </c>
      <c r="C77" s="151"/>
      <c r="D77" s="151"/>
      <c r="E77" s="151"/>
      <c r="F77" s="151"/>
      <c r="G77" s="151"/>
      <c r="H77" s="151"/>
      <c r="I77" s="151"/>
      <c r="J77" s="151"/>
      <c r="K77" s="151"/>
      <c r="L77" s="151"/>
      <c r="M77" s="151"/>
    </row>
    <row r="78" spans="1:14" x14ac:dyDescent="0.25">
      <c r="A78" s="161"/>
      <c r="B78" s="154" t="s">
        <v>68</v>
      </c>
      <c r="C78" s="176">
        <v>4402987</v>
      </c>
      <c r="D78" s="176">
        <v>4147957</v>
      </c>
      <c r="E78" s="176">
        <v>1338661</v>
      </c>
      <c r="F78" s="176">
        <v>3164473</v>
      </c>
      <c r="G78" s="176">
        <v>3797412</v>
      </c>
      <c r="H78" s="176">
        <v>4309024</v>
      </c>
      <c r="I78" s="177">
        <f>IFERROR(H78/G78-1,"-")</f>
        <v>0.13472649267448467</v>
      </c>
      <c r="J78" s="177">
        <f>IFERROR(H78/D78-1,"-")</f>
        <v>3.8830441106308511E-2</v>
      </c>
      <c r="K78" s="176">
        <f>H78-G78</f>
        <v>511612</v>
      </c>
      <c r="L78" s="176">
        <f>H78-D78</f>
        <v>161067</v>
      </c>
      <c r="M78" s="177">
        <f>H78/H$8</f>
        <v>0.1593289776753207</v>
      </c>
      <c r="N78" s="79"/>
    </row>
    <row r="79" spans="1:14" x14ac:dyDescent="0.25">
      <c r="A79" s="161" t="s">
        <v>96</v>
      </c>
      <c r="B79" s="157" t="s">
        <v>97</v>
      </c>
      <c r="C79" s="158">
        <v>1578338</v>
      </c>
      <c r="D79" s="158">
        <v>1507802</v>
      </c>
      <c r="E79" s="158">
        <v>371015</v>
      </c>
      <c r="F79" s="158">
        <v>1298150</v>
      </c>
      <c r="G79" s="158">
        <v>1358012</v>
      </c>
      <c r="H79" s="158">
        <v>1351953</v>
      </c>
      <c r="I79" s="159">
        <f>IFERROR(H79/G79-1,"-")</f>
        <v>-4.4616689690518685E-3</v>
      </c>
      <c r="J79" s="160">
        <f t="shared" ref="J79:J90" si="30">IFERROR(H79/D79-1,"-")</f>
        <v>-0.10336171460178456</v>
      </c>
      <c r="K79" s="158">
        <f t="shared" ref="K79:K89" si="31">H79-G79</f>
        <v>-6059</v>
      </c>
      <c r="L79" s="158">
        <f t="shared" ref="L79:L90" si="32">H79-D79</f>
        <v>-155849</v>
      </c>
      <c r="M79" s="159">
        <f>H79/H$8</f>
        <v>4.9989345465488902E-2</v>
      </c>
      <c r="N79" s="79"/>
    </row>
    <row r="80" spans="1:14" x14ac:dyDescent="0.25">
      <c r="A80" s="161" t="s">
        <v>103</v>
      </c>
      <c r="B80" s="162" t="s">
        <v>103</v>
      </c>
      <c r="C80" s="163">
        <v>271266</v>
      </c>
      <c r="D80" s="163">
        <v>167866</v>
      </c>
      <c r="E80" s="163">
        <v>41775</v>
      </c>
      <c r="F80" s="163">
        <v>192946</v>
      </c>
      <c r="G80" s="163">
        <v>217002</v>
      </c>
      <c r="H80" s="163">
        <v>232668</v>
      </c>
      <c r="I80" s="164">
        <f>IFERROR(H80/G80-1,"-")</f>
        <v>7.2192883014903009E-2</v>
      </c>
      <c r="J80" s="165">
        <f t="shared" si="30"/>
        <v>0.38603409862628535</v>
      </c>
      <c r="K80" s="163">
        <f t="shared" si="31"/>
        <v>15666</v>
      </c>
      <c r="L80" s="163">
        <f t="shared" si="32"/>
        <v>64802</v>
      </c>
      <c r="M80" s="164">
        <f>H80/H$8</f>
        <v>8.6030513122603916E-3</v>
      </c>
      <c r="N80" s="79"/>
    </row>
    <row r="81" spans="1:14" x14ac:dyDescent="0.25">
      <c r="A81" s="161" t="s">
        <v>100</v>
      </c>
      <c r="B81" s="162" t="s">
        <v>100</v>
      </c>
      <c r="C81" s="163">
        <v>1307072</v>
      </c>
      <c r="D81" s="163">
        <v>1339936</v>
      </c>
      <c r="E81" s="163">
        <v>329240</v>
      </c>
      <c r="F81" s="163">
        <v>1105204</v>
      </c>
      <c r="G81" s="163">
        <v>1141010</v>
      </c>
      <c r="H81" s="163">
        <v>1119285</v>
      </c>
      <c r="I81" s="164">
        <f>IFERROR(H81/G81-1,"-")</f>
        <v>-1.904014864023984E-2</v>
      </c>
      <c r="J81" s="165">
        <f t="shared" si="30"/>
        <v>-0.16467279034222526</v>
      </c>
      <c r="K81" s="163">
        <f t="shared" si="31"/>
        <v>-21725</v>
      </c>
      <c r="L81" s="163">
        <f t="shared" si="32"/>
        <v>-220651</v>
      </c>
      <c r="M81" s="164">
        <f>H81/H$8</f>
        <v>4.138629415322851E-2</v>
      </c>
      <c r="N81" s="79"/>
    </row>
    <row r="82" spans="1:14" x14ac:dyDescent="0.25">
      <c r="A82" s="161"/>
      <c r="B82" s="157" t="s">
        <v>107</v>
      </c>
      <c r="C82" s="158">
        <v>2824649</v>
      </c>
      <c r="D82" s="158">
        <v>2640155</v>
      </c>
      <c r="E82" s="158">
        <v>967646</v>
      </c>
      <c r="F82" s="158">
        <v>1866323</v>
      </c>
      <c r="G82" s="158">
        <v>2439400</v>
      </c>
      <c r="H82" s="158">
        <v>2957071</v>
      </c>
      <c r="I82" s="159">
        <f>IFERROR(H82/G82-1,"-")</f>
        <v>0.21221242928589001</v>
      </c>
      <c r="J82" s="160">
        <f t="shared" si="30"/>
        <v>0.1200368917733996</v>
      </c>
      <c r="K82" s="158">
        <f t="shared" si="31"/>
        <v>517671</v>
      </c>
      <c r="L82" s="158">
        <f t="shared" si="32"/>
        <v>316916</v>
      </c>
      <c r="M82" s="159">
        <f>H82/H$8</f>
        <v>0.10933963220983181</v>
      </c>
      <c r="N82" s="79"/>
    </row>
    <row r="83" spans="1:14" s="56" customFormat="1" x14ac:dyDescent="0.25">
      <c r="A83" s="161"/>
      <c r="B83" s="162" t="s">
        <v>110</v>
      </c>
      <c r="C83" s="163">
        <v>372575</v>
      </c>
      <c r="D83" s="163">
        <v>422147</v>
      </c>
      <c r="E83" s="163">
        <v>140598</v>
      </c>
      <c r="F83" s="163">
        <v>362744</v>
      </c>
      <c r="G83" s="163">
        <v>476707</v>
      </c>
      <c r="H83" s="163">
        <v>584844</v>
      </c>
      <c r="I83" s="164">
        <f t="shared" ref="I83:I90" si="33">IFERROR(H83/G83-1,"-")</f>
        <v>0.22684164486781189</v>
      </c>
      <c r="J83" s="165">
        <f t="shared" si="30"/>
        <v>0.38540366270517135</v>
      </c>
      <c r="K83" s="163">
        <f t="shared" si="31"/>
        <v>108137</v>
      </c>
      <c r="L83" s="163">
        <f t="shared" si="32"/>
        <v>162697</v>
      </c>
      <c r="M83" s="164">
        <f t="shared" ref="M83:M90" si="34">H83/H$8</f>
        <v>2.1624989004365085E-2</v>
      </c>
      <c r="N83" s="166"/>
    </row>
    <row r="84" spans="1:14" s="56" customFormat="1" x14ac:dyDescent="0.25">
      <c r="A84" s="161"/>
      <c r="B84" s="162" t="s">
        <v>113</v>
      </c>
      <c r="C84" s="163">
        <v>1366159</v>
      </c>
      <c r="D84" s="163">
        <v>1148483</v>
      </c>
      <c r="E84" s="163">
        <v>406865</v>
      </c>
      <c r="F84" s="163">
        <v>689086</v>
      </c>
      <c r="G84" s="163">
        <v>832824</v>
      </c>
      <c r="H84" s="163">
        <v>975376</v>
      </c>
      <c r="I84" s="164">
        <f t="shared" si="33"/>
        <v>0.17116701728096206</v>
      </c>
      <c r="J84" s="165">
        <f t="shared" si="30"/>
        <v>-0.15072665420384979</v>
      </c>
      <c r="K84" s="163">
        <f t="shared" si="31"/>
        <v>142552</v>
      </c>
      <c r="L84" s="163">
        <f t="shared" si="32"/>
        <v>-173107</v>
      </c>
      <c r="M84" s="164">
        <f t="shared" si="34"/>
        <v>3.6065164856135312E-2</v>
      </c>
      <c r="N84" s="166"/>
    </row>
    <row r="85" spans="1:14" x14ac:dyDescent="0.25">
      <c r="A85" s="161"/>
      <c r="B85" s="162" t="s">
        <v>116</v>
      </c>
      <c r="C85" s="163">
        <v>123889</v>
      </c>
      <c r="D85" s="163">
        <v>135749</v>
      </c>
      <c r="E85" s="163">
        <v>41361</v>
      </c>
      <c r="F85" s="163">
        <v>133627</v>
      </c>
      <c r="G85" s="163">
        <v>199415</v>
      </c>
      <c r="H85" s="163">
        <v>297137</v>
      </c>
      <c r="I85" s="164">
        <f t="shared" si="33"/>
        <v>0.49004337687736621</v>
      </c>
      <c r="J85" s="165">
        <f t="shared" si="30"/>
        <v>1.1888706362477808</v>
      </c>
      <c r="K85" s="163">
        <f t="shared" si="31"/>
        <v>97722</v>
      </c>
      <c r="L85" s="163">
        <f t="shared" si="32"/>
        <v>161388</v>
      </c>
      <c r="M85" s="164">
        <f t="shared" si="34"/>
        <v>1.098683470769988E-2</v>
      </c>
      <c r="N85" s="79"/>
    </row>
    <row r="86" spans="1:14" x14ac:dyDescent="0.25">
      <c r="A86" s="161"/>
      <c r="B86" s="162" t="s">
        <v>123</v>
      </c>
      <c r="C86" s="163">
        <v>80774</v>
      </c>
      <c r="D86" s="163">
        <v>60208</v>
      </c>
      <c r="E86" s="163">
        <v>12762</v>
      </c>
      <c r="F86" s="163">
        <v>55181</v>
      </c>
      <c r="G86" s="163">
        <v>65462</v>
      </c>
      <c r="H86" s="163">
        <v>98245</v>
      </c>
      <c r="I86" s="164">
        <f t="shared" si="33"/>
        <v>0.50079435397635264</v>
      </c>
      <c r="J86" s="165">
        <f t="shared" si="30"/>
        <v>0.6317598990167419</v>
      </c>
      <c r="K86" s="163">
        <f t="shared" si="31"/>
        <v>32783</v>
      </c>
      <c r="L86" s="163">
        <f t="shared" si="32"/>
        <v>38037</v>
      </c>
      <c r="M86" s="164">
        <f t="shared" si="34"/>
        <v>3.6326730627891336E-3</v>
      </c>
      <c r="N86" s="79"/>
    </row>
    <row r="87" spans="1:14" x14ac:dyDescent="0.25">
      <c r="A87" s="161"/>
      <c r="B87" s="162" t="s">
        <v>119</v>
      </c>
      <c r="C87" s="163">
        <v>44833</v>
      </c>
      <c r="D87" s="163">
        <v>37804</v>
      </c>
      <c r="E87" s="163">
        <v>12354</v>
      </c>
      <c r="F87" s="163">
        <v>24540</v>
      </c>
      <c r="G87" s="163">
        <v>33952</v>
      </c>
      <c r="H87" s="163">
        <v>43900</v>
      </c>
      <c r="I87" s="164">
        <f t="shared" si="33"/>
        <v>0.2930018850141376</v>
      </c>
      <c r="J87" s="165">
        <f t="shared" si="30"/>
        <v>0.16125277748386413</v>
      </c>
      <c r="K87" s="163">
        <f t="shared" si="31"/>
        <v>9948</v>
      </c>
      <c r="L87" s="163">
        <f t="shared" si="32"/>
        <v>6096</v>
      </c>
      <c r="M87" s="164">
        <f t="shared" si="34"/>
        <v>1.6232311818051093E-3</v>
      </c>
      <c r="N87" s="79"/>
    </row>
    <row r="88" spans="1:14" x14ac:dyDescent="0.25">
      <c r="A88" s="161"/>
      <c r="B88" s="162" t="s">
        <v>128</v>
      </c>
      <c r="C88" s="163">
        <v>44058</v>
      </c>
      <c r="D88" s="163">
        <v>50185</v>
      </c>
      <c r="E88" s="163">
        <v>30296</v>
      </c>
      <c r="F88" s="163">
        <v>35518</v>
      </c>
      <c r="G88" s="163">
        <v>50535</v>
      </c>
      <c r="H88" s="163">
        <v>46488</v>
      </c>
      <c r="I88" s="164">
        <f t="shared" si="33"/>
        <v>-8.0083110715345796E-2</v>
      </c>
      <c r="J88" s="165">
        <f t="shared" si="30"/>
        <v>-7.3667430507123655E-2</v>
      </c>
      <c r="K88" s="163">
        <f t="shared" si="31"/>
        <v>-4047</v>
      </c>
      <c r="L88" s="163">
        <f t="shared" si="32"/>
        <v>-3697</v>
      </c>
      <c r="M88" s="164">
        <f t="shared" si="34"/>
        <v>1.7189241726595882E-3</v>
      </c>
      <c r="N88" s="79"/>
    </row>
    <row r="89" spans="1:14" x14ac:dyDescent="0.25">
      <c r="A89" s="161" t="s">
        <v>144</v>
      </c>
      <c r="B89" s="162" t="s">
        <v>131</v>
      </c>
      <c r="C89" s="163">
        <v>80980</v>
      </c>
      <c r="D89" s="163">
        <v>65355</v>
      </c>
      <c r="E89" s="163">
        <v>48839</v>
      </c>
      <c r="F89" s="163">
        <v>29720</v>
      </c>
      <c r="G89" s="163">
        <v>49558</v>
      </c>
      <c r="H89" s="163">
        <v>53306</v>
      </c>
      <c r="I89" s="164">
        <f t="shared" si="33"/>
        <v>7.562855643892008E-2</v>
      </c>
      <c r="J89" s="165">
        <f t="shared" si="30"/>
        <v>-0.18436232881952419</v>
      </c>
      <c r="K89" s="163">
        <f t="shared" si="31"/>
        <v>3748</v>
      </c>
      <c r="L89" s="163">
        <f t="shared" si="32"/>
        <v>-12049</v>
      </c>
      <c r="M89" s="164">
        <f t="shared" si="34"/>
        <v>1.9710241771595249E-3</v>
      </c>
      <c r="N89" s="79"/>
    </row>
    <row r="90" spans="1:14" x14ac:dyDescent="0.25">
      <c r="A90" s="161" t="s">
        <v>145</v>
      </c>
      <c r="B90" s="168" t="s">
        <v>145</v>
      </c>
      <c r="C90" s="169">
        <f t="shared" ref="C90:H90" si="35">C82-SUM(C83:C89)</f>
        <v>711381</v>
      </c>
      <c r="D90" s="169">
        <f t="shared" si="35"/>
        <v>720224</v>
      </c>
      <c r="E90" s="169">
        <f t="shared" si="35"/>
        <v>274571</v>
      </c>
      <c r="F90" s="169">
        <f t="shared" si="35"/>
        <v>535907</v>
      </c>
      <c r="G90" s="169">
        <f t="shared" si="35"/>
        <v>730947</v>
      </c>
      <c r="H90" s="169">
        <f t="shared" si="35"/>
        <v>857775</v>
      </c>
      <c r="I90" s="170">
        <f t="shared" si="33"/>
        <v>0.17351189621135332</v>
      </c>
      <c r="J90" s="171">
        <f t="shared" si="30"/>
        <v>0.19098363842360144</v>
      </c>
      <c r="K90" s="169">
        <f>H90-G90</f>
        <v>126828</v>
      </c>
      <c r="L90" s="169">
        <f t="shared" si="32"/>
        <v>137551</v>
      </c>
      <c r="M90" s="170">
        <f t="shared" si="34"/>
        <v>3.1716791047218168E-2</v>
      </c>
      <c r="N90" s="79"/>
    </row>
    <row r="91" spans="1:14" s="144" customFormat="1" x14ac:dyDescent="0.25">
      <c r="A91" s="161"/>
      <c r="B91" s="153" t="s">
        <v>49</v>
      </c>
      <c r="C91" s="151"/>
      <c r="D91" s="151"/>
      <c r="E91" s="151"/>
      <c r="F91" s="151"/>
      <c r="G91" s="151"/>
      <c r="H91" s="151"/>
      <c r="I91" s="151"/>
      <c r="J91" s="151"/>
      <c r="K91" s="151"/>
      <c r="L91" s="151"/>
      <c r="M91" s="151"/>
    </row>
    <row r="92" spans="1:14" x14ac:dyDescent="0.25">
      <c r="A92" s="161"/>
      <c r="B92" s="154" t="s">
        <v>68</v>
      </c>
      <c r="C92" s="176">
        <v>101524</v>
      </c>
      <c r="D92" s="176">
        <v>98308</v>
      </c>
      <c r="E92" s="176">
        <v>44367</v>
      </c>
      <c r="F92" s="176">
        <v>100995</v>
      </c>
      <c r="G92" s="176">
        <v>112147</v>
      </c>
      <c r="H92" s="176">
        <v>111822</v>
      </c>
      <c r="I92" s="177">
        <f>IFERROR(H92/G92-1,"-")</f>
        <v>-2.8979821127627092E-3</v>
      </c>
      <c r="J92" s="177">
        <f>IFERROR(H92/D92-1,"-")</f>
        <v>0.13746592342433983</v>
      </c>
      <c r="K92" s="176">
        <f>H92-G92</f>
        <v>-325</v>
      </c>
      <c r="L92" s="176">
        <f>H92-D92</f>
        <v>13514</v>
      </c>
      <c r="M92" s="177">
        <f>H92/H$8</f>
        <v>4.1346915082417068E-3</v>
      </c>
      <c r="N92" s="79"/>
    </row>
    <row r="93" spans="1:14" x14ac:dyDescent="0.25">
      <c r="A93" s="161" t="s">
        <v>96</v>
      </c>
      <c r="B93" s="157" t="s">
        <v>97</v>
      </c>
      <c r="C93" s="158">
        <v>52641</v>
      </c>
      <c r="D93" s="158">
        <v>53495</v>
      </c>
      <c r="E93" s="158">
        <v>21472</v>
      </c>
      <c r="F93" s="158">
        <v>53443</v>
      </c>
      <c r="G93" s="158">
        <v>57667</v>
      </c>
      <c r="H93" s="158">
        <v>51706</v>
      </c>
      <c r="I93" s="159">
        <f>IFERROR(H93/G93-1,"-")</f>
        <v>-0.10336934468586889</v>
      </c>
      <c r="J93" s="160">
        <f t="shared" ref="J93:J104" si="36">IFERROR(H93/D93-1,"-")</f>
        <v>-3.3442377792317068E-2</v>
      </c>
      <c r="K93" s="158">
        <f t="shared" ref="K93:K103" si="37">H93-G93</f>
        <v>-5961</v>
      </c>
      <c r="L93" s="158">
        <f t="shared" ref="L93:L104" si="38">H93-D93</f>
        <v>-1789</v>
      </c>
      <c r="M93" s="159">
        <f>H93/H$8</f>
        <v>1.9118631318089973E-3</v>
      </c>
      <c r="N93" s="79"/>
    </row>
    <row r="94" spans="1:14" x14ac:dyDescent="0.25">
      <c r="A94" s="161" t="s">
        <v>103</v>
      </c>
      <c r="B94" s="162" t="s">
        <v>103</v>
      </c>
      <c r="C94" s="163">
        <v>22573</v>
      </c>
      <c r="D94" s="163">
        <v>22522</v>
      </c>
      <c r="E94" s="163">
        <v>10036</v>
      </c>
      <c r="F94" s="163">
        <v>22783</v>
      </c>
      <c r="G94" s="163">
        <v>15570</v>
      </c>
      <c r="H94" s="163">
        <v>14648</v>
      </c>
      <c r="I94" s="164">
        <f>IFERROR(H94/G94-1,"-")</f>
        <v>-5.9216441875401427E-2</v>
      </c>
      <c r="J94" s="165">
        <f t="shared" si="36"/>
        <v>-0.34961371103809613</v>
      </c>
      <c r="K94" s="163">
        <f t="shared" si="37"/>
        <v>-922</v>
      </c>
      <c r="L94" s="163">
        <f t="shared" si="38"/>
        <v>-7874</v>
      </c>
      <c r="M94" s="164">
        <f>H94/H$8</f>
        <v>5.4161937018408295E-4</v>
      </c>
      <c r="N94" s="79"/>
    </row>
    <row r="95" spans="1:14" x14ac:dyDescent="0.25">
      <c r="A95" s="161" t="s">
        <v>100</v>
      </c>
      <c r="B95" s="162" t="s">
        <v>100</v>
      </c>
      <c r="C95" s="163">
        <v>30068</v>
      </c>
      <c r="D95" s="163">
        <v>30973</v>
      </c>
      <c r="E95" s="163">
        <v>11436</v>
      </c>
      <c r="F95" s="163">
        <v>30660</v>
      </c>
      <c r="G95" s="163">
        <v>42097</v>
      </c>
      <c r="H95" s="163">
        <v>37058</v>
      </c>
      <c r="I95" s="164">
        <f>IFERROR(H95/G95-1,"-")</f>
        <v>-0.11969974107418579</v>
      </c>
      <c r="J95" s="165">
        <f t="shared" si="36"/>
        <v>0.19646143415232631</v>
      </c>
      <c r="K95" s="163">
        <f t="shared" si="37"/>
        <v>-5039</v>
      </c>
      <c r="L95" s="163">
        <f t="shared" si="38"/>
        <v>6085</v>
      </c>
      <c r="M95" s="164">
        <f>H95/H$8</f>
        <v>1.3702437616249143E-3</v>
      </c>
      <c r="N95" s="79"/>
    </row>
    <row r="96" spans="1:14" x14ac:dyDescent="0.25">
      <c r="A96" s="161"/>
      <c r="B96" s="157" t="s">
        <v>107</v>
      </c>
      <c r="C96" s="158">
        <v>48883</v>
      </c>
      <c r="D96" s="158">
        <v>44813</v>
      </c>
      <c r="E96" s="158">
        <v>22895</v>
      </c>
      <c r="F96" s="158">
        <v>47552</v>
      </c>
      <c r="G96" s="158">
        <v>54480</v>
      </c>
      <c r="H96" s="158">
        <v>60116</v>
      </c>
      <c r="I96" s="159">
        <f>IFERROR(H96/G96-1,"-")</f>
        <v>0.10345080763582959</v>
      </c>
      <c r="J96" s="160">
        <f t="shared" si="36"/>
        <v>0.34148572958739654</v>
      </c>
      <c r="K96" s="158">
        <f t="shared" si="37"/>
        <v>5636</v>
      </c>
      <c r="L96" s="158">
        <f t="shared" si="38"/>
        <v>15303</v>
      </c>
      <c r="M96" s="159">
        <f>H96/H$8</f>
        <v>2.2228283764327097E-3</v>
      </c>
      <c r="N96" s="79"/>
    </row>
    <row r="97" spans="1:14" s="56" customFormat="1" x14ac:dyDescent="0.25">
      <c r="A97" s="161"/>
      <c r="B97" s="162" t="s">
        <v>110</v>
      </c>
      <c r="C97" s="163">
        <v>5327</v>
      </c>
      <c r="D97" s="163">
        <v>6238</v>
      </c>
      <c r="E97" s="163">
        <v>4549</v>
      </c>
      <c r="F97" s="163">
        <v>6678</v>
      </c>
      <c r="G97" s="163">
        <v>8437</v>
      </c>
      <c r="H97" s="163">
        <v>9512</v>
      </c>
      <c r="I97" s="164">
        <f t="shared" ref="I97:I104" si="39">IFERROR(H97/G97-1,"-")</f>
        <v>0.12741495792343249</v>
      </c>
      <c r="J97" s="165">
        <f t="shared" si="36"/>
        <v>0.52484770759858934</v>
      </c>
      <c r="K97" s="163">
        <f t="shared" si="37"/>
        <v>1075</v>
      </c>
      <c r="L97" s="163">
        <f t="shared" si="38"/>
        <v>3274</v>
      </c>
      <c r="M97" s="164">
        <f t="shared" ref="M97:M104" si="40">H97/H$8</f>
        <v>3.5171241460888836E-4</v>
      </c>
      <c r="N97" s="166"/>
    </row>
    <row r="98" spans="1:14" s="56" customFormat="1" x14ac:dyDescent="0.25">
      <c r="A98" s="161"/>
      <c r="B98" s="162" t="s">
        <v>113</v>
      </c>
      <c r="C98" s="163">
        <v>18232</v>
      </c>
      <c r="D98" s="163">
        <v>14224</v>
      </c>
      <c r="E98" s="163">
        <v>6846</v>
      </c>
      <c r="F98" s="163">
        <v>14680</v>
      </c>
      <c r="G98" s="163">
        <v>15937</v>
      </c>
      <c r="H98" s="163">
        <v>17843</v>
      </c>
      <c r="I98" s="164">
        <f t="shared" si="39"/>
        <v>0.11959590889125926</v>
      </c>
      <c r="J98" s="165">
        <f t="shared" si="36"/>
        <v>0.25442913385826782</v>
      </c>
      <c r="K98" s="163">
        <f t="shared" si="37"/>
        <v>1906</v>
      </c>
      <c r="L98" s="163">
        <f t="shared" si="38"/>
        <v>3619</v>
      </c>
      <c r="M98" s="164">
        <f t="shared" si="40"/>
        <v>6.597565826184183E-4</v>
      </c>
      <c r="N98" s="166"/>
    </row>
    <row r="99" spans="1:14" x14ac:dyDescent="0.25">
      <c r="A99" s="161"/>
      <c r="B99" s="162" t="s">
        <v>116</v>
      </c>
      <c r="C99" s="163">
        <v>6351</v>
      </c>
      <c r="D99" s="163">
        <v>6457</v>
      </c>
      <c r="E99" s="163">
        <v>3672</v>
      </c>
      <c r="F99" s="163">
        <v>6004</v>
      </c>
      <c r="G99" s="163">
        <v>6518</v>
      </c>
      <c r="H99" s="163">
        <v>7642</v>
      </c>
      <c r="I99" s="164">
        <f t="shared" si="39"/>
        <v>0.17244553544031915</v>
      </c>
      <c r="J99" s="165">
        <f t="shared" si="36"/>
        <v>0.1835217593309586</v>
      </c>
      <c r="K99" s="163">
        <f t="shared" si="37"/>
        <v>1124</v>
      </c>
      <c r="L99" s="163">
        <f t="shared" si="38"/>
        <v>1185</v>
      </c>
      <c r="M99" s="164">
        <f t="shared" si="40"/>
        <v>2.8256794285545886E-4</v>
      </c>
      <c r="N99" s="79"/>
    </row>
    <row r="100" spans="1:14" x14ac:dyDescent="0.25">
      <c r="A100" s="161"/>
      <c r="B100" s="162" t="s">
        <v>123</v>
      </c>
      <c r="C100" s="163">
        <v>1808</v>
      </c>
      <c r="D100" s="163">
        <v>1730</v>
      </c>
      <c r="E100" s="163">
        <v>864</v>
      </c>
      <c r="F100" s="163">
        <v>3436</v>
      </c>
      <c r="G100" s="163">
        <v>2670</v>
      </c>
      <c r="H100" s="163">
        <v>3162</v>
      </c>
      <c r="I100" s="164">
        <f t="shared" si="39"/>
        <v>0.18426966292134828</v>
      </c>
      <c r="J100" s="165">
        <f t="shared" si="36"/>
        <v>0.82774566473988442</v>
      </c>
      <c r="K100" s="163">
        <f t="shared" si="37"/>
        <v>492</v>
      </c>
      <c r="L100" s="163">
        <f t="shared" si="38"/>
        <v>1432</v>
      </c>
      <c r="M100" s="164">
        <f t="shared" si="40"/>
        <v>1.1691701587398077E-4</v>
      </c>
      <c r="N100" s="79"/>
    </row>
    <row r="101" spans="1:14" x14ac:dyDescent="0.25">
      <c r="A101" s="161"/>
      <c r="B101" s="162" t="s">
        <v>119</v>
      </c>
      <c r="C101" s="163">
        <v>1092</v>
      </c>
      <c r="D101" s="163">
        <v>1007</v>
      </c>
      <c r="E101" s="163">
        <v>500</v>
      </c>
      <c r="F101" s="163">
        <v>1540</v>
      </c>
      <c r="G101" s="163">
        <v>1223</v>
      </c>
      <c r="H101" s="163">
        <v>1693</v>
      </c>
      <c r="I101" s="164">
        <f t="shared" si="39"/>
        <v>0.3843008994276369</v>
      </c>
      <c r="J101" s="165">
        <f t="shared" si="36"/>
        <v>0.68123138033763664</v>
      </c>
      <c r="K101" s="163">
        <f t="shared" si="37"/>
        <v>470</v>
      </c>
      <c r="L101" s="163">
        <f t="shared" si="38"/>
        <v>686</v>
      </c>
      <c r="M101" s="164">
        <f t="shared" si="40"/>
        <v>6.2599781111527335E-5</v>
      </c>
      <c r="N101" s="79"/>
    </row>
    <row r="102" spans="1:14" x14ac:dyDescent="0.25">
      <c r="A102" s="161"/>
      <c r="B102" s="162" t="s">
        <v>128</v>
      </c>
      <c r="C102" s="163">
        <v>221</v>
      </c>
      <c r="D102" s="163">
        <v>315</v>
      </c>
      <c r="E102" s="163">
        <v>568</v>
      </c>
      <c r="F102" s="163">
        <v>630</v>
      </c>
      <c r="G102" s="163">
        <v>298</v>
      </c>
      <c r="H102" s="163">
        <v>632</v>
      </c>
      <c r="I102" s="164">
        <f t="shared" si="39"/>
        <v>1.1208053691275168</v>
      </c>
      <c r="J102" s="165">
        <f t="shared" si="36"/>
        <v>1.0063492063492063</v>
      </c>
      <c r="K102" s="163">
        <f t="shared" si="37"/>
        <v>334</v>
      </c>
      <c r="L102" s="163">
        <f t="shared" si="38"/>
        <v>317</v>
      </c>
      <c r="M102" s="164">
        <f t="shared" si="40"/>
        <v>2.3368612913458519E-5</v>
      </c>
      <c r="N102" s="79"/>
    </row>
    <row r="103" spans="1:14" x14ac:dyDescent="0.25">
      <c r="A103" s="161" t="s">
        <v>144</v>
      </c>
      <c r="B103" s="162" t="s">
        <v>131</v>
      </c>
      <c r="C103" s="163">
        <v>702</v>
      </c>
      <c r="D103" s="163">
        <v>383</v>
      </c>
      <c r="E103" s="163">
        <v>219</v>
      </c>
      <c r="F103" s="163">
        <v>247</v>
      </c>
      <c r="G103" s="163">
        <v>680</v>
      </c>
      <c r="H103" s="163">
        <v>871</v>
      </c>
      <c r="I103" s="164">
        <f t="shared" si="39"/>
        <v>0.28088235294117636</v>
      </c>
      <c r="J103" s="165">
        <f t="shared" si="36"/>
        <v>1.2741514360313317</v>
      </c>
      <c r="K103" s="163">
        <f t="shared" si="37"/>
        <v>191</v>
      </c>
      <c r="L103" s="163">
        <f t="shared" si="38"/>
        <v>488</v>
      </c>
      <c r="M103" s="164">
        <f t="shared" si="40"/>
        <v>3.2205794062693624E-5</v>
      </c>
      <c r="N103" s="79"/>
    </row>
    <row r="104" spans="1:14" x14ac:dyDescent="0.25">
      <c r="A104" s="161" t="s">
        <v>145</v>
      </c>
      <c r="B104" s="168" t="s">
        <v>145</v>
      </c>
      <c r="C104" s="169">
        <f t="shared" ref="C104:H104" si="41">C96-SUM(C97:C103)</f>
        <v>15150</v>
      </c>
      <c r="D104" s="169">
        <f t="shared" si="41"/>
        <v>14459</v>
      </c>
      <c r="E104" s="169">
        <f t="shared" si="41"/>
        <v>5677</v>
      </c>
      <c r="F104" s="169">
        <f t="shared" si="41"/>
        <v>14337</v>
      </c>
      <c r="G104" s="169">
        <f t="shared" si="41"/>
        <v>18717</v>
      </c>
      <c r="H104" s="169">
        <f t="shared" si="41"/>
        <v>18761</v>
      </c>
      <c r="I104" s="170">
        <f t="shared" si="39"/>
        <v>2.3508040818507325E-3</v>
      </c>
      <c r="J104" s="171">
        <f t="shared" si="36"/>
        <v>0.29753094958157544</v>
      </c>
      <c r="K104" s="169">
        <f>H104-G104</f>
        <v>44</v>
      </c>
      <c r="L104" s="169">
        <f t="shared" si="38"/>
        <v>4302</v>
      </c>
      <c r="M104" s="170">
        <f t="shared" si="40"/>
        <v>6.9370023238828375E-4</v>
      </c>
      <c r="N104" s="79"/>
    </row>
    <row r="105" spans="1:14" s="144" customFormat="1" x14ac:dyDescent="0.25">
      <c r="A105" s="161"/>
      <c r="B105" s="153" t="s">
        <v>50</v>
      </c>
      <c r="C105" s="151"/>
      <c r="D105" s="151"/>
      <c r="E105" s="151"/>
      <c r="F105" s="151"/>
      <c r="G105" s="151"/>
      <c r="H105" s="151"/>
      <c r="I105" s="151"/>
      <c r="J105" s="151"/>
      <c r="K105" s="151"/>
      <c r="L105" s="151"/>
      <c r="M105" s="151"/>
    </row>
    <row r="106" spans="1:14" x14ac:dyDescent="0.25">
      <c r="A106" s="161"/>
      <c r="B106" s="154" t="s">
        <v>68</v>
      </c>
      <c r="C106" s="176">
        <v>795874</v>
      </c>
      <c r="D106" s="176">
        <v>795524</v>
      </c>
      <c r="E106" s="176">
        <v>350068</v>
      </c>
      <c r="F106" s="176">
        <v>960692</v>
      </c>
      <c r="G106" s="176">
        <v>1064225</v>
      </c>
      <c r="H106" s="176">
        <v>1119703</v>
      </c>
      <c r="I106" s="177">
        <f>IFERROR(H106/G106-1,"-")</f>
        <v>5.2129953722192202E-2</v>
      </c>
      <c r="J106" s="177">
        <f>IFERROR(H106/D106-1,"-")</f>
        <v>0.40750373338830759</v>
      </c>
      <c r="K106" s="176">
        <f>H106-G106</f>
        <v>55478</v>
      </c>
      <c r="L106" s="176">
        <f>H106-D106</f>
        <v>324179</v>
      </c>
      <c r="M106" s="177">
        <f>H106/H$8</f>
        <v>4.1401749976326341E-2</v>
      </c>
      <c r="N106" s="79"/>
    </row>
    <row r="107" spans="1:14" x14ac:dyDescent="0.25">
      <c r="A107" s="161" t="s">
        <v>96</v>
      </c>
      <c r="B107" s="157" t="s">
        <v>97</v>
      </c>
      <c r="C107" s="158">
        <v>125777</v>
      </c>
      <c r="D107" s="158">
        <v>116270</v>
      </c>
      <c r="E107" s="158">
        <v>103323</v>
      </c>
      <c r="F107" s="158">
        <v>146210</v>
      </c>
      <c r="G107" s="158">
        <v>171102</v>
      </c>
      <c r="H107" s="158">
        <v>170181</v>
      </c>
      <c r="I107" s="159">
        <f>IFERROR(H107/G107-1,"-")</f>
        <v>-5.3827541466493489E-3</v>
      </c>
      <c r="J107" s="160">
        <f t="shared" ref="J107:J118" si="42">IFERROR(H107/D107-1,"-")</f>
        <v>0.463670766319773</v>
      </c>
      <c r="K107" s="158">
        <f t="shared" ref="K107:K117" si="43">H107-G107</f>
        <v>-921</v>
      </c>
      <c r="L107" s="158">
        <f t="shared" ref="L107:L118" si="44">H107-D107</f>
        <v>53911</v>
      </c>
      <c r="M107" s="159">
        <f>H107/H$8</f>
        <v>6.2925536617488677E-3</v>
      </c>
      <c r="N107" s="79"/>
    </row>
    <row r="108" spans="1:14" x14ac:dyDescent="0.25">
      <c r="A108" s="161" t="s">
        <v>103</v>
      </c>
      <c r="B108" s="162" t="s">
        <v>103</v>
      </c>
      <c r="C108" s="163">
        <v>41704</v>
      </c>
      <c r="D108" s="163">
        <v>34215</v>
      </c>
      <c r="E108" s="163">
        <v>5277</v>
      </c>
      <c r="F108" s="163">
        <v>48303</v>
      </c>
      <c r="G108" s="163">
        <v>49108</v>
      </c>
      <c r="H108" s="163">
        <v>48234</v>
      </c>
      <c r="I108" s="164">
        <f>IFERROR(H108/G108-1,"-")</f>
        <v>-1.7797507534413892E-2</v>
      </c>
      <c r="J108" s="165">
        <f t="shared" si="42"/>
        <v>0.40973257343270486</v>
      </c>
      <c r="K108" s="163">
        <f t="shared" si="43"/>
        <v>-874</v>
      </c>
      <c r="L108" s="163">
        <f t="shared" si="44"/>
        <v>14019</v>
      </c>
      <c r="M108" s="164">
        <f>H108/H$8</f>
        <v>1.7834836633983516E-3</v>
      </c>
      <c r="N108" s="79"/>
    </row>
    <row r="109" spans="1:14" x14ac:dyDescent="0.25">
      <c r="A109" s="161" t="s">
        <v>100</v>
      </c>
      <c r="B109" s="162" t="s">
        <v>100</v>
      </c>
      <c r="C109" s="163">
        <v>84073</v>
      </c>
      <c r="D109" s="163">
        <v>82055</v>
      </c>
      <c r="E109" s="163">
        <v>98046</v>
      </c>
      <c r="F109" s="163">
        <v>97907</v>
      </c>
      <c r="G109" s="163">
        <v>121994</v>
      </c>
      <c r="H109" s="163">
        <v>121947</v>
      </c>
      <c r="I109" s="164">
        <f>IFERROR(H109/G109-1,"-")</f>
        <v>-3.8526484909096048E-4</v>
      </c>
      <c r="J109" s="165">
        <f t="shared" si="42"/>
        <v>0.48616172079702635</v>
      </c>
      <c r="K109" s="163">
        <f t="shared" si="43"/>
        <v>-47</v>
      </c>
      <c r="L109" s="163">
        <f t="shared" si="44"/>
        <v>39892</v>
      </c>
      <c r="M109" s="164">
        <f>H109/H$8</f>
        <v>4.5090699983505161E-3</v>
      </c>
      <c r="N109" s="79"/>
    </row>
    <row r="110" spans="1:14" x14ac:dyDescent="0.25">
      <c r="A110" s="161"/>
      <c r="B110" s="157" t="s">
        <v>107</v>
      </c>
      <c r="C110" s="158">
        <v>670097</v>
      </c>
      <c r="D110" s="158">
        <v>679254</v>
      </c>
      <c r="E110" s="158">
        <v>246745</v>
      </c>
      <c r="F110" s="158">
        <v>814482</v>
      </c>
      <c r="G110" s="158">
        <v>893123</v>
      </c>
      <c r="H110" s="158">
        <v>949522</v>
      </c>
      <c r="I110" s="159">
        <f>IFERROR(H110/G110-1,"-")</f>
        <v>6.3148077028583938E-2</v>
      </c>
      <c r="J110" s="160">
        <f t="shared" si="42"/>
        <v>0.39788944930762282</v>
      </c>
      <c r="K110" s="158">
        <f t="shared" si="43"/>
        <v>56399</v>
      </c>
      <c r="L110" s="158">
        <f t="shared" si="44"/>
        <v>270268</v>
      </c>
      <c r="M110" s="159">
        <f>H110/H$8</f>
        <v>3.510919631457747E-2</v>
      </c>
      <c r="N110" s="79"/>
    </row>
    <row r="111" spans="1:14" s="56" customFormat="1" x14ac:dyDescent="0.25">
      <c r="A111" s="161"/>
      <c r="B111" s="162" t="s">
        <v>110</v>
      </c>
      <c r="C111" s="163">
        <v>376583</v>
      </c>
      <c r="D111" s="163">
        <v>365109</v>
      </c>
      <c r="E111" s="163">
        <v>127632</v>
      </c>
      <c r="F111" s="163">
        <v>499233</v>
      </c>
      <c r="G111" s="163">
        <v>559863</v>
      </c>
      <c r="H111" s="163">
        <v>589805</v>
      </c>
      <c r="I111" s="164">
        <f t="shared" ref="I111:I118" si="45">IFERROR(H111/G111-1,"-")</f>
        <v>5.348094087303501E-2</v>
      </c>
      <c r="J111" s="165">
        <f t="shared" si="42"/>
        <v>0.61542169598667784</v>
      </c>
      <c r="K111" s="163">
        <f t="shared" si="43"/>
        <v>29942</v>
      </c>
      <c r="L111" s="163">
        <f t="shared" si="44"/>
        <v>224696</v>
      </c>
      <c r="M111" s="164">
        <f t="shared" ref="M111:M118" si="46">H111/H$8</f>
        <v>2.1808425220605068E-2</v>
      </c>
      <c r="N111" s="166"/>
    </row>
    <row r="112" spans="1:14" s="56" customFormat="1" x14ac:dyDescent="0.25">
      <c r="A112" s="161"/>
      <c r="B112" s="162" t="s">
        <v>113</v>
      </c>
      <c r="C112" s="163">
        <v>83339</v>
      </c>
      <c r="D112" s="163">
        <v>64823</v>
      </c>
      <c r="E112" s="163">
        <v>18556</v>
      </c>
      <c r="F112" s="163">
        <v>32869</v>
      </c>
      <c r="G112" s="163">
        <v>43496</v>
      </c>
      <c r="H112" s="163">
        <v>41195</v>
      </c>
      <c r="I112" s="164">
        <f t="shared" si="45"/>
        <v>-5.2901416222181363E-2</v>
      </c>
      <c r="J112" s="165">
        <f t="shared" si="42"/>
        <v>-0.36450025453928392</v>
      </c>
      <c r="K112" s="163">
        <f t="shared" si="43"/>
        <v>-2301</v>
      </c>
      <c r="L112" s="163">
        <f t="shared" si="44"/>
        <v>-23628</v>
      </c>
      <c r="M112" s="164">
        <f t="shared" si="46"/>
        <v>1.5232120395093731E-3</v>
      </c>
      <c r="N112" s="166"/>
    </row>
    <row r="113" spans="1:14" x14ac:dyDescent="0.25">
      <c r="A113" s="161"/>
      <c r="B113" s="162" t="s">
        <v>116</v>
      </c>
      <c r="C113" s="163">
        <v>77564</v>
      </c>
      <c r="D113" s="163">
        <v>80052</v>
      </c>
      <c r="E113" s="163">
        <v>10673</v>
      </c>
      <c r="F113" s="163">
        <v>49017</v>
      </c>
      <c r="G113" s="163">
        <v>63689</v>
      </c>
      <c r="H113" s="163">
        <v>60200</v>
      </c>
      <c r="I113" s="164">
        <f t="shared" si="45"/>
        <v>-5.4781830457378833E-2</v>
      </c>
      <c r="J113" s="165">
        <f t="shared" si="42"/>
        <v>-0.24798880727527106</v>
      </c>
      <c r="K113" s="163">
        <f t="shared" si="43"/>
        <v>-3489</v>
      </c>
      <c r="L113" s="163">
        <f t="shared" si="44"/>
        <v>-19852</v>
      </c>
      <c r="M113" s="164">
        <f t="shared" si="46"/>
        <v>2.2259343313136121E-3</v>
      </c>
      <c r="N113" s="79"/>
    </row>
    <row r="114" spans="1:14" x14ac:dyDescent="0.25">
      <c r="A114" s="161"/>
      <c r="B114" s="162" t="s">
        <v>123</v>
      </c>
      <c r="C114" s="163">
        <v>10971</v>
      </c>
      <c r="D114" s="163">
        <v>13798</v>
      </c>
      <c r="E114" s="163">
        <v>7421</v>
      </c>
      <c r="F114" s="163">
        <v>31602</v>
      </c>
      <c r="G114" s="163">
        <v>28649</v>
      </c>
      <c r="H114" s="163">
        <v>29803</v>
      </c>
      <c r="I114" s="164">
        <f t="shared" si="45"/>
        <v>4.0280638067646368E-2</v>
      </c>
      <c r="J114" s="165">
        <f t="shared" si="42"/>
        <v>1.1599507174952892</v>
      </c>
      <c r="K114" s="163">
        <f t="shared" si="43"/>
        <v>1154</v>
      </c>
      <c r="L114" s="163">
        <f t="shared" si="44"/>
        <v>16005</v>
      </c>
      <c r="M114" s="164">
        <f t="shared" si="46"/>
        <v>1.1019853966136143E-3</v>
      </c>
      <c r="N114" s="79"/>
    </row>
    <row r="115" spans="1:14" x14ac:dyDescent="0.25">
      <c r="A115" s="161"/>
      <c r="B115" s="162" t="s">
        <v>119</v>
      </c>
      <c r="C115" s="163">
        <v>19833</v>
      </c>
      <c r="D115" s="163">
        <v>24162</v>
      </c>
      <c r="E115" s="163">
        <v>17411</v>
      </c>
      <c r="F115" s="163">
        <v>34248</v>
      </c>
      <c r="G115" s="163">
        <v>33161</v>
      </c>
      <c r="H115" s="163">
        <v>23224</v>
      </c>
      <c r="I115" s="164">
        <f t="shared" si="45"/>
        <v>-0.29965923826181362</v>
      </c>
      <c r="J115" s="165">
        <f t="shared" si="42"/>
        <v>-3.8821289628341971E-2</v>
      </c>
      <c r="K115" s="163">
        <f t="shared" si="43"/>
        <v>-9937</v>
      </c>
      <c r="L115" s="163">
        <f t="shared" si="44"/>
        <v>-938</v>
      </c>
      <c r="M115" s="164">
        <f t="shared" si="46"/>
        <v>8.5872257326291242E-4</v>
      </c>
      <c r="N115" s="79"/>
    </row>
    <row r="116" spans="1:14" x14ac:dyDescent="0.25">
      <c r="A116" s="161"/>
      <c r="B116" s="162" t="s">
        <v>128</v>
      </c>
      <c r="C116" s="163">
        <v>2920</v>
      </c>
      <c r="D116" s="163">
        <v>3857</v>
      </c>
      <c r="E116" s="163">
        <v>2329</v>
      </c>
      <c r="F116" s="163">
        <v>4391</v>
      </c>
      <c r="G116" s="163">
        <v>7117</v>
      </c>
      <c r="H116" s="163">
        <v>9993</v>
      </c>
      <c r="I116" s="164">
        <f t="shared" si="45"/>
        <v>0.40410285232541798</v>
      </c>
      <c r="J116" s="165">
        <f t="shared" si="42"/>
        <v>1.5908737360642986</v>
      </c>
      <c r="K116" s="163">
        <f t="shared" si="43"/>
        <v>2876</v>
      </c>
      <c r="L116" s="163">
        <f t="shared" si="44"/>
        <v>6136</v>
      </c>
      <c r="M116" s="164">
        <f t="shared" si="46"/>
        <v>3.6949770386739079E-4</v>
      </c>
      <c r="N116" s="79"/>
    </row>
    <row r="117" spans="1:14" x14ac:dyDescent="0.25">
      <c r="A117" s="161" t="s">
        <v>144</v>
      </c>
      <c r="B117" s="162" t="s">
        <v>131</v>
      </c>
      <c r="C117" s="163">
        <v>7822</v>
      </c>
      <c r="D117" s="163">
        <v>8164</v>
      </c>
      <c r="E117" s="163">
        <v>7242</v>
      </c>
      <c r="F117" s="163">
        <v>5361</v>
      </c>
      <c r="G117" s="163">
        <v>4471</v>
      </c>
      <c r="H117" s="163">
        <v>8914</v>
      </c>
      <c r="I117" s="164">
        <f t="shared" si="45"/>
        <v>0.99373741892194145</v>
      </c>
      <c r="J117" s="165">
        <f t="shared" si="42"/>
        <v>9.1866731994120432E-2</v>
      </c>
      <c r="K117" s="163">
        <f t="shared" si="43"/>
        <v>4443</v>
      </c>
      <c r="L117" s="163">
        <f t="shared" si="44"/>
        <v>750</v>
      </c>
      <c r="M117" s="164">
        <f t="shared" si="46"/>
        <v>3.2960097390912857E-4</v>
      </c>
      <c r="N117" s="79"/>
    </row>
    <row r="118" spans="1:14" x14ac:dyDescent="0.25">
      <c r="A118" s="161" t="s">
        <v>145</v>
      </c>
      <c r="B118" s="168" t="s">
        <v>145</v>
      </c>
      <c r="C118" s="169">
        <f t="shared" ref="C118:H118" si="47">C110-SUM(C111:C117)</f>
        <v>91065</v>
      </c>
      <c r="D118" s="169">
        <f t="shared" si="47"/>
        <v>119289</v>
      </c>
      <c r="E118" s="169">
        <f t="shared" si="47"/>
        <v>55481</v>
      </c>
      <c r="F118" s="169">
        <f t="shared" si="47"/>
        <v>157761</v>
      </c>
      <c r="G118" s="169">
        <f t="shared" si="47"/>
        <v>152677</v>
      </c>
      <c r="H118" s="169">
        <f t="shared" si="47"/>
        <v>186388</v>
      </c>
      <c r="I118" s="170">
        <f t="shared" si="45"/>
        <v>0.22079946553835872</v>
      </c>
      <c r="J118" s="171">
        <f t="shared" si="42"/>
        <v>0.56249109305971223</v>
      </c>
      <c r="K118" s="169">
        <f>H118-G118</f>
        <v>33711</v>
      </c>
      <c r="L118" s="169">
        <f t="shared" si="44"/>
        <v>67099</v>
      </c>
      <c r="M118" s="170">
        <f t="shared" si="46"/>
        <v>6.8918180754963714E-3</v>
      </c>
      <c r="N118" s="79"/>
    </row>
    <row r="119" spans="1:14" s="144" customFormat="1" x14ac:dyDescent="0.25">
      <c r="A119" s="161"/>
      <c r="B119" s="153" t="s">
        <v>51</v>
      </c>
      <c r="C119" s="151"/>
      <c r="D119" s="151"/>
      <c r="E119" s="151"/>
      <c r="F119" s="151"/>
      <c r="G119" s="151"/>
      <c r="H119" s="151"/>
      <c r="I119" s="151"/>
      <c r="J119" s="151"/>
      <c r="K119" s="151"/>
      <c r="L119" s="151"/>
      <c r="M119" s="151"/>
    </row>
    <row r="120" spans="1:14" x14ac:dyDescent="0.25">
      <c r="A120" s="161"/>
      <c r="B120" s="154" t="s">
        <v>68</v>
      </c>
      <c r="C120" s="176">
        <v>391852</v>
      </c>
      <c r="D120" s="176">
        <v>366728</v>
      </c>
      <c r="E120" s="176">
        <v>147987</v>
      </c>
      <c r="F120" s="176">
        <v>385149</v>
      </c>
      <c r="G120" s="176">
        <v>418024</v>
      </c>
      <c r="H120" s="176">
        <v>432765</v>
      </c>
      <c r="I120" s="177">
        <f>IFERROR(H120/G120-1,"-")</f>
        <v>3.5263525539203533E-2</v>
      </c>
      <c r="J120" s="177">
        <f>IFERROR(H120/D120-1,"-")</f>
        <v>0.18007078815907152</v>
      </c>
      <c r="K120" s="176">
        <f>H120-G120</f>
        <v>14741</v>
      </c>
      <c r="L120" s="176">
        <f>H120-D120</f>
        <v>66037</v>
      </c>
      <c r="M120" s="177">
        <f>H120/H$8</f>
        <v>1.6001768619450754E-2</v>
      </c>
      <c r="N120" s="79"/>
    </row>
    <row r="121" spans="1:14" x14ac:dyDescent="0.25">
      <c r="A121" s="161" t="s">
        <v>96</v>
      </c>
      <c r="B121" s="157" t="s">
        <v>97</v>
      </c>
      <c r="C121" s="158">
        <v>201434</v>
      </c>
      <c r="D121" s="158">
        <v>172457</v>
      </c>
      <c r="E121" s="158">
        <v>70562</v>
      </c>
      <c r="F121" s="158">
        <v>199002</v>
      </c>
      <c r="G121" s="158">
        <v>224961</v>
      </c>
      <c r="H121" s="158">
        <v>229892</v>
      </c>
      <c r="I121" s="159">
        <f>IFERROR(H121/G121-1,"-")</f>
        <v>2.1919354910406641E-2</v>
      </c>
      <c r="J121" s="160">
        <f t="shared" ref="J121:J132" si="48">IFERROR(H121/D121-1,"-")</f>
        <v>0.33303954029120297</v>
      </c>
      <c r="K121" s="158">
        <f t="shared" ref="K121:K131" si="49">H121-G121</f>
        <v>4931</v>
      </c>
      <c r="L121" s="158">
        <f t="shared" ref="L121:L132" si="50">H121-D121</f>
        <v>57435</v>
      </c>
      <c r="M121" s="159">
        <f>H121/H$8</f>
        <v>8.5004068985772251E-3</v>
      </c>
      <c r="N121" s="79"/>
    </row>
    <row r="122" spans="1:14" x14ac:dyDescent="0.25">
      <c r="A122" s="161" t="s">
        <v>103</v>
      </c>
      <c r="B122" s="162" t="s">
        <v>103</v>
      </c>
      <c r="C122" s="163">
        <v>103205</v>
      </c>
      <c r="D122" s="163">
        <v>80581</v>
      </c>
      <c r="E122" s="163">
        <v>28268</v>
      </c>
      <c r="F122" s="163">
        <v>94805</v>
      </c>
      <c r="G122" s="163">
        <v>89743</v>
      </c>
      <c r="H122" s="163">
        <v>103806</v>
      </c>
      <c r="I122" s="164">
        <f>IFERROR(H122/G122-1,"-")</f>
        <v>0.15670302976276695</v>
      </c>
      <c r="J122" s="165">
        <f t="shared" si="48"/>
        <v>0.28821930728087275</v>
      </c>
      <c r="K122" s="163">
        <f t="shared" si="49"/>
        <v>14063</v>
      </c>
      <c r="L122" s="163">
        <f t="shared" si="50"/>
        <v>23225</v>
      </c>
      <c r="M122" s="164">
        <f>H122/H$8</f>
        <v>3.8382946710355621E-3</v>
      </c>
      <c r="N122" s="79"/>
    </row>
    <row r="123" spans="1:14" x14ac:dyDescent="0.25">
      <c r="A123" s="161" t="s">
        <v>100</v>
      </c>
      <c r="B123" s="162" t="s">
        <v>100</v>
      </c>
      <c r="C123" s="163">
        <v>98229</v>
      </c>
      <c r="D123" s="163">
        <v>91876</v>
      </c>
      <c r="E123" s="163">
        <v>42294</v>
      </c>
      <c r="F123" s="163">
        <v>104197</v>
      </c>
      <c r="G123" s="163">
        <v>135218</v>
      </c>
      <c r="H123" s="163">
        <v>126086</v>
      </c>
      <c r="I123" s="164">
        <f>IFERROR(H123/G123-1,"-")</f>
        <v>-6.7535387300507344E-2</v>
      </c>
      <c r="J123" s="165">
        <f t="shared" si="48"/>
        <v>0.37234968871087126</v>
      </c>
      <c r="K123" s="163">
        <f t="shared" si="49"/>
        <v>-9132</v>
      </c>
      <c r="L123" s="163">
        <f t="shared" si="50"/>
        <v>34210</v>
      </c>
      <c r="M123" s="164">
        <f>H123/H$8</f>
        <v>4.662112227541663E-3</v>
      </c>
      <c r="N123" s="79"/>
    </row>
    <row r="124" spans="1:14" x14ac:dyDescent="0.25">
      <c r="A124" s="161"/>
      <c r="B124" s="157" t="s">
        <v>107</v>
      </c>
      <c r="C124" s="158">
        <v>190418</v>
      </c>
      <c r="D124" s="158">
        <v>194271</v>
      </c>
      <c r="E124" s="158">
        <v>77425</v>
      </c>
      <c r="F124" s="158">
        <v>186147</v>
      </c>
      <c r="G124" s="158">
        <v>193063</v>
      </c>
      <c r="H124" s="158">
        <v>202873</v>
      </c>
      <c r="I124" s="159">
        <f>IFERROR(H124/G124-1,"-")</f>
        <v>5.0812429103453294E-2</v>
      </c>
      <c r="J124" s="160">
        <f t="shared" si="48"/>
        <v>4.4278353434120454E-2</v>
      </c>
      <c r="K124" s="158">
        <f t="shared" si="49"/>
        <v>9810</v>
      </c>
      <c r="L124" s="158">
        <f t="shared" si="50"/>
        <v>8602</v>
      </c>
      <c r="M124" s="159">
        <f>H124/H$8</f>
        <v>7.5013617208735291E-3</v>
      </c>
      <c r="N124" s="79"/>
    </row>
    <row r="125" spans="1:14" s="56" customFormat="1" x14ac:dyDescent="0.25">
      <c r="A125" s="161"/>
      <c r="B125" s="162" t="s">
        <v>110</v>
      </c>
      <c r="C125" s="163">
        <v>26187</v>
      </c>
      <c r="D125" s="163">
        <v>24203</v>
      </c>
      <c r="E125" s="163">
        <v>9418</v>
      </c>
      <c r="F125" s="163">
        <v>24863</v>
      </c>
      <c r="G125" s="163">
        <v>28361</v>
      </c>
      <c r="H125" s="163">
        <v>28012</v>
      </c>
      <c r="I125" s="164">
        <f t="shared" ref="I125:I132" si="51">IFERROR(H125/G125-1,"-")</f>
        <v>-1.2305630972109571E-2</v>
      </c>
      <c r="J125" s="165">
        <f t="shared" si="48"/>
        <v>0.1573771846465315</v>
      </c>
      <c r="K125" s="163">
        <f t="shared" si="49"/>
        <v>-349</v>
      </c>
      <c r="L125" s="163">
        <f t="shared" si="50"/>
        <v>3809</v>
      </c>
      <c r="M125" s="164">
        <f t="shared" ref="M125:M132" si="52">H125/H$8</f>
        <v>1.0357620014743673E-3</v>
      </c>
      <c r="N125" s="166"/>
    </row>
    <row r="126" spans="1:14" s="56" customFormat="1" x14ac:dyDescent="0.25">
      <c r="A126" s="161"/>
      <c r="B126" s="162" t="s">
        <v>113</v>
      </c>
      <c r="C126" s="163">
        <v>24413</v>
      </c>
      <c r="D126" s="163">
        <v>21158</v>
      </c>
      <c r="E126" s="163">
        <v>9614</v>
      </c>
      <c r="F126" s="163">
        <v>21838</v>
      </c>
      <c r="G126" s="163">
        <v>29620</v>
      </c>
      <c r="H126" s="163">
        <v>29011</v>
      </c>
      <c r="I126" s="164">
        <f t="shared" si="51"/>
        <v>-2.0560432140445672E-2</v>
      </c>
      <c r="J126" s="165">
        <f t="shared" si="48"/>
        <v>0.37115984497589571</v>
      </c>
      <c r="K126" s="163">
        <f t="shared" si="49"/>
        <v>-609</v>
      </c>
      <c r="L126" s="163">
        <f t="shared" si="50"/>
        <v>7853</v>
      </c>
      <c r="M126" s="164">
        <f t="shared" si="52"/>
        <v>1.0727006791651031E-3</v>
      </c>
      <c r="N126" s="166"/>
    </row>
    <row r="127" spans="1:14" x14ac:dyDescent="0.25">
      <c r="A127" s="161"/>
      <c r="B127" s="162" t="s">
        <v>116</v>
      </c>
      <c r="C127" s="163">
        <v>14222</v>
      </c>
      <c r="D127" s="163">
        <v>14871</v>
      </c>
      <c r="E127" s="163">
        <v>5562</v>
      </c>
      <c r="F127" s="163">
        <v>17063</v>
      </c>
      <c r="G127" s="163">
        <v>19930</v>
      </c>
      <c r="H127" s="163">
        <v>20245</v>
      </c>
      <c r="I127" s="164">
        <f t="shared" si="51"/>
        <v>1.5805318615152997E-2</v>
      </c>
      <c r="J127" s="165">
        <f t="shared" si="48"/>
        <v>0.36137448725707744</v>
      </c>
      <c r="K127" s="163">
        <f t="shared" si="49"/>
        <v>315</v>
      </c>
      <c r="L127" s="163">
        <f t="shared" si="50"/>
        <v>5374</v>
      </c>
      <c r="M127" s="164">
        <f t="shared" si="52"/>
        <v>7.4857210195089833E-4</v>
      </c>
      <c r="N127" s="79"/>
    </row>
    <row r="128" spans="1:14" x14ac:dyDescent="0.25">
      <c r="A128" s="161"/>
      <c r="B128" s="162" t="s">
        <v>123</v>
      </c>
      <c r="C128" s="163">
        <v>3489</v>
      </c>
      <c r="D128" s="163">
        <v>3489</v>
      </c>
      <c r="E128" s="163">
        <v>1417</v>
      </c>
      <c r="F128" s="163">
        <v>4492</v>
      </c>
      <c r="G128" s="163">
        <v>5134</v>
      </c>
      <c r="H128" s="163">
        <v>5463</v>
      </c>
      <c r="I128" s="164">
        <f t="shared" si="51"/>
        <v>6.4082586677054909E-2</v>
      </c>
      <c r="J128" s="165">
        <f t="shared" si="48"/>
        <v>0.56577815993121239</v>
      </c>
      <c r="K128" s="163">
        <f t="shared" si="49"/>
        <v>329</v>
      </c>
      <c r="L128" s="163">
        <f t="shared" si="50"/>
        <v>1974</v>
      </c>
      <c r="M128" s="164">
        <f t="shared" si="52"/>
        <v>2.019979942187087E-4</v>
      </c>
      <c r="N128" s="79"/>
    </row>
    <row r="129" spans="1:14" x14ac:dyDescent="0.25">
      <c r="A129" s="161"/>
      <c r="B129" s="162" t="s">
        <v>119</v>
      </c>
      <c r="C129" s="163">
        <v>3677</v>
      </c>
      <c r="D129" s="163">
        <v>2749</v>
      </c>
      <c r="E129" s="163">
        <v>1386</v>
      </c>
      <c r="F129" s="163">
        <v>3426</v>
      </c>
      <c r="G129" s="163">
        <v>3937</v>
      </c>
      <c r="H129" s="163">
        <v>4203</v>
      </c>
      <c r="I129" s="164">
        <f t="shared" si="51"/>
        <v>6.7564135128270308E-2</v>
      </c>
      <c r="J129" s="165">
        <f t="shared" si="48"/>
        <v>0.52891960712986541</v>
      </c>
      <c r="K129" s="163">
        <f t="shared" si="49"/>
        <v>266</v>
      </c>
      <c r="L129" s="163">
        <f t="shared" si="50"/>
        <v>1454</v>
      </c>
      <c r="M129" s="164">
        <f t="shared" si="52"/>
        <v>1.5540867100516799E-4</v>
      </c>
      <c r="N129" s="79"/>
    </row>
    <row r="130" spans="1:14" x14ac:dyDescent="0.25">
      <c r="A130" s="161"/>
      <c r="B130" s="162" t="s">
        <v>128</v>
      </c>
      <c r="C130" s="163">
        <v>2978</v>
      </c>
      <c r="D130" s="163">
        <v>3370</v>
      </c>
      <c r="E130" s="163">
        <v>1591</v>
      </c>
      <c r="F130" s="163">
        <v>1703</v>
      </c>
      <c r="G130" s="163">
        <v>2395</v>
      </c>
      <c r="H130" s="163">
        <v>2990</v>
      </c>
      <c r="I130" s="164">
        <f t="shared" si="51"/>
        <v>0.24843423799582465</v>
      </c>
      <c r="J130" s="165">
        <f t="shared" si="48"/>
        <v>-0.11275964391691395</v>
      </c>
      <c r="K130" s="163">
        <f t="shared" si="49"/>
        <v>595</v>
      </c>
      <c r="L130" s="163">
        <f t="shared" si="50"/>
        <v>-380</v>
      </c>
      <c r="M130" s="164">
        <f t="shared" si="52"/>
        <v>1.1055720349879901E-4</v>
      </c>
      <c r="N130" s="79"/>
    </row>
    <row r="131" spans="1:14" x14ac:dyDescent="0.25">
      <c r="A131" s="161" t="s">
        <v>144</v>
      </c>
      <c r="B131" s="162" t="s">
        <v>131</v>
      </c>
      <c r="C131" s="163">
        <v>4930</v>
      </c>
      <c r="D131" s="163">
        <v>3921</v>
      </c>
      <c r="E131" s="163">
        <v>1985</v>
      </c>
      <c r="F131" s="163">
        <v>2533</v>
      </c>
      <c r="G131" s="163">
        <v>3169</v>
      </c>
      <c r="H131" s="163">
        <v>3494</v>
      </c>
      <c r="I131" s="164">
        <f t="shared" si="51"/>
        <v>0.10255601136005055</v>
      </c>
      <c r="J131" s="165">
        <f t="shared" si="48"/>
        <v>-0.10890079061463909</v>
      </c>
      <c r="K131" s="163">
        <f t="shared" si="49"/>
        <v>325</v>
      </c>
      <c r="L131" s="163">
        <f t="shared" si="50"/>
        <v>-427</v>
      </c>
      <c r="M131" s="164">
        <f t="shared" si="52"/>
        <v>1.291929327842153E-4</v>
      </c>
      <c r="N131" s="79"/>
    </row>
    <row r="132" spans="1:14" x14ac:dyDescent="0.25">
      <c r="A132" s="161" t="s">
        <v>145</v>
      </c>
      <c r="B132" s="168" t="s">
        <v>145</v>
      </c>
      <c r="C132" s="169">
        <f t="shared" ref="C132:H132" si="53">C124-SUM(C125:C131)</f>
        <v>110522</v>
      </c>
      <c r="D132" s="169">
        <f t="shared" si="53"/>
        <v>120510</v>
      </c>
      <c r="E132" s="169">
        <f t="shared" si="53"/>
        <v>46452</v>
      </c>
      <c r="F132" s="169">
        <f t="shared" si="53"/>
        <v>110229</v>
      </c>
      <c r="G132" s="169">
        <f t="shared" si="53"/>
        <v>100517</v>
      </c>
      <c r="H132" s="169">
        <f t="shared" si="53"/>
        <v>109455</v>
      </c>
      <c r="I132" s="170">
        <f t="shared" si="51"/>
        <v>8.8920282141329299E-2</v>
      </c>
      <c r="J132" s="171">
        <f t="shared" si="48"/>
        <v>-9.1735125715708188E-2</v>
      </c>
      <c r="K132" s="169">
        <f>H132-G132</f>
        <v>8938</v>
      </c>
      <c r="L132" s="169">
        <f t="shared" si="50"/>
        <v>-11055</v>
      </c>
      <c r="M132" s="170">
        <f t="shared" si="52"/>
        <v>4.0471701367762692E-3</v>
      </c>
      <c r="N132" s="79"/>
    </row>
    <row r="133" spans="1:14" s="144" customFormat="1" x14ac:dyDescent="0.25">
      <c r="A133" s="161"/>
      <c r="B133" s="153" t="s">
        <v>52</v>
      </c>
      <c r="C133" s="151"/>
      <c r="D133" s="151"/>
      <c r="E133" s="151"/>
      <c r="F133" s="151"/>
      <c r="G133" s="151"/>
      <c r="H133" s="151"/>
      <c r="I133" s="151"/>
      <c r="J133" s="151"/>
      <c r="K133" s="151"/>
      <c r="L133" s="151"/>
      <c r="M133" s="151"/>
    </row>
    <row r="134" spans="1:14" x14ac:dyDescent="0.25">
      <c r="A134" s="161"/>
      <c r="B134" s="154" t="s">
        <v>68</v>
      </c>
      <c r="C134" s="176">
        <v>1595657</v>
      </c>
      <c r="D134" s="176">
        <v>1400493</v>
      </c>
      <c r="E134" s="176">
        <v>496113</v>
      </c>
      <c r="F134" s="176">
        <v>1289839</v>
      </c>
      <c r="G134" s="176">
        <v>1393117</v>
      </c>
      <c r="H134" s="176">
        <v>1487889</v>
      </c>
      <c r="I134" s="177">
        <f>IFERROR(H134/G134-1,"-")</f>
        <v>6.8028744175830269E-2</v>
      </c>
      <c r="J134" s="177">
        <f>IFERROR(H134/D134-1,"-")</f>
        <v>6.2403739254676793E-2</v>
      </c>
      <c r="K134" s="176">
        <f>H134-G134</f>
        <v>94772</v>
      </c>
      <c r="L134" s="176">
        <f>H134-D134</f>
        <v>87396</v>
      </c>
      <c r="M134" s="177">
        <f>H134/H$8</f>
        <v>5.5015667878469753E-2</v>
      </c>
      <c r="N134" s="79"/>
    </row>
    <row r="135" spans="1:14" x14ac:dyDescent="0.25">
      <c r="A135" s="161" t="s">
        <v>96</v>
      </c>
      <c r="B135" s="157" t="s">
        <v>97</v>
      </c>
      <c r="C135" s="158">
        <v>183397</v>
      </c>
      <c r="D135" s="158">
        <v>163304</v>
      </c>
      <c r="E135" s="158">
        <v>44417</v>
      </c>
      <c r="F135" s="158">
        <v>87836</v>
      </c>
      <c r="G135" s="158">
        <v>95606</v>
      </c>
      <c r="H135" s="158">
        <v>80930</v>
      </c>
      <c r="I135" s="159">
        <f>IFERROR(H135/G135-1,"-")</f>
        <v>-0.15350501014580675</v>
      </c>
      <c r="J135" s="160">
        <f t="shared" ref="J135:J146" si="54">IFERROR(H135/D135-1,"-")</f>
        <v>-0.50442120217508446</v>
      </c>
      <c r="K135" s="158">
        <f t="shared" ref="K135:K145" si="55">H135-G135</f>
        <v>-14676</v>
      </c>
      <c r="L135" s="158">
        <f t="shared" ref="L135:L146" si="56">H135-D135</f>
        <v>-82374</v>
      </c>
      <c r="M135" s="159">
        <f>H135/H$8</f>
        <v>2.9924396251363892E-3</v>
      </c>
      <c r="N135" s="79"/>
    </row>
    <row r="136" spans="1:14" x14ac:dyDescent="0.25">
      <c r="A136" s="161" t="s">
        <v>103</v>
      </c>
      <c r="B136" s="162" t="s">
        <v>103</v>
      </c>
      <c r="C136" s="163">
        <v>131110</v>
      </c>
      <c r="D136" s="163">
        <v>83126</v>
      </c>
      <c r="E136" s="163">
        <v>27488</v>
      </c>
      <c r="F136" s="163">
        <v>48763</v>
      </c>
      <c r="G136" s="163">
        <v>51759</v>
      </c>
      <c r="H136" s="163">
        <v>38627</v>
      </c>
      <c r="I136" s="164">
        <f>IFERROR(H136/G136-1,"-")</f>
        <v>-0.25371432987499754</v>
      </c>
      <c r="J136" s="165">
        <f t="shared" si="54"/>
        <v>-0.53531987585111751</v>
      </c>
      <c r="K136" s="163">
        <f t="shared" si="55"/>
        <v>-13132</v>
      </c>
      <c r="L136" s="163">
        <f t="shared" si="56"/>
        <v>-44499</v>
      </c>
      <c r="M136" s="164">
        <f>H136/H$8</f>
        <v>1.4282585617217758E-3</v>
      </c>
      <c r="N136" s="79"/>
    </row>
    <row r="137" spans="1:14" x14ac:dyDescent="0.25">
      <c r="A137" s="161" t="s">
        <v>100</v>
      </c>
      <c r="B137" s="162" t="s">
        <v>100</v>
      </c>
      <c r="C137" s="163">
        <v>52287</v>
      </c>
      <c r="D137" s="163">
        <v>80178</v>
      </c>
      <c r="E137" s="163">
        <v>16929</v>
      </c>
      <c r="F137" s="163">
        <v>39073</v>
      </c>
      <c r="G137" s="163">
        <v>43847</v>
      </c>
      <c r="H137" s="163">
        <v>42303</v>
      </c>
      <c r="I137" s="164">
        <f>IFERROR(H137/G137-1,"-")</f>
        <v>-3.5213355531735324E-2</v>
      </c>
      <c r="J137" s="165">
        <f t="shared" si="54"/>
        <v>-0.47238644017062037</v>
      </c>
      <c r="K137" s="163">
        <f t="shared" si="55"/>
        <v>-1544</v>
      </c>
      <c r="L137" s="163">
        <f t="shared" si="56"/>
        <v>-37875</v>
      </c>
      <c r="M137" s="164">
        <f>H137/H$8</f>
        <v>1.5641810634146136E-3</v>
      </c>
      <c r="N137" s="79"/>
    </row>
    <row r="138" spans="1:14" x14ac:dyDescent="0.25">
      <c r="A138" s="161"/>
      <c r="B138" s="157" t="s">
        <v>107</v>
      </c>
      <c r="C138" s="158">
        <v>1412260</v>
      </c>
      <c r="D138" s="158">
        <v>1237189</v>
      </c>
      <c r="E138" s="158">
        <v>451696</v>
      </c>
      <c r="F138" s="158">
        <v>1202003</v>
      </c>
      <c r="G138" s="158">
        <v>1297511</v>
      </c>
      <c r="H138" s="158">
        <v>1406959</v>
      </c>
      <c r="I138" s="159">
        <f>IFERROR(H138/G138-1,"-")</f>
        <v>8.4352271387294619E-2</v>
      </c>
      <c r="J138" s="160">
        <f t="shared" si="54"/>
        <v>0.13722236457000503</v>
      </c>
      <c r="K138" s="158">
        <f t="shared" si="55"/>
        <v>109448</v>
      </c>
      <c r="L138" s="158">
        <f t="shared" si="56"/>
        <v>169770</v>
      </c>
      <c r="M138" s="159">
        <f>H138/H$8</f>
        <v>5.2023228253333366E-2</v>
      </c>
      <c r="N138" s="79"/>
    </row>
    <row r="139" spans="1:14" s="56" customFormat="1" x14ac:dyDescent="0.25">
      <c r="A139" s="161"/>
      <c r="B139" s="162" t="s">
        <v>110</v>
      </c>
      <c r="C139" s="163">
        <v>784675</v>
      </c>
      <c r="D139" s="163">
        <v>636717</v>
      </c>
      <c r="E139" s="163">
        <v>201614</v>
      </c>
      <c r="F139" s="163">
        <v>545991</v>
      </c>
      <c r="G139" s="163">
        <v>546223</v>
      </c>
      <c r="H139" s="163">
        <v>642780</v>
      </c>
      <c r="I139" s="164">
        <f t="shared" ref="I139:I146" si="57">IFERROR(H139/G139-1,"-")</f>
        <v>0.17677212420568167</v>
      </c>
      <c r="J139" s="165">
        <f t="shared" si="54"/>
        <v>9.5222838403874466E-3</v>
      </c>
      <c r="K139" s="163">
        <f t="shared" si="55"/>
        <v>96557</v>
      </c>
      <c r="L139" s="163">
        <f t="shared" si="56"/>
        <v>6063</v>
      </c>
      <c r="M139" s="164">
        <f t="shared" ref="M139:M146" si="58">H139/H$8</f>
        <v>2.3767210456507704E-2</v>
      </c>
      <c r="N139" s="166"/>
    </row>
    <row r="140" spans="1:14" s="56" customFormat="1" x14ac:dyDescent="0.25">
      <c r="A140" s="161"/>
      <c r="B140" s="162" t="s">
        <v>113</v>
      </c>
      <c r="C140" s="163">
        <v>89137</v>
      </c>
      <c r="D140" s="163">
        <v>81160</v>
      </c>
      <c r="E140" s="163">
        <v>33554</v>
      </c>
      <c r="F140" s="163">
        <v>87472</v>
      </c>
      <c r="G140" s="163">
        <v>126602</v>
      </c>
      <c r="H140" s="163">
        <v>137590</v>
      </c>
      <c r="I140" s="164">
        <f t="shared" si="57"/>
        <v>8.6791677856590033E-2</v>
      </c>
      <c r="J140" s="165">
        <f t="shared" si="54"/>
        <v>0.69529324790537217</v>
      </c>
      <c r="K140" s="163">
        <f t="shared" si="55"/>
        <v>10988</v>
      </c>
      <c r="L140" s="163">
        <f t="shared" si="56"/>
        <v>56430</v>
      </c>
      <c r="M140" s="164">
        <f t="shared" si="58"/>
        <v>5.0874801436119584E-3</v>
      </c>
      <c r="N140" s="166"/>
    </row>
    <row r="141" spans="1:14" x14ac:dyDescent="0.25">
      <c r="A141" s="161"/>
      <c r="B141" s="162" t="s">
        <v>116</v>
      </c>
      <c r="C141" s="163">
        <v>130359</v>
      </c>
      <c r="D141" s="163">
        <v>106766</v>
      </c>
      <c r="E141" s="163">
        <v>31657</v>
      </c>
      <c r="F141" s="163">
        <v>129202</v>
      </c>
      <c r="G141" s="163">
        <v>125634</v>
      </c>
      <c r="H141" s="163">
        <v>132022</v>
      </c>
      <c r="I141" s="164">
        <f t="shared" si="57"/>
        <v>5.0846108537497825E-2</v>
      </c>
      <c r="J141" s="165">
        <f t="shared" si="54"/>
        <v>0.23655470842777659</v>
      </c>
      <c r="K141" s="163">
        <f t="shared" si="55"/>
        <v>6388</v>
      </c>
      <c r="L141" s="163">
        <f t="shared" si="56"/>
        <v>25256</v>
      </c>
      <c r="M141" s="164">
        <f t="shared" si="58"/>
        <v>4.8815997057921213E-3</v>
      </c>
      <c r="N141" s="79"/>
    </row>
    <row r="142" spans="1:14" x14ac:dyDescent="0.25">
      <c r="A142" s="161"/>
      <c r="B142" s="162" t="s">
        <v>123</v>
      </c>
      <c r="C142" s="163">
        <v>29489</v>
      </c>
      <c r="D142" s="163">
        <v>30441</v>
      </c>
      <c r="E142" s="163">
        <v>6814</v>
      </c>
      <c r="F142" s="163">
        <v>48781</v>
      </c>
      <c r="G142" s="163">
        <v>59613</v>
      </c>
      <c r="H142" s="163">
        <v>46562</v>
      </c>
      <c r="I142" s="164">
        <f t="shared" si="57"/>
        <v>-0.21892875715028604</v>
      </c>
      <c r="J142" s="165">
        <f t="shared" si="54"/>
        <v>0.52958181400085413</v>
      </c>
      <c r="K142" s="163">
        <f t="shared" si="55"/>
        <v>-13051</v>
      </c>
      <c r="L142" s="163">
        <f t="shared" si="56"/>
        <v>16121</v>
      </c>
      <c r="M142" s="164">
        <f t="shared" si="58"/>
        <v>1.72166037100705E-3</v>
      </c>
      <c r="N142" s="79"/>
    </row>
    <row r="143" spans="1:14" x14ac:dyDescent="0.25">
      <c r="A143" s="161"/>
      <c r="B143" s="162" t="s">
        <v>119</v>
      </c>
      <c r="C143" s="163">
        <v>29274</v>
      </c>
      <c r="D143" s="163">
        <v>30214</v>
      </c>
      <c r="E143" s="163">
        <v>10282</v>
      </c>
      <c r="F143" s="163">
        <v>23580</v>
      </c>
      <c r="G143" s="163">
        <v>29909</v>
      </c>
      <c r="H143" s="163">
        <v>33614</v>
      </c>
      <c r="I143" s="164">
        <f t="shared" si="57"/>
        <v>0.12387575646126581</v>
      </c>
      <c r="J143" s="165">
        <f t="shared" si="54"/>
        <v>0.11253061494671335</v>
      </c>
      <c r="K143" s="163">
        <f t="shared" si="55"/>
        <v>3705</v>
      </c>
      <c r="L143" s="163">
        <f t="shared" si="56"/>
        <v>3400</v>
      </c>
      <c r="M143" s="164">
        <f t="shared" si="58"/>
        <v>1.2428996115079029E-3</v>
      </c>
      <c r="N143" s="79"/>
    </row>
    <row r="144" spans="1:14" x14ac:dyDescent="0.25">
      <c r="A144" s="161"/>
      <c r="B144" s="162" t="s">
        <v>128</v>
      </c>
      <c r="C144" s="163">
        <v>12289</v>
      </c>
      <c r="D144" s="163">
        <v>12127</v>
      </c>
      <c r="E144" s="163">
        <v>15295</v>
      </c>
      <c r="F144" s="163">
        <v>14810</v>
      </c>
      <c r="G144" s="163">
        <v>18646</v>
      </c>
      <c r="H144" s="163">
        <v>16618</v>
      </c>
      <c r="I144" s="164">
        <f t="shared" si="57"/>
        <v>-0.10876327362436988</v>
      </c>
      <c r="J144" s="165">
        <f t="shared" si="54"/>
        <v>0.37033066710645657</v>
      </c>
      <c r="K144" s="163">
        <f t="shared" si="55"/>
        <v>-2028</v>
      </c>
      <c r="L144" s="163">
        <f t="shared" si="56"/>
        <v>4491</v>
      </c>
      <c r="M144" s="164">
        <f t="shared" si="58"/>
        <v>6.1446140727192036E-4</v>
      </c>
      <c r="N144" s="79"/>
    </row>
    <row r="145" spans="1:14" x14ac:dyDescent="0.25">
      <c r="A145" s="161" t="s">
        <v>144</v>
      </c>
      <c r="B145" s="162" t="s">
        <v>131</v>
      </c>
      <c r="C145" s="163">
        <v>53071</v>
      </c>
      <c r="D145" s="163">
        <v>33879</v>
      </c>
      <c r="E145" s="163">
        <v>28797</v>
      </c>
      <c r="F145" s="163">
        <v>6614</v>
      </c>
      <c r="G145" s="163">
        <v>12913</v>
      </c>
      <c r="H145" s="163">
        <v>10719</v>
      </c>
      <c r="I145" s="164">
        <f t="shared" si="57"/>
        <v>-0.16990629598079454</v>
      </c>
      <c r="J145" s="165">
        <f t="shared" si="54"/>
        <v>-0.68360931550518023</v>
      </c>
      <c r="K145" s="163">
        <f t="shared" si="55"/>
        <v>-2194</v>
      </c>
      <c r="L145" s="163">
        <f t="shared" si="56"/>
        <v>-23160</v>
      </c>
      <c r="M145" s="164">
        <f t="shared" si="58"/>
        <v>3.9634202819519287E-4</v>
      </c>
      <c r="N145" s="79"/>
    </row>
    <row r="146" spans="1:14" x14ac:dyDescent="0.25">
      <c r="A146" s="161" t="s">
        <v>145</v>
      </c>
      <c r="B146" s="168" t="s">
        <v>145</v>
      </c>
      <c r="C146" s="169">
        <f t="shared" ref="C146:H146" si="59">C138-SUM(C139:C145)</f>
        <v>283966</v>
      </c>
      <c r="D146" s="169">
        <f t="shared" si="59"/>
        <v>305885</v>
      </c>
      <c r="E146" s="169">
        <f t="shared" si="59"/>
        <v>123683</v>
      </c>
      <c r="F146" s="169">
        <f t="shared" si="59"/>
        <v>345553</v>
      </c>
      <c r="G146" s="169">
        <f t="shared" si="59"/>
        <v>377971</v>
      </c>
      <c r="H146" s="169">
        <f t="shared" si="59"/>
        <v>387054</v>
      </c>
      <c r="I146" s="170">
        <f t="shared" si="57"/>
        <v>2.4030944172965585E-2</v>
      </c>
      <c r="J146" s="171">
        <f t="shared" si="54"/>
        <v>0.26535789594128523</v>
      </c>
      <c r="K146" s="169">
        <f>H146-G146</f>
        <v>9083</v>
      </c>
      <c r="L146" s="169">
        <f t="shared" si="56"/>
        <v>81169</v>
      </c>
      <c r="M146" s="170">
        <f t="shared" si="58"/>
        <v>1.4311574529439515E-2</v>
      </c>
      <c r="N146" s="79"/>
    </row>
    <row r="147" spans="1:14" s="144" customFormat="1" x14ac:dyDescent="0.25">
      <c r="A147" s="161"/>
      <c r="B147" s="153" t="s">
        <v>53</v>
      </c>
      <c r="C147" s="151"/>
      <c r="D147" s="151"/>
      <c r="E147" s="151"/>
      <c r="F147" s="151"/>
      <c r="G147" s="151"/>
      <c r="H147" s="151"/>
      <c r="I147" s="151"/>
      <c r="J147" s="151"/>
      <c r="K147" s="151"/>
      <c r="L147" s="151"/>
      <c r="M147" s="151"/>
    </row>
    <row r="148" spans="1:14" x14ac:dyDescent="0.25">
      <c r="A148" s="161"/>
      <c r="B148" s="154" t="s">
        <v>68</v>
      </c>
      <c r="C148" s="176">
        <v>595727</v>
      </c>
      <c r="D148" s="176">
        <v>545778</v>
      </c>
      <c r="E148" s="176">
        <v>197758</v>
      </c>
      <c r="F148" s="176">
        <v>445863</v>
      </c>
      <c r="G148" s="176">
        <v>584100</v>
      </c>
      <c r="H148" s="176">
        <v>558569</v>
      </c>
      <c r="I148" s="177">
        <f>IFERROR(H148/G148-1,"-")</f>
        <v>-4.3709981167608269E-2</v>
      </c>
      <c r="J148" s="177">
        <f>IFERROR(H148/D148-1,"-")</f>
        <v>2.3436268959173834E-2</v>
      </c>
      <c r="K148" s="176">
        <f>H148-G148</f>
        <v>-25531</v>
      </c>
      <c r="L148" s="176">
        <f>H148-D148</f>
        <v>12791</v>
      </c>
      <c r="M148" s="177">
        <f>H148/H$8</f>
        <v>2.0653453712749386E-2</v>
      </c>
      <c r="N148" s="79"/>
    </row>
    <row r="149" spans="1:14" x14ac:dyDescent="0.25">
      <c r="A149" s="161" t="s">
        <v>96</v>
      </c>
      <c r="B149" s="157" t="s">
        <v>97</v>
      </c>
      <c r="C149" s="158">
        <v>202236</v>
      </c>
      <c r="D149" s="158">
        <v>200014</v>
      </c>
      <c r="E149" s="158">
        <v>72110</v>
      </c>
      <c r="F149" s="158">
        <v>187489</v>
      </c>
      <c r="G149" s="158">
        <v>237265</v>
      </c>
      <c r="H149" s="158">
        <v>216824</v>
      </c>
      <c r="I149" s="159">
        <f>IFERROR(H149/G149-1,"-")</f>
        <v>-8.6152614165595387E-2</v>
      </c>
      <c r="J149" s="160">
        <f t="shared" ref="J149:J160" si="60">IFERROR(H149/D149-1,"-")</f>
        <v>8.4044116911816236E-2</v>
      </c>
      <c r="K149" s="158">
        <f t="shared" ref="K149:K159" si="61">H149-G149</f>
        <v>-20441</v>
      </c>
      <c r="L149" s="158">
        <f t="shared" ref="L149:L160" si="62">H149-D149</f>
        <v>16810</v>
      </c>
      <c r="M149" s="159">
        <f>H149/H$8</f>
        <v>8.0172090606767891E-3</v>
      </c>
      <c r="N149" s="79"/>
    </row>
    <row r="150" spans="1:14" x14ac:dyDescent="0.25">
      <c r="A150" s="161" t="s">
        <v>103</v>
      </c>
      <c r="B150" s="162" t="s">
        <v>103</v>
      </c>
      <c r="C150" s="163">
        <v>86384</v>
      </c>
      <c r="D150" s="163">
        <v>81451</v>
      </c>
      <c r="E150" s="163">
        <v>30833</v>
      </c>
      <c r="F150" s="163">
        <v>112268</v>
      </c>
      <c r="G150" s="163">
        <v>162008</v>
      </c>
      <c r="H150" s="163">
        <v>142328</v>
      </c>
      <c r="I150" s="164">
        <f>IFERROR(H150/G150-1,"-")</f>
        <v>-0.12147548269221276</v>
      </c>
      <c r="J150" s="165">
        <f t="shared" si="60"/>
        <v>0.74740641612748759</v>
      </c>
      <c r="K150" s="163">
        <f t="shared" si="61"/>
        <v>-19680</v>
      </c>
      <c r="L150" s="163">
        <f t="shared" si="62"/>
        <v>60877</v>
      </c>
      <c r="M150" s="164">
        <f>H150/H$8</f>
        <v>5.2626707891562097E-3</v>
      </c>
      <c r="N150" s="79"/>
    </row>
    <row r="151" spans="1:14" x14ac:dyDescent="0.25">
      <c r="A151" s="161" t="s">
        <v>100</v>
      </c>
      <c r="B151" s="162" t="s">
        <v>100</v>
      </c>
      <c r="C151" s="163">
        <v>115852</v>
      </c>
      <c r="D151" s="163">
        <v>118563</v>
      </c>
      <c r="E151" s="163">
        <v>41277</v>
      </c>
      <c r="F151" s="163">
        <v>75221</v>
      </c>
      <c r="G151" s="163">
        <v>75257</v>
      </c>
      <c r="H151" s="163">
        <v>74496</v>
      </c>
      <c r="I151" s="164">
        <f>IFERROR(H151/G151-1,"-")</f>
        <v>-1.011201615796542E-2</v>
      </c>
      <c r="J151" s="165">
        <f t="shared" si="60"/>
        <v>-0.37167581791958704</v>
      </c>
      <c r="K151" s="163">
        <f t="shared" si="61"/>
        <v>-761</v>
      </c>
      <c r="L151" s="163">
        <f t="shared" si="62"/>
        <v>-44067</v>
      </c>
      <c r="M151" s="164">
        <f>H151/H$8</f>
        <v>2.754538271520579E-3</v>
      </c>
      <c r="N151" s="79"/>
    </row>
    <row r="152" spans="1:14" x14ac:dyDescent="0.25">
      <c r="A152" s="161"/>
      <c r="B152" s="157" t="s">
        <v>107</v>
      </c>
      <c r="C152" s="158">
        <v>393491</v>
      </c>
      <c r="D152" s="158">
        <v>345764</v>
      </c>
      <c r="E152" s="158">
        <v>125648</v>
      </c>
      <c r="F152" s="158">
        <v>258374</v>
      </c>
      <c r="G152" s="158">
        <v>346835</v>
      </c>
      <c r="H152" s="158">
        <v>341745</v>
      </c>
      <c r="I152" s="159">
        <f>IFERROR(H152/G152-1,"-")</f>
        <v>-1.4675566191416634E-2</v>
      </c>
      <c r="J152" s="160">
        <f t="shared" si="60"/>
        <v>-1.1623535128006401E-2</v>
      </c>
      <c r="K152" s="158">
        <f t="shared" si="61"/>
        <v>-5090</v>
      </c>
      <c r="L152" s="158">
        <f t="shared" si="62"/>
        <v>-4019</v>
      </c>
      <c r="M152" s="159">
        <f>H152/H$8</f>
        <v>1.2636244652072599E-2</v>
      </c>
      <c r="N152" s="79"/>
    </row>
    <row r="153" spans="1:14" s="56" customFormat="1" x14ac:dyDescent="0.25">
      <c r="A153" s="161"/>
      <c r="B153" s="162" t="s">
        <v>110</v>
      </c>
      <c r="C153" s="163">
        <v>119603</v>
      </c>
      <c r="D153" s="163">
        <v>94439</v>
      </c>
      <c r="E153" s="163">
        <v>26762</v>
      </c>
      <c r="F153" s="163">
        <v>97171</v>
      </c>
      <c r="G153" s="163">
        <v>134849</v>
      </c>
      <c r="H153" s="163">
        <v>122171</v>
      </c>
      <c r="I153" s="164">
        <f t="shared" ref="I153:I160" si="63">IFERROR(H153/G153-1,"-")</f>
        <v>-9.4016270050204298E-2</v>
      </c>
      <c r="J153" s="165">
        <f t="shared" si="60"/>
        <v>0.29364986922775538</v>
      </c>
      <c r="K153" s="163">
        <f t="shared" si="61"/>
        <v>-12678</v>
      </c>
      <c r="L153" s="163">
        <f t="shared" si="62"/>
        <v>27732</v>
      </c>
      <c r="M153" s="164">
        <f t="shared" ref="M153:M160" si="64">H153/H$8</f>
        <v>4.5173525446995898E-3</v>
      </c>
      <c r="N153" s="166"/>
    </row>
    <row r="154" spans="1:14" s="56" customFormat="1" x14ac:dyDescent="0.25">
      <c r="A154" s="161"/>
      <c r="B154" s="162" t="s">
        <v>113</v>
      </c>
      <c r="C154" s="163">
        <v>139092</v>
      </c>
      <c r="D154" s="163">
        <v>110680</v>
      </c>
      <c r="E154" s="163">
        <v>45902</v>
      </c>
      <c r="F154" s="163">
        <v>65713</v>
      </c>
      <c r="G154" s="163">
        <v>71117</v>
      </c>
      <c r="H154" s="163">
        <v>72000</v>
      </c>
      <c r="I154" s="164">
        <f t="shared" si="63"/>
        <v>1.2416159286809059E-2</v>
      </c>
      <c r="J154" s="165">
        <f t="shared" si="60"/>
        <v>-0.3494759667509939</v>
      </c>
      <c r="K154" s="163">
        <f t="shared" si="61"/>
        <v>883</v>
      </c>
      <c r="L154" s="163">
        <f t="shared" si="62"/>
        <v>-38680</v>
      </c>
      <c r="M154" s="164">
        <f t="shared" si="64"/>
        <v>2.6622470407737554E-3</v>
      </c>
      <c r="N154" s="166"/>
    </row>
    <row r="155" spans="1:14" x14ac:dyDescent="0.25">
      <c r="A155" s="161"/>
      <c r="B155" s="162" t="s">
        <v>116</v>
      </c>
      <c r="C155" s="163">
        <v>53918</v>
      </c>
      <c r="D155" s="163">
        <v>51585</v>
      </c>
      <c r="E155" s="163">
        <v>12904</v>
      </c>
      <c r="F155" s="163">
        <v>27871</v>
      </c>
      <c r="G155" s="163">
        <v>53171</v>
      </c>
      <c r="H155" s="163">
        <v>43872</v>
      </c>
      <c r="I155" s="164">
        <f t="shared" si="63"/>
        <v>-0.17488856707603773</v>
      </c>
      <c r="J155" s="165">
        <f t="shared" si="60"/>
        <v>-0.149520209363187</v>
      </c>
      <c r="K155" s="163">
        <f t="shared" si="61"/>
        <v>-9299</v>
      </c>
      <c r="L155" s="163">
        <f t="shared" si="62"/>
        <v>-7713</v>
      </c>
      <c r="M155" s="164">
        <f t="shared" si="64"/>
        <v>1.6221958635114751E-3</v>
      </c>
      <c r="N155" s="79"/>
    </row>
    <row r="156" spans="1:14" x14ac:dyDescent="0.25">
      <c r="A156" s="161"/>
      <c r="B156" s="162" t="s">
        <v>123</v>
      </c>
      <c r="C156" s="163">
        <v>5336</v>
      </c>
      <c r="D156" s="163">
        <v>5335</v>
      </c>
      <c r="E156" s="163">
        <v>2471</v>
      </c>
      <c r="F156" s="163">
        <v>5946</v>
      </c>
      <c r="G156" s="163">
        <v>8704</v>
      </c>
      <c r="H156" s="163">
        <v>11424</v>
      </c>
      <c r="I156" s="164">
        <f t="shared" si="63"/>
        <v>0.3125</v>
      </c>
      <c r="J156" s="165">
        <f t="shared" si="60"/>
        <v>1.1413308341143393</v>
      </c>
      <c r="K156" s="163">
        <f t="shared" si="61"/>
        <v>2720</v>
      </c>
      <c r="L156" s="163">
        <f t="shared" si="62"/>
        <v>6089</v>
      </c>
      <c r="M156" s="164">
        <f t="shared" si="64"/>
        <v>4.2240986380276922E-4</v>
      </c>
      <c r="N156" s="79"/>
    </row>
    <row r="157" spans="1:14" x14ac:dyDescent="0.25">
      <c r="A157" s="161"/>
      <c r="B157" s="162" t="s">
        <v>119</v>
      </c>
      <c r="C157" s="163">
        <v>11893</v>
      </c>
      <c r="D157" s="163">
        <v>16639</v>
      </c>
      <c r="E157" s="163">
        <v>8377</v>
      </c>
      <c r="F157" s="163">
        <v>21657</v>
      </c>
      <c r="G157" s="163">
        <v>17333</v>
      </c>
      <c r="H157" s="163">
        <v>20183</v>
      </c>
      <c r="I157" s="164">
        <f t="shared" si="63"/>
        <v>0.16442623896613395</v>
      </c>
      <c r="J157" s="165">
        <f t="shared" si="60"/>
        <v>0.21299356932507973</v>
      </c>
      <c r="K157" s="163">
        <f t="shared" si="61"/>
        <v>2850</v>
      </c>
      <c r="L157" s="163">
        <f t="shared" si="62"/>
        <v>3544</v>
      </c>
      <c r="M157" s="164">
        <f t="shared" si="64"/>
        <v>7.4627961144356535E-4</v>
      </c>
      <c r="N157" s="79"/>
    </row>
    <row r="158" spans="1:14" x14ac:dyDescent="0.25">
      <c r="A158" s="161"/>
      <c r="B158" s="162" t="s">
        <v>128</v>
      </c>
      <c r="C158" s="163">
        <v>1619</v>
      </c>
      <c r="D158" s="163">
        <v>2512</v>
      </c>
      <c r="E158" s="163">
        <v>2803</v>
      </c>
      <c r="F158" s="163">
        <v>1510</v>
      </c>
      <c r="G158" s="163">
        <v>3171</v>
      </c>
      <c r="H158" s="163">
        <v>2217</v>
      </c>
      <c r="I158" s="164">
        <f t="shared" si="63"/>
        <v>-0.30085146641438032</v>
      </c>
      <c r="J158" s="165">
        <f t="shared" si="60"/>
        <v>-0.11743630573248409</v>
      </c>
      <c r="K158" s="163">
        <f t="shared" si="61"/>
        <v>-954</v>
      </c>
      <c r="L158" s="163">
        <f t="shared" si="62"/>
        <v>-295</v>
      </c>
      <c r="M158" s="164">
        <f t="shared" si="64"/>
        <v>8.1975023463825216E-5</v>
      </c>
      <c r="N158" s="79"/>
    </row>
    <row r="159" spans="1:14" x14ac:dyDescent="0.25">
      <c r="A159" s="161" t="s">
        <v>144</v>
      </c>
      <c r="B159" s="162" t="s">
        <v>131</v>
      </c>
      <c r="C159" s="163">
        <v>5803</v>
      </c>
      <c r="D159" s="163">
        <v>5190</v>
      </c>
      <c r="E159" s="163">
        <v>3726</v>
      </c>
      <c r="F159" s="163">
        <v>2647</v>
      </c>
      <c r="G159" s="163">
        <v>4002</v>
      </c>
      <c r="H159" s="163">
        <v>3748</v>
      </c>
      <c r="I159" s="164">
        <f t="shared" si="63"/>
        <v>-6.3468265867066442E-2</v>
      </c>
      <c r="J159" s="165">
        <f t="shared" si="60"/>
        <v>-0.2778420038535645</v>
      </c>
      <c r="K159" s="163">
        <f t="shared" si="61"/>
        <v>-254</v>
      </c>
      <c r="L159" s="163">
        <f t="shared" si="62"/>
        <v>-1442</v>
      </c>
      <c r="M159" s="164">
        <f t="shared" si="64"/>
        <v>1.385847487336116E-4</v>
      </c>
      <c r="N159" s="79"/>
    </row>
    <row r="160" spans="1:14" x14ac:dyDescent="0.25">
      <c r="A160" s="161" t="s">
        <v>145</v>
      </c>
      <c r="B160" s="168" t="s">
        <v>145</v>
      </c>
      <c r="C160" s="169">
        <f t="shared" ref="C160:H160" si="65">C152-SUM(C153:C159)</f>
        <v>56227</v>
      </c>
      <c r="D160" s="169">
        <f t="shared" si="65"/>
        <v>59384</v>
      </c>
      <c r="E160" s="169">
        <f t="shared" si="65"/>
        <v>22703</v>
      </c>
      <c r="F160" s="169">
        <f t="shared" si="65"/>
        <v>35859</v>
      </c>
      <c r="G160" s="169">
        <f t="shared" si="65"/>
        <v>54488</v>
      </c>
      <c r="H160" s="169">
        <f t="shared" si="65"/>
        <v>66130</v>
      </c>
      <c r="I160" s="170">
        <f t="shared" si="63"/>
        <v>0.21366172368227865</v>
      </c>
      <c r="J160" s="171">
        <f t="shared" si="60"/>
        <v>0.11359962279401858</v>
      </c>
      <c r="K160" s="169">
        <f>H160-G160</f>
        <v>11642</v>
      </c>
      <c r="L160" s="169">
        <f t="shared" si="62"/>
        <v>6746</v>
      </c>
      <c r="M160" s="170">
        <f t="shared" si="64"/>
        <v>2.4451999556440061E-3</v>
      </c>
      <c r="N160" s="79"/>
    </row>
    <row r="161" spans="2:16" ht="6" customHeight="1" x14ac:dyDescent="0.25">
      <c r="B161" s="125"/>
      <c r="C161" s="125"/>
      <c r="D161" s="125"/>
      <c r="E161" s="125"/>
      <c r="F161" s="125"/>
      <c r="G161" s="125"/>
      <c r="H161" s="125"/>
      <c r="I161" s="125"/>
      <c r="J161" s="125"/>
      <c r="K161" s="125"/>
      <c r="L161" s="125"/>
      <c r="M161" s="125"/>
      <c r="N161" s="125"/>
      <c r="O161" s="125"/>
      <c r="P161" s="125"/>
    </row>
    <row r="162" spans="2:16" x14ac:dyDescent="0.25">
      <c r="B162" s="105" t="s">
        <v>55</v>
      </c>
      <c r="C162" s="105"/>
      <c r="D162" s="105"/>
      <c r="E162" s="105"/>
      <c r="F162" s="105"/>
      <c r="G162" s="105"/>
      <c r="H162" s="105"/>
      <c r="I162" s="105"/>
      <c r="J162" s="105"/>
      <c r="K162" s="105"/>
      <c r="L162" s="105"/>
      <c r="M162" s="105"/>
      <c r="N162" s="105"/>
      <c r="O162" s="105"/>
      <c r="P162" s="105"/>
    </row>
  </sheetData>
  <mergeCells count="2">
    <mergeCell ref="B3:M3"/>
    <mergeCell ref="C5:M5"/>
  </mergeCells>
  <pageMargins left="0.25" right="0.25" top="0.75" bottom="0.75" header="0.3" footer="0.3"/>
  <pageSetup paperSize="9" scale="20" orientation="landscape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8D8394-8E09-4D31-9432-B700802A9C0E}">
  <sheetPr>
    <tabColor rgb="FFF29140"/>
    <pageSetUpPr fitToPage="1"/>
  </sheetPr>
  <dimension ref="A1:P162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</cols>
  <sheetData>
    <row r="1" spans="1:14" ht="42.75" customHeight="1" x14ac:dyDescent="0.25"/>
    <row r="4" spans="1:14" ht="42" customHeight="1" thickBot="1" x14ac:dyDescent="0.3">
      <c r="B4" s="270" t="str">
        <f>CONCATENATE("Pernoctaciones en los establecimientos alojativos de Tenerife según lugar de residencia y municipio de alojamiento (hotel + apartamento)")</f>
        <v>Pernoctaciones en los establecimientos alojativos de Tenerife según lugar de residencia y municipio de alojamiento (hotel + apartamento)</v>
      </c>
      <c r="C4" s="270"/>
      <c r="D4" s="270"/>
      <c r="E4" s="270"/>
      <c r="F4" s="270"/>
      <c r="G4" s="270"/>
      <c r="H4" s="270"/>
      <c r="I4" s="270"/>
      <c r="J4" s="270"/>
      <c r="K4" s="270"/>
      <c r="L4" s="270"/>
      <c r="M4" s="270"/>
    </row>
    <row r="5" spans="1:14" ht="6" customHeight="1" x14ac:dyDescent="0.25"/>
    <row r="6" spans="1:14" s="144" customFormat="1" ht="72" customHeight="1" x14ac:dyDescent="0.25">
      <c r="B6" s="145"/>
      <c r="C6" s="182">
        <v>2018</v>
      </c>
      <c r="D6" s="182">
        <v>2019</v>
      </c>
      <c r="E6" s="182">
        <v>2020</v>
      </c>
      <c r="F6" s="182">
        <v>2021</v>
      </c>
      <c r="G6" s="182">
        <v>2022</v>
      </c>
      <c r="H6" s="182">
        <v>2023</v>
      </c>
      <c r="I6" s="173" t="str">
        <f>CONCATENATE("var. ",RIGHT(H6,2),"/",RIGHT(G6,2))</f>
        <v>var. 23/22</v>
      </c>
      <c r="J6" s="173" t="str">
        <f>CONCATENATE("var. ",RIGHT(H6,2),"/",RIGHT(E6,2))</f>
        <v>var. 23/20</v>
      </c>
      <c r="K6" s="172" t="str">
        <f>CONCATENATE("dif. ",RIGHT(H6,2),"/",RIGHT(G6,2))</f>
        <v>dif. 23/22</v>
      </c>
      <c r="L6" s="172" t="str">
        <f>CONCATENATE("dif. ",RIGHT(H6,2),"/",RIGHT(E6,2))</f>
        <v>dif. 23/20</v>
      </c>
      <c r="M6" s="173" t="str">
        <f>CONCATENATE("Cuota s/ total lugares de residencia ",RIGHT(H6,4))</f>
        <v>Cuota s/ total lugares de residencia 2023</v>
      </c>
    </row>
    <row r="7" spans="1:14" s="144" customFormat="1" x14ac:dyDescent="0.25">
      <c r="B7" s="150" t="s">
        <v>43</v>
      </c>
      <c r="C7" s="151"/>
      <c r="D7" s="151"/>
      <c r="E7" s="151"/>
      <c r="F7" s="151"/>
      <c r="G7" s="151"/>
      <c r="H7" s="151"/>
      <c r="I7" s="151"/>
      <c r="J7" s="151"/>
      <c r="K7" s="151"/>
      <c r="L7" s="151"/>
      <c r="M7" s="151"/>
    </row>
    <row r="8" spans="1:14" x14ac:dyDescent="0.25">
      <c r="A8" s="1">
        <v>3</v>
      </c>
      <c r="B8" s="154" t="s">
        <v>68</v>
      </c>
      <c r="C8" s="176">
        <v>34510831</v>
      </c>
      <c r="D8" s="176">
        <v>34034766</v>
      </c>
      <c r="E8" s="176">
        <v>10243785</v>
      </c>
      <c r="F8" s="176">
        <v>13903380</v>
      </c>
      <c r="G8" s="176">
        <v>31405937</v>
      </c>
      <c r="H8" s="176">
        <v>34509923</v>
      </c>
      <c r="I8" s="177">
        <f>IFERROR(H8/G8-1,"-")</f>
        <v>9.8834370074677214E-2</v>
      </c>
      <c r="J8" s="177">
        <f>IFERROR(H8/E8-1,"-")</f>
        <v>2.3688644382911201</v>
      </c>
      <c r="K8" s="176">
        <f>H8-G8</f>
        <v>3103986</v>
      </c>
      <c r="L8" s="176">
        <f>H8-E8</f>
        <v>24266138</v>
      </c>
      <c r="M8" s="177">
        <f>H8/H$8</f>
        <v>1</v>
      </c>
      <c r="N8" s="79"/>
    </row>
    <row r="9" spans="1:14" x14ac:dyDescent="0.25">
      <c r="A9" s="1" t="s">
        <v>96</v>
      </c>
      <c r="B9" s="157" t="s">
        <v>97</v>
      </c>
      <c r="C9" s="158">
        <v>4630328</v>
      </c>
      <c r="D9" s="158">
        <v>4613933</v>
      </c>
      <c r="E9" s="158">
        <v>1666329</v>
      </c>
      <c r="F9" s="158">
        <v>2851484</v>
      </c>
      <c r="G9" s="158">
        <v>4154268</v>
      </c>
      <c r="H9" s="158">
        <v>4256196</v>
      </c>
      <c r="I9" s="159">
        <f>IFERROR(H9/G9-1,"-")</f>
        <v>2.4535730482482032E-2</v>
      </c>
      <c r="J9" s="160">
        <f t="shared" ref="J9:J20" si="0">IFERROR(H9/E9-1,"-")</f>
        <v>1.5542350880288347</v>
      </c>
      <c r="K9" s="158">
        <f t="shared" ref="K9:K19" si="1">H9-G9</f>
        <v>101928</v>
      </c>
      <c r="L9" s="158">
        <f t="shared" ref="L9:L20" si="2">H9-E9</f>
        <v>2589867</v>
      </c>
      <c r="M9" s="159">
        <f>H9/H$8</f>
        <v>0.12333252670543483</v>
      </c>
      <c r="N9" s="79"/>
    </row>
    <row r="10" spans="1:14" x14ac:dyDescent="0.25">
      <c r="A10" s="161" t="s">
        <v>103</v>
      </c>
      <c r="B10" s="162" t="s">
        <v>103</v>
      </c>
      <c r="C10" s="163">
        <v>1417896</v>
      </c>
      <c r="D10" s="163">
        <v>1301233</v>
      </c>
      <c r="E10" s="163">
        <v>564792</v>
      </c>
      <c r="F10" s="163">
        <v>1116779</v>
      </c>
      <c r="G10" s="163">
        <v>1214668</v>
      </c>
      <c r="H10" s="163">
        <v>1317693</v>
      </c>
      <c r="I10" s="164">
        <f>IFERROR(H10/G10-1,"-")</f>
        <v>8.4817415129072371E-2</v>
      </c>
      <c r="J10" s="165">
        <f t="shared" si="0"/>
        <v>1.3330588960183571</v>
      </c>
      <c r="K10" s="163">
        <f t="shared" si="1"/>
        <v>103025</v>
      </c>
      <c r="L10" s="163">
        <f t="shared" si="2"/>
        <v>752901</v>
      </c>
      <c r="M10" s="164">
        <f>H10/H$8</f>
        <v>3.8183017678712294E-2</v>
      </c>
      <c r="N10" s="79"/>
    </row>
    <row r="11" spans="1:14" x14ac:dyDescent="0.25">
      <c r="A11" s="161" t="s">
        <v>100</v>
      </c>
      <c r="B11" s="162" t="s">
        <v>100</v>
      </c>
      <c r="C11" s="163">
        <v>3212432</v>
      </c>
      <c r="D11" s="163">
        <v>3312700</v>
      </c>
      <c r="E11" s="163">
        <v>1101537</v>
      </c>
      <c r="F11" s="163">
        <v>1734705</v>
      </c>
      <c r="G11" s="163">
        <v>2939600</v>
      </c>
      <c r="H11" s="163">
        <v>2938503</v>
      </c>
      <c r="I11" s="164">
        <f>IFERROR(H11/G11-1,"-")</f>
        <v>-3.7318002449315824E-4</v>
      </c>
      <c r="J11" s="165">
        <f t="shared" si="0"/>
        <v>1.6676389444930129</v>
      </c>
      <c r="K11" s="163">
        <f t="shared" si="1"/>
        <v>-1097</v>
      </c>
      <c r="L11" s="163">
        <f t="shared" si="2"/>
        <v>1836966</v>
      </c>
      <c r="M11" s="164">
        <f>H11/H$8</f>
        <v>8.5149509026722539E-2</v>
      </c>
      <c r="N11" s="79"/>
    </row>
    <row r="12" spans="1:14" x14ac:dyDescent="0.25">
      <c r="A12" s="1"/>
      <c r="B12" s="157" t="s">
        <v>107</v>
      </c>
      <c r="C12" s="158">
        <v>29880503</v>
      </c>
      <c r="D12" s="158">
        <v>29420833</v>
      </c>
      <c r="E12" s="158">
        <v>8577456</v>
      </c>
      <c r="F12" s="158">
        <v>11051896</v>
      </c>
      <c r="G12" s="158">
        <v>27251669</v>
      </c>
      <c r="H12" s="158">
        <v>30253727</v>
      </c>
      <c r="I12" s="159">
        <f>IFERROR(H12/G12-1,"-")</f>
        <v>0.11016051897592027</v>
      </c>
      <c r="J12" s="160">
        <f t="shared" si="0"/>
        <v>2.5271212116972679</v>
      </c>
      <c r="K12" s="158">
        <f t="shared" si="1"/>
        <v>3002058</v>
      </c>
      <c r="L12" s="158">
        <f t="shared" si="2"/>
        <v>21676271</v>
      </c>
      <c r="M12" s="159">
        <f>H12/H$8</f>
        <v>0.87666747329456518</v>
      </c>
      <c r="N12" s="79"/>
    </row>
    <row r="13" spans="1:14" s="56" customFormat="1" x14ac:dyDescent="0.25">
      <c r="B13" s="162" t="s">
        <v>110</v>
      </c>
      <c r="C13" s="163">
        <v>12789312</v>
      </c>
      <c r="D13" s="163">
        <v>13160030</v>
      </c>
      <c r="E13" s="163">
        <v>3390819</v>
      </c>
      <c r="F13" s="163">
        <v>3350798</v>
      </c>
      <c r="G13" s="163">
        <v>12657617</v>
      </c>
      <c r="H13" s="163">
        <v>13883101</v>
      </c>
      <c r="I13" s="164">
        <f t="shared" ref="I13:I20" si="3">IFERROR(H13/G13-1,"-")</f>
        <v>9.6817908141793252E-2</v>
      </c>
      <c r="J13" s="165">
        <f t="shared" si="0"/>
        <v>3.09432087056254</v>
      </c>
      <c r="K13" s="163">
        <f t="shared" si="1"/>
        <v>1225484</v>
      </c>
      <c r="L13" s="163">
        <f t="shared" si="2"/>
        <v>10492282</v>
      </c>
      <c r="M13" s="164">
        <f t="shared" ref="M13:M20" si="4">H13/H$8</f>
        <v>0.40229301583779253</v>
      </c>
      <c r="N13" s="166"/>
    </row>
    <row r="14" spans="1:14" s="56" customFormat="1" x14ac:dyDescent="0.25">
      <c r="B14" s="162" t="s">
        <v>113</v>
      </c>
      <c r="C14" s="163">
        <v>5171883</v>
      </c>
      <c r="D14" s="163">
        <v>4424103</v>
      </c>
      <c r="E14" s="163">
        <v>1278654</v>
      </c>
      <c r="F14" s="163">
        <v>1806937</v>
      </c>
      <c r="G14" s="163">
        <v>3169256</v>
      </c>
      <c r="H14" s="163">
        <v>3598054</v>
      </c>
      <c r="I14" s="164">
        <f t="shared" si="3"/>
        <v>0.13529926266606429</v>
      </c>
      <c r="J14" s="165">
        <f t="shared" si="0"/>
        <v>1.813938719935182</v>
      </c>
      <c r="K14" s="163">
        <f t="shared" si="1"/>
        <v>428798</v>
      </c>
      <c r="L14" s="163">
        <f t="shared" si="2"/>
        <v>2319400</v>
      </c>
      <c r="M14" s="164">
        <f t="shared" si="4"/>
        <v>0.10426143228427372</v>
      </c>
      <c r="N14" s="166"/>
    </row>
    <row r="15" spans="1:14" x14ac:dyDescent="0.25">
      <c r="A15" s="1"/>
      <c r="B15" s="162" t="s">
        <v>116</v>
      </c>
      <c r="C15" s="163">
        <v>1147817</v>
      </c>
      <c r="D15" s="163">
        <v>1180822</v>
      </c>
      <c r="E15" s="163">
        <v>395218</v>
      </c>
      <c r="F15" s="163">
        <v>815902</v>
      </c>
      <c r="G15" s="163">
        <v>1288352</v>
      </c>
      <c r="H15" s="163">
        <v>1520450</v>
      </c>
      <c r="I15" s="164">
        <f t="shared" si="3"/>
        <v>0.18015107672437347</v>
      </c>
      <c r="J15" s="165">
        <f t="shared" si="0"/>
        <v>2.8471172871680945</v>
      </c>
      <c r="K15" s="163">
        <f t="shared" si="1"/>
        <v>232098</v>
      </c>
      <c r="L15" s="163">
        <f t="shared" si="2"/>
        <v>1125232</v>
      </c>
      <c r="M15" s="164">
        <f t="shared" si="4"/>
        <v>4.4058342291867759E-2</v>
      </c>
      <c r="N15" s="79"/>
    </row>
    <row r="16" spans="1:14" x14ac:dyDescent="0.25">
      <c r="A16" s="1"/>
      <c r="B16" s="162" t="s">
        <v>123</v>
      </c>
      <c r="C16" s="163">
        <v>1190551</v>
      </c>
      <c r="D16" s="163">
        <v>1116998</v>
      </c>
      <c r="E16" s="163">
        <v>302698</v>
      </c>
      <c r="F16" s="163">
        <v>691981</v>
      </c>
      <c r="G16" s="163">
        <v>1287744</v>
      </c>
      <c r="H16" s="163">
        <v>1318357</v>
      </c>
      <c r="I16" s="164">
        <f t="shared" si="3"/>
        <v>2.3772582128124942E-2</v>
      </c>
      <c r="J16" s="165">
        <f t="shared" si="0"/>
        <v>3.3553541813953185</v>
      </c>
      <c r="K16" s="163">
        <f t="shared" si="1"/>
        <v>30613</v>
      </c>
      <c r="L16" s="163">
        <f t="shared" si="2"/>
        <v>1015659</v>
      </c>
      <c r="M16" s="164">
        <f t="shared" si="4"/>
        <v>3.8202258521411361E-2</v>
      </c>
      <c r="N16" s="79"/>
    </row>
    <row r="17" spans="1:14" x14ac:dyDescent="0.25">
      <c r="A17" s="1"/>
      <c r="B17" s="162" t="s">
        <v>119</v>
      </c>
      <c r="C17" s="163">
        <v>1113956</v>
      </c>
      <c r="D17" s="163">
        <v>1084813</v>
      </c>
      <c r="E17" s="163">
        <v>443857</v>
      </c>
      <c r="F17" s="163">
        <v>726467</v>
      </c>
      <c r="G17" s="163">
        <v>1124652</v>
      </c>
      <c r="H17" s="163">
        <v>1172687</v>
      </c>
      <c r="I17" s="164">
        <f t="shared" si="3"/>
        <v>4.2710989710594838E-2</v>
      </c>
      <c r="J17" s="165">
        <f t="shared" si="0"/>
        <v>1.6420378635461419</v>
      </c>
      <c r="K17" s="163">
        <f t="shared" si="1"/>
        <v>48035</v>
      </c>
      <c r="L17" s="163">
        <f t="shared" si="2"/>
        <v>728830</v>
      </c>
      <c r="M17" s="164">
        <f t="shared" si="4"/>
        <v>3.3981153768439298E-2</v>
      </c>
      <c r="N17" s="79"/>
    </row>
    <row r="18" spans="1:14" x14ac:dyDescent="0.25">
      <c r="A18" s="1"/>
      <c r="B18" s="162" t="s">
        <v>128</v>
      </c>
      <c r="C18" s="163">
        <v>561907</v>
      </c>
      <c r="D18" s="163">
        <v>594834</v>
      </c>
      <c r="E18" s="163">
        <v>241432</v>
      </c>
      <c r="F18" s="163">
        <v>191434</v>
      </c>
      <c r="G18" s="163">
        <v>491173</v>
      </c>
      <c r="H18" s="163">
        <v>523681</v>
      </c>
      <c r="I18" s="164">
        <f t="shared" si="3"/>
        <v>6.6184419746199374E-2</v>
      </c>
      <c r="J18" s="165">
        <f t="shared" si="0"/>
        <v>1.169062096159581</v>
      </c>
      <c r="K18" s="163">
        <f t="shared" si="1"/>
        <v>32508</v>
      </c>
      <c r="L18" s="163">
        <f t="shared" si="2"/>
        <v>282249</v>
      </c>
      <c r="M18" s="164">
        <f t="shared" si="4"/>
        <v>1.5174794797426816E-2</v>
      </c>
      <c r="N18" s="79"/>
    </row>
    <row r="19" spans="1:14" x14ac:dyDescent="0.25">
      <c r="A19" s="161" t="s">
        <v>144</v>
      </c>
      <c r="B19" s="162" t="s">
        <v>131</v>
      </c>
      <c r="C19" s="163">
        <v>955904</v>
      </c>
      <c r="D19" s="163">
        <v>847396</v>
      </c>
      <c r="E19" s="163">
        <v>356220</v>
      </c>
      <c r="F19" s="163">
        <v>171613</v>
      </c>
      <c r="G19" s="163">
        <v>432862</v>
      </c>
      <c r="H19" s="163">
        <v>543249</v>
      </c>
      <c r="I19" s="164">
        <f t="shared" si="3"/>
        <v>0.25501661037466916</v>
      </c>
      <c r="J19" s="165">
        <f t="shared" si="0"/>
        <v>0.52503789792824662</v>
      </c>
      <c r="K19" s="163">
        <f t="shared" si="1"/>
        <v>110387</v>
      </c>
      <c r="L19" s="163">
        <f t="shared" si="2"/>
        <v>187029</v>
      </c>
      <c r="M19" s="164">
        <f t="shared" si="4"/>
        <v>1.5741820113594575E-2</v>
      </c>
      <c r="N19" s="79"/>
    </row>
    <row r="20" spans="1:14" x14ac:dyDescent="0.25">
      <c r="A20" s="167" t="s">
        <v>145</v>
      </c>
      <c r="B20" s="168" t="s">
        <v>145</v>
      </c>
      <c r="C20" s="169">
        <f t="shared" ref="C20" si="5">C12-SUM(C13:C19)</f>
        <v>6949173</v>
      </c>
      <c r="D20" s="169">
        <f t="shared" ref="D20:H20" si="6">D12-SUM(D13:D19)</f>
        <v>7011837</v>
      </c>
      <c r="E20" s="169">
        <f t="shared" si="6"/>
        <v>2168558</v>
      </c>
      <c r="F20" s="169">
        <f t="shared" si="6"/>
        <v>3296764</v>
      </c>
      <c r="G20" s="169">
        <f t="shared" si="6"/>
        <v>6800013</v>
      </c>
      <c r="H20" s="169">
        <f t="shared" si="6"/>
        <v>7694148</v>
      </c>
      <c r="I20" s="170">
        <f t="shared" si="3"/>
        <v>0.13149018979816662</v>
      </c>
      <c r="J20" s="171">
        <f t="shared" si="0"/>
        <v>2.548048057741596</v>
      </c>
      <c r="K20" s="169">
        <f>H20-G20</f>
        <v>894135</v>
      </c>
      <c r="L20" s="169">
        <f t="shared" si="2"/>
        <v>5525590</v>
      </c>
      <c r="M20" s="170">
        <f t="shared" si="4"/>
        <v>0.22295465567975911</v>
      </c>
      <c r="N20" s="79"/>
    </row>
    <row r="21" spans="1:14" s="144" customFormat="1" x14ac:dyDescent="0.25">
      <c r="B21" s="153" t="s">
        <v>44</v>
      </c>
      <c r="C21" s="151"/>
      <c r="D21" s="151"/>
      <c r="E21" s="151"/>
      <c r="F21" s="151"/>
      <c r="G21" s="151"/>
      <c r="H21" s="151"/>
      <c r="I21" s="151"/>
      <c r="J21" s="151"/>
      <c r="K21" s="151"/>
      <c r="L21" s="151"/>
      <c r="M21" s="151"/>
    </row>
    <row r="22" spans="1:14" x14ac:dyDescent="0.25">
      <c r="A22" s="1">
        <v>3</v>
      </c>
      <c r="B22" s="154" t="s">
        <v>68</v>
      </c>
      <c r="C22" s="176">
        <v>12780955</v>
      </c>
      <c r="D22" s="176">
        <v>13105945</v>
      </c>
      <c r="E22" s="176">
        <v>3913809</v>
      </c>
      <c r="F22" s="176">
        <v>5763674</v>
      </c>
      <c r="G22" s="176">
        <v>12632387</v>
      </c>
      <c r="H22" s="176">
        <v>13590517</v>
      </c>
      <c r="I22" s="177">
        <f>IFERROR(H22/G22-1,"-")</f>
        <v>7.5847106330735325E-2</v>
      </c>
      <c r="J22" s="177">
        <f>IFERROR(H22/E22-1,"-")</f>
        <v>2.4724527947071508</v>
      </c>
      <c r="K22" s="176">
        <f>H22-G22</f>
        <v>958130</v>
      </c>
      <c r="L22" s="176">
        <f>H22-E22</f>
        <v>9676708</v>
      </c>
      <c r="M22" s="177">
        <f>H22/H$8</f>
        <v>0.39381475872896038</v>
      </c>
      <c r="N22" s="79"/>
    </row>
    <row r="23" spans="1:14" x14ac:dyDescent="0.25">
      <c r="A23" s="1" t="s">
        <v>96</v>
      </c>
      <c r="B23" s="157" t="s">
        <v>97</v>
      </c>
      <c r="C23" s="158">
        <v>881685</v>
      </c>
      <c r="D23" s="158">
        <v>1013579</v>
      </c>
      <c r="E23" s="158">
        <v>419753</v>
      </c>
      <c r="F23" s="158">
        <v>926094</v>
      </c>
      <c r="G23" s="158">
        <v>924124</v>
      </c>
      <c r="H23" s="158">
        <v>817242</v>
      </c>
      <c r="I23" s="159">
        <f>IFERROR(H23/G23-1,"-")</f>
        <v>-0.11565763901814041</v>
      </c>
      <c r="J23" s="160">
        <f t="shared" ref="J23:J34" si="7">IFERROR(H23/E23-1,"-")</f>
        <v>0.94695928319749956</v>
      </c>
      <c r="K23" s="158">
        <f t="shared" ref="K23:K33" si="8">H23-G23</f>
        <v>-106882</v>
      </c>
      <c r="L23" s="158">
        <f t="shared" ref="L23:L34" si="9">H23-E23</f>
        <v>397489</v>
      </c>
      <c r="M23" s="159">
        <f>H23/H$8</f>
        <v>2.3681362604025515E-2</v>
      </c>
      <c r="N23" s="79"/>
    </row>
    <row r="24" spans="1:14" x14ac:dyDescent="0.25">
      <c r="A24" s="161" t="s">
        <v>103</v>
      </c>
      <c r="B24" s="162" t="s">
        <v>103</v>
      </c>
      <c r="C24" s="163">
        <v>322907</v>
      </c>
      <c r="D24" s="163">
        <v>409352</v>
      </c>
      <c r="E24" s="163">
        <v>197437</v>
      </c>
      <c r="F24" s="163">
        <v>341894</v>
      </c>
      <c r="G24" s="163">
        <v>286571</v>
      </c>
      <c r="H24" s="163">
        <v>256506</v>
      </c>
      <c r="I24" s="164">
        <f>IFERROR(H24/G24-1,"-")</f>
        <v>-0.10491291861353735</v>
      </c>
      <c r="J24" s="165">
        <f t="shared" si="7"/>
        <v>0.2991789786108987</v>
      </c>
      <c r="K24" s="163">
        <f t="shared" si="8"/>
        <v>-30065</v>
      </c>
      <c r="L24" s="163">
        <f t="shared" si="9"/>
        <v>59069</v>
      </c>
      <c r="M24" s="164">
        <f>H24/H$8</f>
        <v>7.432818670734212E-3</v>
      </c>
      <c r="N24" s="79"/>
    </row>
    <row r="25" spans="1:14" x14ac:dyDescent="0.25">
      <c r="A25" s="161" t="s">
        <v>100</v>
      </c>
      <c r="B25" s="162" t="s">
        <v>100</v>
      </c>
      <c r="C25" s="163">
        <v>558778</v>
      </c>
      <c r="D25" s="163">
        <v>604227</v>
      </c>
      <c r="E25" s="163">
        <v>222316</v>
      </c>
      <c r="F25" s="163">
        <v>584200</v>
      </c>
      <c r="G25" s="163">
        <v>637553</v>
      </c>
      <c r="H25" s="163">
        <v>560736</v>
      </c>
      <c r="I25" s="164">
        <f>IFERROR(H25/G25-1,"-")</f>
        <v>-0.12048723792374905</v>
      </c>
      <c r="J25" s="165">
        <f t="shared" si="7"/>
        <v>1.5222476115079435</v>
      </c>
      <c r="K25" s="163">
        <f t="shared" si="8"/>
        <v>-76817</v>
      </c>
      <c r="L25" s="163">
        <f t="shared" si="9"/>
        <v>338420</v>
      </c>
      <c r="M25" s="164">
        <f>H25/H$8</f>
        <v>1.6248543933291303E-2</v>
      </c>
      <c r="N25" s="79"/>
    </row>
    <row r="26" spans="1:14" x14ac:dyDescent="0.25">
      <c r="A26" s="1"/>
      <c r="B26" s="157" t="s">
        <v>107</v>
      </c>
      <c r="C26" s="158">
        <v>11899270</v>
      </c>
      <c r="D26" s="158">
        <v>12092366</v>
      </c>
      <c r="E26" s="158">
        <v>3494056</v>
      </c>
      <c r="F26" s="158">
        <v>4837580</v>
      </c>
      <c r="G26" s="158">
        <v>11708263</v>
      </c>
      <c r="H26" s="158">
        <v>12773275</v>
      </c>
      <c r="I26" s="159">
        <f>IFERROR(H26/G26-1,"-")</f>
        <v>9.0962425425530569E-2</v>
      </c>
      <c r="J26" s="160">
        <f t="shared" si="7"/>
        <v>2.6557155924232467</v>
      </c>
      <c r="K26" s="158">
        <f t="shared" si="8"/>
        <v>1065012</v>
      </c>
      <c r="L26" s="158">
        <f t="shared" si="9"/>
        <v>9279219</v>
      </c>
      <c r="M26" s="159">
        <f>H26/H$8</f>
        <v>0.37013339612493484</v>
      </c>
      <c r="N26" s="79"/>
    </row>
    <row r="27" spans="1:14" s="56" customFormat="1" x14ac:dyDescent="0.25">
      <c r="B27" s="162" t="s">
        <v>110</v>
      </c>
      <c r="C27" s="163">
        <v>5384111</v>
      </c>
      <c r="D27" s="163">
        <v>5650065</v>
      </c>
      <c r="E27" s="163">
        <v>1483938</v>
      </c>
      <c r="F27" s="163">
        <v>1575483</v>
      </c>
      <c r="G27" s="163">
        <v>5839663</v>
      </c>
      <c r="H27" s="163">
        <v>6456134</v>
      </c>
      <c r="I27" s="164">
        <f t="shared" ref="I27:I34" si="10">IFERROR(H27/G27-1,"-")</f>
        <v>0.10556619448759297</v>
      </c>
      <c r="J27" s="165">
        <f t="shared" si="7"/>
        <v>3.3506763759671898</v>
      </c>
      <c r="K27" s="163">
        <f t="shared" si="8"/>
        <v>616471</v>
      </c>
      <c r="L27" s="163">
        <f t="shared" si="9"/>
        <v>4972196</v>
      </c>
      <c r="M27" s="164">
        <f t="shared" ref="M27:M34" si="11">H27/H$8</f>
        <v>0.18708051014776242</v>
      </c>
      <c r="N27" s="166"/>
    </row>
    <row r="28" spans="1:14" s="56" customFormat="1" x14ac:dyDescent="0.25">
      <c r="B28" s="162" t="s">
        <v>113</v>
      </c>
      <c r="C28" s="163">
        <v>1974764</v>
      </c>
      <c r="D28" s="163">
        <v>1813831</v>
      </c>
      <c r="E28" s="163">
        <v>510569</v>
      </c>
      <c r="F28" s="163">
        <v>851193</v>
      </c>
      <c r="G28" s="163">
        <v>1420539</v>
      </c>
      <c r="H28" s="163">
        <v>1496214</v>
      </c>
      <c r="I28" s="164">
        <f t="shared" si="10"/>
        <v>5.3272032658026269E-2</v>
      </c>
      <c r="J28" s="165">
        <f t="shared" si="7"/>
        <v>1.9304834410236422</v>
      </c>
      <c r="K28" s="163">
        <f t="shared" si="8"/>
        <v>75675</v>
      </c>
      <c r="L28" s="163">
        <f t="shared" si="9"/>
        <v>985645</v>
      </c>
      <c r="M28" s="164">
        <f t="shared" si="11"/>
        <v>4.3356051533351724E-2</v>
      </c>
      <c r="N28" s="166"/>
    </row>
    <row r="29" spans="1:14" x14ac:dyDescent="0.25">
      <c r="A29" s="1"/>
      <c r="B29" s="162" t="s">
        <v>116</v>
      </c>
      <c r="C29" s="163">
        <v>402743</v>
      </c>
      <c r="D29" s="163">
        <v>428540</v>
      </c>
      <c r="E29" s="163">
        <v>173273</v>
      </c>
      <c r="F29" s="163">
        <v>321437</v>
      </c>
      <c r="G29" s="163">
        <v>466813</v>
      </c>
      <c r="H29" s="163">
        <v>535409</v>
      </c>
      <c r="I29" s="164">
        <f t="shared" si="10"/>
        <v>0.14694535070788528</v>
      </c>
      <c r="J29" s="165">
        <f t="shared" si="7"/>
        <v>2.089973625435007</v>
      </c>
      <c r="K29" s="163">
        <f t="shared" si="8"/>
        <v>68596</v>
      </c>
      <c r="L29" s="163">
        <f t="shared" si="9"/>
        <v>362136</v>
      </c>
      <c r="M29" s="164">
        <f t="shared" si="11"/>
        <v>1.5514639079316404E-2</v>
      </c>
      <c r="N29" s="79"/>
    </row>
    <row r="30" spans="1:14" x14ac:dyDescent="0.25">
      <c r="A30" s="1"/>
      <c r="B30" s="162" t="s">
        <v>123</v>
      </c>
      <c r="C30" s="163">
        <v>530274</v>
      </c>
      <c r="D30" s="163">
        <v>502164</v>
      </c>
      <c r="E30" s="163">
        <v>134940</v>
      </c>
      <c r="F30" s="163">
        <v>321774</v>
      </c>
      <c r="G30" s="163">
        <v>583899</v>
      </c>
      <c r="H30" s="163">
        <v>553235</v>
      </c>
      <c r="I30" s="164">
        <f t="shared" si="10"/>
        <v>-5.2515931693666196E-2</v>
      </c>
      <c r="J30" s="165">
        <f t="shared" si="7"/>
        <v>3.099859196680006</v>
      </c>
      <c r="K30" s="163">
        <f t="shared" si="8"/>
        <v>-30664</v>
      </c>
      <c r="L30" s="163">
        <f t="shared" si="9"/>
        <v>418295</v>
      </c>
      <c r="M30" s="164">
        <f t="shared" si="11"/>
        <v>1.6031186160571843E-2</v>
      </c>
      <c r="N30" s="79"/>
    </row>
    <row r="31" spans="1:14" x14ac:dyDescent="0.25">
      <c r="A31" s="1"/>
      <c r="B31" s="162" t="s">
        <v>119</v>
      </c>
      <c r="C31" s="163">
        <v>589767</v>
      </c>
      <c r="D31" s="163">
        <v>566275</v>
      </c>
      <c r="E31" s="163">
        <v>241515</v>
      </c>
      <c r="F31" s="163">
        <v>414396</v>
      </c>
      <c r="G31" s="163">
        <v>639629</v>
      </c>
      <c r="H31" s="163">
        <v>619738</v>
      </c>
      <c r="I31" s="164">
        <f t="shared" si="10"/>
        <v>-3.1097714456348902E-2</v>
      </c>
      <c r="J31" s="165">
        <f t="shared" si="7"/>
        <v>1.56604351696582</v>
      </c>
      <c r="K31" s="163">
        <f t="shared" si="8"/>
        <v>-19891</v>
      </c>
      <c r="L31" s="163">
        <f t="shared" si="9"/>
        <v>378223</v>
      </c>
      <c r="M31" s="164">
        <f t="shared" si="11"/>
        <v>1.7958255079270968E-2</v>
      </c>
      <c r="N31" s="79"/>
    </row>
    <row r="32" spans="1:14" x14ac:dyDescent="0.25">
      <c r="A32" s="1"/>
      <c r="B32" s="162" t="s">
        <v>128</v>
      </c>
      <c r="C32" s="163">
        <v>208902</v>
      </c>
      <c r="D32" s="163">
        <v>242464</v>
      </c>
      <c r="E32" s="163">
        <v>95128</v>
      </c>
      <c r="F32" s="163">
        <v>58069</v>
      </c>
      <c r="G32" s="163">
        <v>177706</v>
      </c>
      <c r="H32" s="163">
        <v>184473</v>
      </c>
      <c r="I32" s="164">
        <f t="shared" si="10"/>
        <v>3.8079749698940901E-2</v>
      </c>
      <c r="J32" s="165">
        <f t="shared" si="7"/>
        <v>0.93920822470776222</v>
      </c>
      <c r="K32" s="163">
        <f t="shared" si="8"/>
        <v>6767</v>
      </c>
      <c r="L32" s="163">
        <f t="shared" si="9"/>
        <v>89345</v>
      </c>
      <c r="M32" s="164">
        <f t="shared" si="11"/>
        <v>5.3455059867853084E-3</v>
      </c>
      <c r="N32" s="79"/>
    </row>
    <row r="33" spans="1:14" x14ac:dyDescent="0.25">
      <c r="A33" s="161" t="s">
        <v>144</v>
      </c>
      <c r="B33" s="162" t="s">
        <v>131</v>
      </c>
      <c r="C33" s="163">
        <v>290446</v>
      </c>
      <c r="D33" s="163">
        <v>276453</v>
      </c>
      <c r="E33" s="163">
        <v>106598</v>
      </c>
      <c r="F33" s="163">
        <v>43884</v>
      </c>
      <c r="G33" s="163">
        <v>147837</v>
      </c>
      <c r="H33" s="163">
        <v>187545</v>
      </c>
      <c r="I33" s="164">
        <f t="shared" si="10"/>
        <v>0.26859311268491659</v>
      </c>
      <c r="J33" s="165">
        <f t="shared" si="7"/>
        <v>0.75936696748531873</v>
      </c>
      <c r="K33" s="163">
        <f t="shared" si="8"/>
        <v>39708</v>
      </c>
      <c r="L33" s="163">
        <f t="shared" si="9"/>
        <v>80947</v>
      </c>
      <c r="M33" s="164">
        <f t="shared" si="11"/>
        <v>5.434523861441244E-3</v>
      </c>
      <c r="N33" s="79"/>
    </row>
    <row r="34" spans="1:14" x14ac:dyDescent="0.25">
      <c r="A34" s="167" t="s">
        <v>145</v>
      </c>
      <c r="B34" s="168" t="s">
        <v>145</v>
      </c>
      <c r="C34" s="169">
        <f t="shared" ref="C34" si="12">C26-SUM(C27:C33)</f>
        <v>2518263</v>
      </c>
      <c r="D34" s="169">
        <f t="shared" ref="D34:H34" si="13">D26-SUM(D27:D33)</f>
        <v>2612574</v>
      </c>
      <c r="E34" s="169">
        <f t="shared" si="13"/>
        <v>748095</v>
      </c>
      <c r="F34" s="169">
        <f t="shared" si="13"/>
        <v>1251344</v>
      </c>
      <c r="G34" s="169">
        <f t="shared" si="13"/>
        <v>2432177</v>
      </c>
      <c r="H34" s="169">
        <f t="shared" si="13"/>
        <v>2740527</v>
      </c>
      <c r="I34" s="170">
        <f t="shared" si="10"/>
        <v>0.12677942435932921</v>
      </c>
      <c r="J34" s="171">
        <f t="shared" si="7"/>
        <v>2.6633408858500593</v>
      </c>
      <c r="K34" s="169">
        <f>H34-G34</f>
        <v>308350</v>
      </c>
      <c r="L34" s="169">
        <f t="shared" si="9"/>
        <v>1992432</v>
      </c>
      <c r="M34" s="170">
        <f t="shared" si="11"/>
        <v>7.9412724276434921E-2</v>
      </c>
      <c r="N34" s="79"/>
    </row>
    <row r="35" spans="1:14" s="144" customFormat="1" x14ac:dyDescent="0.25">
      <c r="B35" s="153" t="s">
        <v>45</v>
      </c>
      <c r="C35" s="151"/>
      <c r="D35" s="151"/>
      <c r="E35" s="151"/>
      <c r="F35" s="151"/>
      <c r="G35" s="151"/>
      <c r="H35" s="151"/>
      <c r="I35" s="151"/>
      <c r="J35" s="151"/>
      <c r="K35" s="151"/>
      <c r="L35" s="151"/>
      <c r="M35" s="151"/>
    </row>
    <row r="36" spans="1:14" x14ac:dyDescent="0.25">
      <c r="A36" s="1">
        <v>3</v>
      </c>
      <c r="B36" s="154" t="s">
        <v>68</v>
      </c>
      <c r="C36" s="176">
        <v>10182826</v>
      </c>
      <c r="D36" s="176">
        <v>10093577</v>
      </c>
      <c r="E36" s="176">
        <v>2858440</v>
      </c>
      <c r="F36" s="176">
        <v>3367162</v>
      </c>
      <c r="G36" s="176">
        <v>8865243</v>
      </c>
      <c r="H36" s="176">
        <v>9739308</v>
      </c>
      <c r="I36" s="177">
        <f>IFERROR(H36/G36-1,"-")</f>
        <v>9.8594590131370285E-2</v>
      </c>
      <c r="J36" s="177">
        <f>IFERROR(H36/E36-1,"-")</f>
        <v>2.4072109262394874</v>
      </c>
      <c r="K36" s="176">
        <f>H36-G36</f>
        <v>874065</v>
      </c>
      <c r="L36" s="176">
        <f>H36-E36</f>
        <v>6880868</v>
      </c>
      <c r="M36" s="177">
        <f>H36/H$8</f>
        <v>0.28221761027980269</v>
      </c>
      <c r="N36" s="79"/>
    </row>
    <row r="37" spans="1:14" x14ac:dyDescent="0.25">
      <c r="A37" s="1" t="s">
        <v>96</v>
      </c>
      <c r="B37" s="157" t="s">
        <v>97</v>
      </c>
      <c r="C37" s="158">
        <v>676860</v>
      </c>
      <c r="D37" s="158">
        <v>614530</v>
      </c>
      <c r="E37" s="158">
        <v>241430</v>
      </c>
      <c r="F37" s="158">
        <v>350874</v>
      </c>
      <c r="G37" s="158">
        <v>513218</v>
      </c>
      <c r="H37" s="158">
        <v>576863</v>
      </c>
      <c r="I37" s="159">
        <f>IFERROR(H37/G37-1,"-")</f>
        <v>0.12401162858668235</v>
      </c>
      <c r="J37" s="160">
        <f t="shared" ref="J37:J48" si="14">IFERROR(H37/E37-1,"-")</f>
        <v>1.3893592345607422</v>
      </c>
      <c r="K37" s="158">
        <f t="shared" ref="K37:K47" si="15">H37-G37</f>
        <v>63645</v>
      </c>
      <c r="L37" s="158">
        <f t="shared" ref="L37:L48" si="16">H37-E37</f>
        <v>335433</v>
      </c>
      <c r="M37" s="159">
        <f>H37/H$8</f>
        <v>1.6715858798062228E-2</v>
      </c>
      <c r="N37" s="79"/>
    </row>
    <row r="38" spans="1:14" x14ac:dyDescent="0.25">
      <c r="A38" s="161" t="s">
        <v>103</v>
      </c>
      <c r="B38" s="162" t="s">
        <v>103</v>
      </c>
      <c r="C38" s="163">
        <v>205233</v>
      </c>
      <c r="D38" s="163">
        <v>210543</v>
      </c>
      <c r="E38" s="163">
        <v>92534</v>
      </c>
      <c r="F38" s="163">
        <v>131066</v>
      </c>
      <c r="G38" s="163">
        <v>155108</v>
      </c>
      <c r="H38" s="163">
        <v>218201</v>
      </c>
      <c r="I38" s="164">
        <f>IFERROR(H38/G38-1,"-")</f>
        <v>0.4067681873275395</v>
      </c>
      <c r="J38" s="165">
        <f t="shared" si="14"/>
        <v>1.3580629822551709</v>
      </c>
      <c r="K38" s="163">
        <f t="shared" si="15"/>
        <v>63093</v>
      </c>
      <c r="L38" s="163">
        <f t="shared" si="16"/>
        <v>125667</v>
      </c>
      <c r="M38" s="164">
        <f>H38/H$8</f>
        <v>6.3228480689452712E-3</v>
      </c>
      <c r="N38" s="79"/>
    </row>
    <row r="39" spans="1:14" x14ac:dyDescent="0.25">
      <c r="A39" s="161" t="s">
        <v>100</v>
      </c>
      <c r="B39" s="162" t="s">
        <v>100</v>
      </c>
      <c r="C39" s="163">
        <v>471627</v>
      </c>
      <c r="D39" s="163">
        <v>403987</v>
      </c>
      <c r="E39" s="163">
        <v>148896</v>
      </c>
      <c r="F39" s="163">
        <v>219808</v>
      </c>
      <c r="G39" s="163">
        <v>358110</v>
      </c>
      <c r="H39" s="163">
        <v>358662</v>
      </c>
      <c r="I39" s="164">
        <f>IFERROR(H39/G39-1,"-")</f>
        <v>1.5414258188823915E-3</v>
      </c>
      <c r="J39" s="165">
        <f t="shared" si="14"/>
        <v>1.4088088330109607</v>
      </c>
      <c r="K39" s="163">
        <f t="shared" si="15"/>
        <v>552</v>
      </c>
      <c r="L39" s="163">
        <f t="shared" si="16"/>
        <v>209766</v>
      </c>
      <c r="M39" s="164">
        <f>H39/H$8</f>
        <v>1.0393010729116955E-2</v>
      </c>
      <c r="N39" s="79"/>
    </row>
    <row r="40" spans="1:14" x14ac:dyDescent="0.25">
      <c r="A40" s="1"/>
      <c r="B40" s="157" t="s">
        <v>107</v>
      </c>
      <c r="C40" s="158">
        <v>9505966</v>
      </c>
      <c r="D40" s="158">
        <v>9479047</v>
      </c>
      <c r="E40" s="158">
        <v>2617010</v>
      </c>
      <c r="F40" s="158">
        <v>3016288</v>
      </c>
      <c r="G40" s="158">
        <v>8352025</v>
      </c>
      <c r="H40" s="158">
        <v>9162445</v>
      </c>
      <c r="I40" s="159">
        <f>IFERROR(H40/G40-1,"-")</f>
        <v>9.7032755529347758E-2</v>
      </c>
      <c r="J40" s="160">
        <f t="shared" si="14"/>
        <v>2.5011119560108672</v>
      </c>
      <c r="K40" s="158">
        <f t="shared" si="15"/>
        <v>810420</v>
      </c>
      <c r="L40" s="158">
        <f t="shared" si="16"/>
        <v>6545435</v>
      </c>
      <c r="M40" s="159">
        <f>H40/H$8</f>
        <v>0.26550175148174049</v>
      </c>
      <c r="N40" s="79"/>
    </row>
    <row r="41" spans="1:14" s="56" customFormat="1" x14ac:dyDescent="0.25">
      <c r="B41" s="162" t="s">
        <v>110</v>
      </c>
      <c r="C41" s="163">
        <v>4765036</v>
      </c>
      <c r="D41" s="163">
        <v>5094935</v>
      </c>
      <c r="E41" s="163">
        <v>1173619</v>
      </c>
      <c r="F41" s="163">
        <v>1066343</v>
      </c>
      <c r="G41" s="163">
        <v>4256430</v>
      </c>
      <c r="H41" s="163">
        <v>4628153</v>
      </c>
      <c r="I41" s="164">
        <f t="shared" ref="I41:I48" si="17">IFERROR(H41/G41-1,"-")</f>
        <v>8.7332106953479816E-2</v>
      </c>
      <c r="J41" s="165">
        <f t="shared" si="14"/>
        <v>2.9434884745390115</v>
      </c>
      <c r="K41" s="163">
        <f t="shared" si="15"/>
        <v>371723</v>
      </c>
      <c r="L41" s="163">
        <f t="shared" si="16"/>
        <v>3454534</v>
      </c>
      <c r="M41" s="164">
        <f t="shared" ref="M41:M48" si="18">H41/H$8</f>
        <v>0.13411078894612427</v>
      </c>
      <c r="N41" s="166"/>
    </row>
    <row r="42" spans="1:14" s="56" customFormat="1" x14ac:dyDescent="0.25">
      <c r="B42" s="162" t="s">
        <v>113</v>
      </c>
      <c r="C42" s="163">
        <v>637223</v>
      </c>
      <c r="D42" s="163">
        <v>470924</v>
      </c>
      <c r="E42" s="163">
        <v>139836</v>
      </c>
      <c r="F42" s="163">
        <v>174981</v>
      </c>
      <c r="G42" s="163">
        <v>311196</v>
      </c>
      <c r="H42" s="163">
        <v>358380</v>
      </c>
      <c r="I42" s="164">
        <f t="shared" si="17"/>
        <v>0.15162148613735393</v>
      </c>
      <c r="J42" s="165">
        <f t="shared" si="14"/>
        <v>1.5628593495237277</v>
      </c>
      <c r="K42" s="163">
        <f t="shared" si="15"/>
        <v>47184</v>
      </c>
      <c r="L42" s="163">
        <f t="shared" si="16"/>
        <v>218544</v>
      </c>
      <c r="M42" s="164">
        <f t="shared" si="18"/>
        <v>1.0384839166404399E-2</v>
      </c>
      <c r="N42" s="166"/>
    </row>
    <row r="43" spans="1:14" x14ac:dyDescent="0.25">
      <c r="A43" s="1"/>
      <c r="B43" s="162" t="s">
        <v>116</v>
      </c>
      <c r="C43" s="163">
        <v>179800</v>
      </c>
      <c r="D43" s="163">
        <v>178407</v>
      </c>
      <c r="E43" s="163">
        <v>67848</v>
      </c>
      <c r="F43" s="163">
        <v>127385</v>
      </c>
      <c r="G43" s="163">
        <v>198903</v>
      </c>
      <c r="H43" s="163">
        <v>247793</v>
      </c>
      <c r="I43" s="164">
        <f t="shared" si="17"/>
        <v>0.24579820314424627</v>
      </c>
      <c r="J43" s="165">
        <f t="shared" si="14"/>
        <v>2.6521783987737293</v>
      </c>
      <c r="K43" s="163">
        <f t="shared" si="15"/>
        <v>48890</v>
      </c>
      <c r="L43" s="163">
        <f t="shared" si="16"/>
        <v>179945</v>
      </c>
      <c r="M43" s="164">
        <f t="shared" si="18"/>
        <v>7.1803405646544043E-3</v>
      </c>
      <c r="N43" s="79"/>
    </row>
    <row r="44" spans="1:14" x14ac:dyDescent="0.25">
      <c r="A44" s="1"/>
      <c r="B44" s="162" t="s">
        <v>123</v>
      </c>
      <c r="C44" s="163">
        <v>472273</v>
      </c>
      <c r="D44" s="163">
        <v>451476</v>
      </c>
      <c r="E44" s="163">
        <v>124287</v>
      </c>
      <c r="F44" s="163">
        <v>239923</v>
      </c>
      <c r="G44" s="163">
        <v>477050</v>
      </c>
      <c r="H44" s="163">
        <v>501096</v>
      </c>
      <c r="I44" s="164">
        <f t="shared" si="17"/>
        <v>5.0405617859763163E-2</v>
      </c>
      <c r="J44" s="165">
        <f t="shared" si="14"/>
        <v>3.0317651886359798</v>
      </c>
      <c r="K44" s="163">
        <f t="shared" si="15"/>
        <v>24046</v>
      </c>
      <c r="L44" s="163">
        <f t="shared" si="16"/>
        <v>376809</v>
      </c>
      <c r="M44" s="164">
        <f t="shared" si="18"/>
        <v>1.4520345351103798E-2</v>
      </c>
      <c r="N44" s="79"/>
    </row>
    <row r="45" spans="1:14" x14ac:dyDescent="0.25">
      <c r="A45" s="1"/>
      <c r="B45" s="162" t="s">
        <v>119</v>
      </c>
      <c r="C45" s="163">
        <v>354256</v>
      </c>
      <c r="D45" s="163">
        <v>353625</v>
      </c>
      <c r="E45" s="163">
        <v>131712</v>
      </c>
      <c r="F45" s="163">
        <v>184201</v>
      </c>
      <c r="G45" s="163">
        <v>318686</v>
      </c>
      <c r="H45" s="163">
        <v>374932</v>
      </c>
      <c r="I45" s="164">
        <f t="shared" si="17"/>
        <v>0.17649347633720969</v>
      </c>
      <c r="J45" s="165">
        <f t="shared" si="14"/>
        <v>1.846604713313897</v>
      </c>
      <c r="K45" s="163">
        <f t="shared" si="15"/>
        <v>56246</v>
      </c>
      <c r="L45" s="163">
        <f t="shared" si="16"/>
        <v>243220</v>
      </c>
      <c r="M45" s="164">
        <f t="shared" si="18"/>
        <v>1.0864469329589637E-2</v>
      </c>
      <c r="N45" s="79"/>
    </row>
    <row r="46" spans="1:14" x14ac:dyDescent="0.25">
      <c r="A46" s="1"/>
      <c r="B46" s="162" t="s">
        <v>128</v>
      </c>
      <c r="C46" s="163">
        <v>243705</v>
      </c>
      <c r="D46" s="163">
        <v>227686</v>
      </c>
      <c r="E46" s="163">
        <v>86739</v>
      </c>
      <c r="F46" s="163">
        <v>81833</v>
      </c>
      <c r="G46" s="163">
        <v>185692</v>
      </c>
      <c r="H46" s="163">
        <v>188339</v>
      </c>
      <c r="I46" s="164">
        <f t="shared" si="17"/>
        <v>1.4254787497576693E-2</v>
      </c>
      <c r="J46" s="165">
        <f t="shared" si="14"/>
        <v>1.1713300822006247</v>
      </c>
      <c r="K46" s="163">
        <f t="shared" si="15"/>
        <v>2647</v>
      </c>
      <c r="L46" s="163">
        <f t="shared" si="16"/>
        <v>101600</v>
      </c>
      <c r="M46" s="164">
        <f t="shared" si="18"/>
        <v>5.4575317365964564E-3</v>
      </c>
      <c r="N46" s="79"/>
    </row>
    <row r="47" spans="1:14" x14ac:dyDescent="0.25">
      <c r="A47" s="161" t="s">
        <v>144</v>
      </c>
      <c r="B47" s="162" t="s">
        <v>131</v>
      </c>
      <c r="C47" s="163">
        <v>418610</v>
      </c>
      <c r="D47" s="163">
        <v>366669</v>
      </c>
      <c r="E47" s="163">
        <v>150036</v>
      </c>
      <c r="F47" s="163">
        <v>88248</v>
      </c>
      <c r="G47" s="163">
        <v>188228</v>
      </c>
      <c r="H47" s="163">
        <v>224522</v>
      </c>
      <c r="I47" s="164">
        <f t="shared" si="17"/>
        <v>0.19281934674968659</v>
      </c>
      <c r="J47" s="165">
        <f t="shared" si="14"/>
        <v>0.49645418432909438</v>
      </c>
      <c r="K47" s="163">
        <f t="shared" si="15"/>
        <v>36294</v>
      </c>
      <c r="L47" s="163">
        <f t="shared" si="16"/>
        <v>74486</v>
      </c>
      <c r="M47" s="164">
        <f t="shared" si="18"/>
        <v>6.5060127778320456E-3</v>
      </c>
      <c r="N47" s="79"/>
    </row>
    <row r="48" spans="1:14" x14ac:dyDescent="0.25">
      <c r="A48" s="167" t="s">
        <v>145</v>
      </c>
      <c r="B48" s="168" t="s">
        <v>145</v>
      </c>
      <c r="C48" s="169">
        <f t="shared" ref="C48:H48" si="19">C40-SUM(C41:C47)</f>
        <v>2435063</v>
      </c>
      <c r="D48" s="169">
        <f t="shared" si="19"/>
        <v>2335325</v>
      </c>
      <c r="E48" s="169">
        <f t="shared" si="19"/>
        <v>742933</v>
      </c>
      <c r="F48" s="169">
        <f t="shared" si="19"/>
        <v>1053374</v>
      </c>
      <c r="G48" s="169">
        <f t="shared" si="19"/>
        <v>2415840</v>
      </c>
      <c r="H48" s="169">
        <f t="shared" si="19"/>
        <v>2639230</v>
      </c>
      <c r="I48" s="170">
        <f t="shared" si="17"/>
        <v>9.2468872110735845E-2</v>
      </c>
      <c r="J48" s="171">
        <f t="shared" si="14"/>
        <v>2.5524468559075988</v>
      </c>
      <c r="K48" s="169">
        <f>H48-G48</f>
        <v>223390</v>
      </c>
      <c r="L48" s="169">
        <f t="shared" si="16"/>
        <v>1896297</v>
      </c>
      <c r="M48" s="170">
        <f t="shared" si="18"/>
        <v>7.6477423609435463E-2</v>
      </c>
      <c r="N48" s="79"/>
    </row>
    <row r="49" spans="1:14" s="144" customFormat="1" x14ac:dyDescent="0.25">
      <c r="B49" s="153" t="s">
        <v>46</v>
      </c>
      <c r="C49" s="151"/>
      <c r="D49" s="151"/>
      <c r="E49" s="151"/>
      <c r="F49" s="151"/>
      <c r="G49" s="151"/>
      <c r="H49" s="151"/>
      <c r="I49" s="151"/>
      <c r="J49" s="151"/>
      <c r="K49" s="151"/>
      <c r="L49" s="151"/>
      <c r="M49" s="151"/>
    </row>
    <row r="50" spans="1:14" x14ac:dyDescent="0.25">
      <c r="A50" s="1">
        <v>3</v>
      </c>
      <c r="B50" s="154" t="s">
        <v>68</v>
      </c>
      <c r="C50" s="176">
        <v>241605</v>
      </c>
      <c r="D50" s="176">
        <v>234787</v>
      </c>
      <c r="E50" s="176">
        <v>65275</v>
      </c>
      <c r="F50" s="176">
        <v>98762</v>
      </c>
      <c r="G50" s="176">
        <v>168339</v>
      </c>
      <c r="H50" s="176">
        <v>182035</v>
      </c>
      <c r="I50" s="177">
        <f>IFERROR(H50/G50-1,"-")</f>
        <v>8.1359637398344953E-2</v>
      </c>
      <c r="J50" s="177">
        <f>IFERROR(H50/E50-1,"-")</f>
        <v>1.788739946380697</v>
      </c>
      <c r="K50" s="176">
        <f>H50-G50</f>
        <v>13696</v>
      </c>
      <c r="L50" s="176">
        <f>H50-E50</f>
        <v>116760</v>
      </c>
      <c r="M50" s="177">
        <f>H50/H$8</f>
        <v>5.274859639646255E-3</v>
      </c>
      <c r="N50" s="79"/>
    </row>
    <row r="51" spans="1:14" x14ac:dyDescent="0.25">
      <c r="A51" s="1" t="s">
        <v>96</v>
      </c>
      <c r="B51" s="157" t="s">
        <v>97</v>
      </c>
      <c r="C51" s="158">
        <v>33536</v>
      </c>
      <c r="D51" s="158">
        <v>30969</v>
      </c>
      <c r="E51" s="158">
        <v>6950</v>
      </c>
      <c r="F51" s="158">
        <v>17286</v>
      </c>
      <c r="G51" s="158">
        <v>21218</v>
      </c>
      <c r="H51" s="158">
        <v>40235</v>
      </c>
      <c r="I51" s="159">
        <f>IFERROR(H51/G51-1,"-")</f>
        <v>0.89626732019983035</v>
      </c>
      <c r="J51" s="160">
        <f t="shared" ref="J51:J62" si="20">IFERROR(H51/E51-1,"-")</f>
        <v>4.7892086330935255</v>
      </c>
      <c r="K51" s="158">
        <f t="shared" ref="K51:K61" si="21">H51-G51</f>
        <v>19017</v>
      </c>
      <c r="L51" s="158">
        <f t="shared" ref="L51:L62" si="22">H51-E51</f>
        <v>33285</v>
      </c>
      <c r="M51" s="159">
        <f>H51/H$8</f>
        <v>1.1658965451762961E-3</v>
      </c>
      <c r="N51" s="79"/>
    </row>
    <row r="52" spans="1:14" x14ac:dyDescent="0.25">
      <c r="A52" s="161" t="s">
        <v>103</v>
      </c>
      <c r="B52" s="162" t="s">
        <v>103</v>
      </c>
      <c r="C52" s="163">
        <v>18429</v>
      </c>
      <c r="D52" s="163">
        <v>12961</v>
      </c>
      <c r="E52" s="163">
        <v>5003</v>
      </c>
      <c r="F52" s="163">
        <v>6990</v>
      </c>
      <c r="G52" s="163">
        <v>6990</v>
      </c>
      <c r="H52" s="163">
        <v>25164</v>
      </c>
      <c r="I52" s="164">
        <f>IFERROR(H52/G52-1,"-")</f>
        <v>2.6</v>
      </c>
      <c r="J52" s="165">
        <f t="shared" si="20"/>
        <v>4.0297821307215669</v>
      </c>
      <c r="K52" s="163">
        <f t="shared" si="21"/>
        <v>18174</v>
      </c>
      <c r="L52" s="163">
        <f t="shared" si="22"/>
        <v>20161</v>
      </c>
      <c r="M52" s="164">
        <f>H52/H$8</f>
        <v>7.2918157481835011E-4</v>
      </c>
      <c r="N52" s="79"/>
    </row>
    <row r="53" spans="1:14" x14ac:dyDescent="0.25">
      <c r="A53" s="161" t="s">
        <v>100</v>
      </c>
      <c r="B53" s="162" t="s">
        <v>100</v>
      </c>
      <c r="C53" s="163">
        <v>15107</v>
      </c>
      <c r="D53" s="163">
        <v>18008</v>
      </c>
      <c r="E53" s="163">
        <v>1947</v>
      </c>
      <c r="F53" s="163">
        <v>10296</v>
      </c>
      <c r="G53" s="163">
        <v>14228</v>
      </c>
      <c r="H53" s="163">
        <v>15071</v>
      </c>
      <c r="I53" s="164">
        <f>IFERROR(H53/G53-1,"-")</f>
        <v>5.924936744447562E-2</v>
      </c>
      <c r="J53" s="165">
        <f t="shared" si="20"/>
        <v>6.740626605033385</v>
      </c>
      <c r="K53" s="163">
        <f t="shared" si="21"/>
        <v>843</v>
      </c>
      <c r="L53" s="163">
        <f t="shared" si="22"/>
        <v>13124</v>
      </c>
      <c r="M53" s="164">
        <f>H53/H$8</f>
        <v>4.3671497035794601E-4</v>
      </c>
      <c r="N53" s="79"/>
    </row>
    <row r="54" spans="1:14" x14ac:dyDescent="0.25">
      <c r="A54" s="1"/>
      <c r="B54" s="157" t="s">
        <v>107</v>
      </c>
      <c r="C54" s="158">
        <v>208069</v>
      </c>
      <c r="D54" s="158">
        <v>203818</v>
      </c>
      <c r="E54" s="158">
        <v>58325</v>
      </c>
      <c r="F54" s="158">
        <v>81476</v>
      </c>
      <c r="G54" s="158">
        <v>147121</v>
      </c>
      <c r="H54" s="158">
        <v>141800</v>
      </c>
      <c r="I54" s="159">
        <f>IFERROR(H54/G54-1,"-")</f>
        <v>-3.6167508377457969E-2</v>
      </c>
      <c r="J54" s="160">
        <f t="shared" si="20"/>
        <v>1.4312044577796827</v>
      </c>
      <c r="K54" s="158">
        <f t="shared" si="21"/>
        <v>-5321</v>
      </c>
      <c r="L54" s="158">
        <f t="shared" si="22"/>
        <v>83475</v>
      </c>
      <c r="M54" s="159">
        <f>H54/H$8</f>
        <v>4.108963094469959E-3</v>
      </c>
      <c r="N54" s="79"/>
    </row>
    <row r="55" spans="1:14" s="56" customFormat="1" x14ac:dyDescent="0.25">
      <c r="B55" s="162" t="s">
        <v>110</v>
      </c>
      <c r="C55" s="163">
        <v>68012</v>
      </c>
      <c r="D55" s="163">
        <v>67733</v>
      </c>
      <c r="E55" s="163">
        <v>19771</v>
      </c>
      <c r="F55" s="163">
        <v>20693</v>
      </c>
      <c r="G55" s="163">
        <v>65122</v>
      </c>
      <c r="H55" s="163">
        <v>55484</v>
      </c>
      <c r="I55" s="164">
        <f t="shared" ref="I55:I62" si="23">IFERROR(H55/G55-1,"-")</f>
        <v>-0.14799914007555048</v>
      </c>
      <c r="J55" s="165">
        <f t="shared" si="20"/>
        <v>1.806332507207526</v>
      </c>
      <c r="K55" s="163">
        <f t="shared" si="21"/>
        <v>-9638</v>
      </c>
      <c r="L55" s="163">
        <f t="shared" si="22"/>
        <v>35713</v>
      </c>
      <c r="M55" s="164">
        <f t="shared" ref="M55:M62" si="24">H55/H$8</f>
        <v>1.6077694522818842E-3</v>
      </c>
      <c r="N55" s="166"/>
    </row>
    <row r="56" spans="1:14" s="56" customFormat="1" x14ac:dyDescent="0.25">
      <c r="B56" s="162" t="s">
        <v>113</v>
      </c>
      <c r="C56" s="163">
        <v>80523</v>
      </c>
      <c r="D56" s="163">
        <v>69940</v>
      </c>
      <c r="E56" s="163">
        <v>18669</v>
      </c>
      <c r="F56" s="163">
        <v>31230</v>
      </c>
      <c r="G56" s="163">
        <v>34084</v>
      </c>
      <c r="H56" s="163">
        <v>34465</v>
      </c>
      <c r="I56" s="164">
        <f t="shared" si="23"/>
        <v>1.117826546180023E-2</v>
      </c>
      <c r="J56" s="165">
        <f t="shared" si="20"/>
        <v>0.84610852214901699</v>
      </c>
      <c r="K56" s="163">
        <f t="shared" si="21"/>
        <v>381</v>
      </c>
      <c r="L56" s="163">
        <f t="shared" si="22"/>
        <v>15796</v>
      </c>
      <c r="M56" s="164">
        <f t="shared" si="24"/>
        <v>9.9869825846902061E-4</v>
      </c>
      <c r="N56" s="166"/>
    </row>
    <row r="57" spans="1:14" x14ac:dyDescent="0.25">
      <c r="A57" s="1"/>
      <c r="B57" s="162" t="s">
        <v>116</v>
      </c>
      <c r="C57" s="163">
        <v>4813</v>
      </c>
      <c r="D57" s="163">
        <v>6792</v>
      </c>
      <c r="E57" s="163">
        <v>1519</v>
      </c>
      <c r="F57" s="163">
        <v>3873</v>
      </c>
      <c r="G57" s="163">
        <v>6397</v>
      </c>
      <c r="H57" s="163">
        <v>6784</v>
      </c>
      <c r="I57" s="164">
        <f t="shared" si="23"/>
        <v>6.0497108019384127E-2</v>
      </c>
      <c r="J57" s="165">
        <f t="shared" si="20"/>
        <v>3.4660961158657013</v>
      </c>
      <c r="K57" s="163">
        <f t="shared" si="21"/>
        <v>387</v>
      </c>
      <c r="L57" s="163">
        <f t="shared" si="22"/>
        <v>5265</v>
      </c>
      <c r="M57" s="164">
        <f t="shared" si="24"/>
        <v>1.9658113986519181E-4</v>
      </c>
      <c r="N57" s="79"/>
    </row>
    <row r="58" spans="1:14" x14ac:dyDescent="0.25">
      <c r="A58" s="1"/>
      <c r="B58" s="162" t="s">
        <v>123</v>
      </c>
      <c r="C58" s="163">
        <v>3199</v>
      </c>
      <c r="D58" s="163">
        <v>3713</v>
      </c>
      <c r="E58" s="163">
        <v>1082</v>
      </c>
      <c r="F58" s="163">
        <v>2191</v>
      </c>
      <c r="G58" s="163">
        <v>3053</v>
      </c>
      <c r="H58" s="163">
        <v>2811</v>
      </c>
      <c r="I58" s="164">
        <f t="shared" si="23"/>
        <v>-7.9266295447101176E-2</v>
      </c>
      <c r="J58" s="165">
        <f t="shared" si="20"/>
        <v>1.5979667282809613</v>
      </c>
      <c r="K58" s="163">
        <f t="shared" si="21"/>
        <v>-242</v>
      </c>
      <c r="L58" s="163">
        <f t="shared" si="22"/>
        <v>1729</v>
      </c>
      <c r="M58" s="164">
        <f t="shared" si="24"/>
        <v>8.1454832570910106E-5</v>
      </c>
      <c r="N58" s="79"/>
    </row>
    <row r="59" spans="1:14" x14ac:dyDescent="0.25">
      <c r="A59" s="1"/>
      <c r="B59" s="162" t="s">
        <v>119</v>
      </c>
      <c r="C59" s="163">
        <v>3208</v>
      </c>
      <c r="D59" s="163">
        <v>4285</v>
      </c>
      <c r="E59" s="163">
        <v>1095</v>
      </c>
      <c r="F59" s="163">
        <v>1459</v>
      </c>
      <c r="G59" s="163">
        <v>2254</v>
      </c>
      <c r="H59" s="163">
        <v>2628</v>
      </c>
      <c r="I59" s="164">
        <f t="shared" si="23"/>
        <v>0.16592724046140206</v>
      </c>
      <c r="J59" s="165">
        <f t="shared" si="20"/>
        <v>1.4</v>
      </c>
      <c r="K59" s="163">
        <f t="shared" si="21"/>
        <v>374</v>
      </c>
      <c r="L59" s="163">
        <f t="shared" si="22"/>
        <v>1533</v>
      </c>
      <c r="M59" s="164">
        <f t="shared" si="24"/>
        <v>7.6152009959570182E-5</v>
      </c>
      <c r="N59" s="79"/>
    </row>
    <row r="60" spans="1:14" x14ac:dyDescent="0.25">
      <c r="A60" s="1"/>
      <c r="B60" s="162" t="s">
        <v>128</v>
      </c>
      <c r="C60" s="163">
        <v>1979</v>
      </c>
      <c r="D60" s="163">
        <v>1783</v>
      </c>
      <c r="E60" s="163">
        <v>713</v>
      </c>
      <c r="F60" s="163">
        <v>445</v>
      </c>
      <c r="G60" s="163">
        <v>554</v>
      </c>
      <c r="H60" s="163">
        <v>804</v>
      </c>
      <c r="I60" s="164">
        <f t="shared" si="23"/>
        <v>0.45126353790613716</v>
      </c>
      <c r="J60" s="165">
        <f t="shared" si="20"/>
        <v>0.12762973352033669</v>
      </c>
      <c r="K60" s="163">
        <f t="shared" si="21"/>
        <v>250</v>
      </c>
      <c r="L60" s="163">
        <f t="shared" si="22"/>
        <v>91</v>
      </c>
      <c r="M60" s="164">
        <f t="shared" si="24"/>
        <v>2.3297646882608227E-5</v>
      </c>
      <c r="N60" s="79"/>
    </row>
    <row r="61" spans="1:14" x14ac:dyDescent="0.25">
      <c r="A61" s="161" t="s">
        <v>144</v>
      </c>
      <c r="B61" s="162" t="s">
        <v>131</v>
      </c>
      <c r="C61" s="163">
        <v>2762</v>
      </c>
      <c r="D61" s="163">
        <v>3475</v>
      </c>
      <c r="E61" s="163">
        <v>1531</v>
      </c>
      <c r="F61" s="163">
        <v>432</v>
      </c>
      <c r="G61" s="163">
        <v>418</v>
      </c>
      <c r="H61" s="163">
        <v>635</v>
      </c>
      <c r="I61" s="164">
        <f t="shared" si="23"/>
        <v>0.51913875598086134</v>
      </c>
      <c r="J61" s="165">
        <f t="shared" si="20"/>
        <v>-0.58523840627041146</v>
      </c>
      <c r="K61" s="163">
        <f t="shared" si="21"/>
        <v>217</v>
      </c>
      <c r="L61" s="163">
        <f t="shared" si="22"/>
        <v>-896</v>
      </c>
      <c r="M61" s="164">
        <f t="shared" si="24"/>
        <v>1.8400504689622169E-5</v>
      </c>
      <c r="N61" s="79"/>
    </row>
    <row r="62" spans="1:14" x14ac:dyDescent="0.25">
      <c r="A62" s="167" t="s">
        <v>145</v>
      </c>
      <c r="B62" s="168" t="s">
        <v>145</v>
      </c>
      <c r="C62" s="169">
        <f t="shared" ref="C62:H62" si="25">C54-SUM(C55:C61)</f>
        <v>43573</v>
      </c>
      <c r="D62" s="169">
        <f t="shared" si="25"/>
        <v>46097</v>
      </c>
      <c r="E62" s="169">
        <f t="shared" si="25"/>
        <v>13945</v>
      </c>
      <c r="F62" s="169">
        <f t="shared" si="25"/>
        <v>21153</v>
      </c>
      <c r="G62" s="169">
        <f t="shared" si="25"/>
        <v>35239</v>
      </c>
      <c r="H62" s="169">
        <f t="shared" si="25"/>
        <v>38189</v>
      </c>
      <c r="I62" s="170">
        <f t="shared" si="23"/>
        <v>8.3714066800987474E-2</v>
      </c>
      <c r="J62" s="171">
        <f t="shared" si="20"/>
        <v>1.7385442811043386</v>
      </c>
      <c r="K62" s="169">
        <f>H62-G62</f>
        <v>2950</v>
      </c>
      <c r="L62" s="169">
        <f t="shared" si="22"/>
        <v>24244</v>
      </c>
      <c r="M62" s="170">
        <f t="shared" si="24"/>
        <v>1.1066092497511513E-3</v>
      </c>
      <c r="N62" s="79"/>
    </row>
    <row r="63" spans="1:14" s="144" customFormat="1" x14ac:dyDescent="0.25">
      <c r="B63" s="153" t="s">
        <v>47</v>
      </c>
      <c r="C63" s="151"/>
      <c r="D63" s="151"/>
      <c r="E63" s="151"/>
      <c r="F63" s="151"/>
      <c r="G63" s="151"/>
      <c r="H63" s="151"/>
      <c r="I63" s="151"/>
      <c r="J63" s="151"/>
      <c r="K63" s="151"/>
      <c r="L63" s="151"/>
      <c r="M63" s="151"/>
    </row>
    <row r="64" spans="1:14" x14ac:dyDescent="0.25">
      <c r="A64" s="1">
        <v>3</v>
      </c>
      <c r="B64" s="154" t="s">
        <v>68</v>
      </c>
      <c r="C64" s="176">
        <v>886765</v>
      </c>
      <c r="D64" s="176">
        <v>834528</v>
      </c>
      <c r="E64" s="176">
        <v>295880</v>
      </c>
      <c r="F64" s="176">
        <v>419370</v>
      </c>
      <c r="G64" s="176">
        <v>1014697</v>
      </c>
      <c r="H64" s="176">
        <v>1034949</v>
      </c>
      <c r="I64" s="177">
        <f>IFERROR(H64/G64-1,"-")</f>
        <v>1.9958667464277546E-2</v>
      </c>
      <c r="J64" s="177">
        <f>IFERROR(H64/E64-1,"-")</f>
        <v>2.4978673786670273</v>
      </c>
      <c r="K64" s="176">
        <f>H64-G64</f>
        <v>20252</v>
      </c>
      <c r="L64" s="176">
        <f>H64-E64</f>
        <v>739069</v>
      </c>
      <c r="M64" s="177">
        <f>H64/H$8</f>
        <v>2.9989895949637441E-2</v>
      </c>
      <c r="N64" s="79"/>
    </row>
    <row r="65" spans="1:14" x14ac:dyDescent="0.25">
      <c r="A65" s="1" t="s">
        <v>96</v>
      </c>
      <c r="B65" s="157" t="s">
        <v>97</v>
      </c>
      <c r="C65" s="158">
        <v>145700</v>
      </c>
      <c r="D65" s="158">
        <v>158439</v>
      </c>
      <c r="E65" s="158">
        <v>84704</v>
      </c>
      <c r="F65" s="158">
        <v>83752</v>
      </c>
      <c r="G65" s="158">
        <v>119256</v>
      </c>
      <c r="H65" s="158">
        <v>173467</v>
      </c>
      <c r="I65" s="159">
        <f>IFERROR(H65/G65-1,"-")</f>
        <v>0.45457670892869118</v>
      </c>
      <c r="J65" s="160">
        <f t="shared" ref="J65:J76" si="26">IFERROR(H65/E65-1,"-")</f>
        <v>1.047919814884775</v>
      </c>
      <c r="K65" s="158">
        <f t="shared" ref="K65:K75" si="27">H65-G65</f>
        <v>54211</v>
      </c>
      <c r="L65" s="158">
        <f t="shared" ref="L65:L76" si="28">H65-E65</f>
        <v>88763</v>
      </c>
      <c r="M65" s="159">
        <f>H65/H$8</f>
        <v>5.0265832236136834E-3</v>
      </c>
      <c r="N65" s="79"/>
    </row>
    <row r="66" spans="1:14" x14ac:dyDescent="0.25">
      <c r="A66" s="161" t="s">
        <v>103</v>
      </c>
      <c r="B66" s="162" t="s">
        <v>103</v>
      </c>
      <c r="C66" s="163">
        <v>69901</v>
      </c>
      <c r="D66" s="163">
        <v>67992</v>
      </c>
      <c r="E66" s="163">
        <v>23458</v>
      </c>
      <c r="F66" s="163">
        <v>59324</v>
      </c>
      <c r="G66" s="163">
        <v>72718</v>
      </c>
      <c r="H66" s="163">
        <v>91538</v>
      </c>
      <c r="I66" s="164">
        <f>IFERROR(H66/G66-1,"-")</f>
        <v>0.25880799801974752</v>
      </c>
      <c r="J66" s="165">
        <f t="shared" si="26"/>
        <v>2.9022082018927446</v>
      </c>
      <c r="K66" s="163">
        <f t="shared" si="27"/>
        <v>18820</v>
      </c>
      <c r="L66" s="163">
        <f t="shared" si="28"/>
        <v>68080</v>
      </c>
      <c r="M66" s="164">
        <f>H66/H$8</f>
        <v>2.6525124382340698E-3</v>
      </c>
      <c r="N66" s="79"/>
    </row>
    <row r="67" spans="1:14" x14ac:dyDescent="0.25">
      <c r="A67" s="161" t="s">
        <v>100</v>
      </c>
      <c r="B67" s="162" t="s">
        <v>100</v>
      </c>
      <c r="C67" s="163">
        <v>75799</v>
      </c>
      <c r="D67" s="163">
        <v>90447</v>
      </c>
      <c r="E67" s="163">
        <v>61246</v>
      </c>
      <c r="F67" s="163">
        <v>24428</v>
      </c>
      <c r="G67" s="163">
        <v>46538</v>
      </c>
      <c r="H67" s="163">
        <v>81929</v>
      </c>
      <c r="I67" s="164">
        <f>IFERROR(H67/G67-1,"-")</f>
        <v>0.76047531049894701</v>
      </c>
      <c r="J67" s="165">
        <f t="shared" si="26"/>
        <v>0.33770368677138096</v>
      </c>
      <c r="K67" s="163">
        <f t="shared" si="27"/>
        <v>35391</v>
      </c>
      <c r="L67" s="163">
        <f t="shared" si="28"/>
        <v>20683</v>
      </c>
      <c r="M67" s="164">
        <f>H67/H$8</f>
        <v>2.374070785379614E-3</v>
      </c>
      <c r="N67" s="79"/>
    </row>
    <row r="68" spans="1:14" x14ac:dyDescent="0.25">
      <c r="A68" s="1"/>
      <c r="B68" s="157" t="s">
        <v>107</v>
      </c>
      <c r="C68" s="158">
        <v>741065</v>
      </c>
      <c r="D68" s="158">
        <v>676089</v>
      </c>
      <c r="E68" s="158">
        <v>211176</v>
      </c>
      <c r="F68" s="158">
        <v>335618</v>
      </c>
      <c r="G68" s="158">
        <v>895441</v>
      </c>
      <c r="H68" s="158">
        <v>861482</v>
      </c>
      <c r="I68" s="159">
        <f>IFERROR(H68/G68-1,"-")</f>
        <v>-3.792433002286022E-2</v>
      </c>
      <c r="J68" s="160">
        <f t="shared" si="26"/>
        <v>3.0794503163238245</v>
      </c>
      <c r="K68" s="158">
        <f t="shared" si="27"/>
        <v>-33959</v>
      </c>
      <c r="L68" s="158">
        <f t="shared" si="28"/>
        <v>650306</v>
      </c>
      <c r="M68" s="159">
        <f>H68/H$8</f>
        <v>2.496331272602376E-2</v>
      </c>
      <c r="N68" s="79"/>
    </row>
    <row r="69" spans="1:14" s="56" customFormat="1" x14ac:dyDescent="0.25">
      <c r="B69" s="162" t="s">
        <v>110</v>
      </c>
      <c r="C69" s="163">
        <v>336435</v>
      </c>
      <c r="D69" s="163">
        <v>286315</v>
      </c>
      <c r="E69" s="163">
        <v>94120</v>
      </c>
      <c r="F69" s="163">
        <v>85414</v>
      </c>
      <c r="G69" s="163">
        <v>399420</v>
      </c>
      <c r="H69" s="163">
        <v>324780</v>
      </c>
      <c r="I69" s="164">
        <f t="shared" ref="I69:I76" si="29">IFERROR(H69/G69-1,"-")</f>
        <v>-0.18687096289619953</v>
      </c>
      <c r="J69" s="165">
        <f t="shared" si="26"/>
        <v>2.4507012324691884</v>
      </c>
      <c r="K69" s="163">
        <f t="shared" si="27"/>
        <v>-74640</v>
      </c>
      <c r="L69" s="163">
        <f t="shared" si="28"/>
        <v>230660</v>
      </c>
      <c r="M69" s="164">
        <f t="shared" ref="M69:M76" si="30">H69/H$8</f>
        <v>9.4112061623550999E-3</v>
      </c>
      <c r="N69" s="166"/>
    </row>
    <row r="70" spans="1:14" s="56" customFormat="1" x14ac:dyDescent="0.25">
      <c r="B70" s="162" t="s">
        <v>113</v>
      </c>
      <c r="C70" s="163">
        <v>118837</v>
      </c>
      <c r="D70" s="163">
        <v>94492</v>
      </c>
      <c r="E70" s="163">
        <v>27344</v>
      </c>
      <c r="F70" s="163">
        <v>36140</v>
      </c>
      <c r="G70" s="163">
        <v>56705</v>
      </c>
      <c r="H70" s="163">
        <v>85292</v>
      </c>
      <c r="I70" s="164">
        <f t="shared" si="29"/>
        <v>0.50413543779208192</v>
      </c>
      <c r="J70" s="165">
        <f t="shared" si="26"/>
        <v>2.1192217671152722</v>
      </c>
      <c r="K70" s="163">
        <f t="shared" si="27"/>
        <v>28587</v>
      </c>
      <c r="L70" s="163">
        <f t="shared" si="28"/>
        <v>57948</v>
      </c>
      <c r="M70" s="164">
        <f t="shared" si="30"/>
        <v>2.4715210173027625E-3</v>
      </c>
      <c r="N70" s="166"/>
    </row>
    <row r="71" spans="1:14" x14ac:dyDescent="0.25">
      <c r="A71" s="1"/>
      <c r="B71" s="162" t="s">
        <v>116</v>
      </c>
      <c r="C71" s="163">
        <v>45738</v>
      </c>
      <c r="D71" s="163">
        <v>75234</v>
      </c>
      <c r="E71" s="163">
        <v>21566</v>
      </c>
      <c r="F71" s="163">
        <v>44372</v>
      </c>
      <c r="G71" s="163">
        <v>126795</v>
      </c>
      <c r="H71" s="163">
        <v>108706</v>
      </c>
      <c r="I71" s="164">
        <f t="shared" si="29"/>
        <v>-0.14266335423321108</v>
      </c>
      <c r="J71" s="165">
        <f t="shared" si="26"/>
        <v>4.0406194936474078</v>
      </c>
      <c r="K71" s="163">
        <f t="shared" si="27"/>
        <v>-18089</v>
      </c>
      <c r="L71" s="163">
        <f t="shared" si="28"/>
        <v>87140</v>
      </c>
      <c r="M71" s="164">
        <f t="shared" si="30"/>
        <v>3.1499925398268784E-3</v>
      </c>
      <c r="N71" s="79"/>
    </row>
    <row r="72" spans="1:14" x14ac:dyDescent="0.25">
      <c r="A72" s="1"/>
      <c r="B72" s="162" t="s">
        <v>123</v>
      </c>
      <c r="C72" s="163">
        <v>18146</v>
      </c>
      <c r="D72" s="163">
        <v>11792</v>
      </c>
      <c r="E72" s="163">
        <v>3914</v>
      </c>
      <c r="F72" s="163">
        <v>28426</v>
      </c>
      <c r="G72" s="163">
        <v>25157</v>
      </c>
      <c r="H72" s="163">
        <v>26613</v>
      </c>
      <c r="I72" s="164">
        <f t="shared" si="29"/>
        <v>5.7876535357952008E-2</v>
      </c>
      <c r="J72" s="165">
        <f t="shared" si="26"/>
        <v>5.7994379151762905</v>
      </c>
      <c r="K72" s="163">
        <f t="shared" si="27"/>
        <v>1456</v>
      </c>
      <c r="L72" s="163">
        <f t="shared" si="28"/>
        <v>22699</v>
      </c>
      <c r="M72" s="164">
        <f t="shared" si="30"/>
        <v>7.7116949811797605E-4</v>
      </c>
      <c r="N72" s="79"/>
    </row>
    <row r="73" spans="1:14" x14ac:dyDescent="0.25">
      <c r="A73" s="1"/>
      <c r="B73" s="162" t="s">
        <v>119</v>
      </c>
      <c r="C73" s="163">
        <v>19067</v>
      </c>
      <c r="D73" s="163">
        <v>17507</v>
      </c>
      <c r="E73" s="163">
        <v>8571</v>
      </c>
      <c r="F73" s="163">
        <v>16869</v>
      </c>
      <c r="G73" s="163">
        <v>22926</v>
      </c>
      <c r="H73" s="163">
        <v>17467</v>
      </c>
      <c r="I73" s="164">
        <f t="shared" si="29"/>
        <v>-0.23811393178051121</v>
      </c>
      <c r="J73" s="165">
        <f t="shared" si="26"/>
        <v>1.0379185625947964</v>
      </c>
      <c r="K73" s="163">
        <f t="shared" si="27"/>
        <v>-5459</v>
      </c>
      <c r="L73" s="163">
        <f t="shared" si="28"/>
        <v>8896</v>
      </c>
      <c r="M73" s="164">
        <f t="shared" si="30"/>
        <v>5.0614427624193767E-4</v>
      </c>
      <c r="N73" s="79"/>
    </row>
    <row r="74" spans="1:14" x14ac:dyDescent="0.25">
      <c r="A74" s="1"/>
      <c r="B74" s="162" t="s">
        <v>128</v>
      </c>
      <c r="C74" s="163">
        <v>9817</v>
      </c>
      <c r="D74" s="163">
        <v>15819</v>
      </c>
      <c r="E74" s="163">
        <v>5541</v>
      </c>
      <c r="F74" s="163">
        <v>14404</v>
      </c>
      <c r="G74" s="163">
        <v>20957</v>
      </c>
      <c r="H74" s="163">
        <v>26801</v>
      </c>
      <c r="I74" s="164">
        <f t="shared" si="29"/>
        <v>0.27885670658968364</v>
      </c>
      <c r="J74" s="165">
        <f t="shared" si="26"/>
        <v>3.8368525536906697</v>
      </c>
      <c r="K74" s="163">
        <f t="shared" si="27"/>
        <v>5844</v>
      </c>
      <c r="L74" s="163">
        <f t="shared" si="28"/>
        <v>21260</v>
      </c>
      <c r="M74" s="164">
        <f t="shared" si="30"/>
        <v>7.7661720659301381E-4</v>
      </c>
      <c r="N74" s="79"/>
    </row>
    <row r="75" spans="1:14" x14ac:dyDescent="0.25">
      <c r="A75" s="161" t="s">
        <v>144</v>
      </c>
      <c r="B75" s="162" t="s">
        <v>131</v>
      </c>
      <c r="C75" s="163">
        <v>13718</v>
      </c>
      <c r="D75" s="163">
        <v>12733</v>
      </c>
      <c r="E75" s="163">
        <v>5018</v>
      </c>
      <c r="F75" s="163">
        <v>1659</v>
      </c>
      <c r="G75" s="163">
        <v>6100</v>
      </c>
      <c r="H75" s="163">
        <v>7680</v>
      </c>
      <c r="I75" s="164">
        <f t="shared" si="29"/>
        <v>0.25901639344262306</v>
      </c>
      <c r="J75" s="165">
        <f t="shared" si="26"/>
        <v>0.53049023515344751</v>
      </c>
      <c r="K75" s="163">
        <f t="shared" si="27"/>
        <v>1580</v>
      </c>
      <c r="L75" s="163">
        <f t="shared" si="28"/>
        <v>2662</v>
      </c>
      <c r="M75" s="164">
        <f t="shared" si="30"/>
        <v>2.225446866398398E-4</v>
      </c>
      <c r="N75" s="79"/>
    </row>
    <row r="76" spans="1:14" x14ac:dyDescent="0.25">
      <c r="A76" s="167" t="s">
        <v>145</v>
      </c>
      <c r="B76" s="168" t="s">
        <v>145</v>
      </c>
      <c r="C76" s="169">
        <f t="shared" ref="C76:H76" si="31">C68-SUM(C69:C75)</f>
        <v>179307</v>
      </c>
      <c r="D76" s="169">
        <f t="shared" si="31"/>
        <v>162197</v>
      </c>
      <c r="E76" s="169">
        <f t="shared" si="31"/>
        <v>45102</v>
      </c>
      <c r="F76" s="169">
        <f t="shared" si="31"/>
        <v>108334</v>
      </c>
      <c r="G76" s="169">
        <f t="shared" si="31"/>
        <v>237381</v>
      </c>
      <c r="H76" s="169">
        <f t="shared" si="31"/>
        <v>264143</v>
      </c>
      <c r="I76" s="170">
        <f t="shared" si="29"/>
        <v>0.11273859323197732</v>
      </c>
      <c r="J76" s="171">
        <f t="shared" si="26"/>
        <v>4.8565695534566098</v>
      </c>
      <c r="K76" s="169">
        <f>H76-G76</f>
        <v>26762</v>
      </c>
      <c r="L76" s="169">
        <f t="shared" si="28"/>
        <v>219041</v>
      </c>
      <c r="M76" s="170">
        <f t="shared" si="30"/>
        <v>7.6541173389462506E-3</v>
      </c>
      <c r="N76" s="79"/>
    </row>
    <row r="77" spans="1:14" s="144" customFormat="1" x14ac:dyDescent="0.25">
      <c r="B77" s="153" t="s">
        <v>48</v>
      </c>
      <c r="C77" s="151"/>
      <c r="D77" s="151"/>
      <c r="E77" s="151"/>
      <c r="F77" s="151"/>
      <c r="G77" s="151"/>
      <c r="H77" s="151"/>
      <c r="I77" s="151"/>
      <c r="J77" s="151"/>
      <c r="K77" s="151"/>
      <c r="L77" s="151"/>
      <c r="M77" s="151"/>
    </row>
    <row r="78" spans="1:14" x14ac:dyDescent="0.25">
      <c r="A78" s="1">
        <v>3</v>
      </c>
      <c r="B78" s="154" t="s">
        <v>68</v>
      </c>
      <c r="C78" s="176">
        <v>5815260</v>
      </c>
      <c r="D78" s="176">
        <v>5492551</v>
      </c>
      <c r="E78" s="176">
        <v>1546641</v>
      </c>
      <c r="F78" s="176">
        <v>1967362</v>
      </c>
      <c r="G78" s="176">
        <v>4352393</v>
      </c>
      <c r="H78" s="176">
        <v>5123327</v>
      </c>
      <c r="I78" s="177">
        <f>IFERROR(H78/G78-1,"-")</f>
        <v>0.17712876571577985</v>
      </c>
      <c r="J78" s="177">
        <f>IFERROR(H78/E78-1,"-")</f>
        <v>2.312550876383078</v>
      </c>
      <c r="K78" s="176">
        <f>H78-G78</f>
        <v>770934</v>
      </c>
      <c r="L78" s="176">
        <f>H78-E78</f>
        <v>3576686</v>
      </c>
      <c r="M78" s="177">
        <f>H78/H$8</f>
        <v>0.14845953148026439</v>
      </c>
      <c r="N78" s="79"/>
    </row>
    <row r="79" spans="1:14" x14ac:dyDescent="0.25">
      <c r="A79" s="1" t="s">
        <v>96</v>
      </c>
      <c r="B79" s="157" t="s">
        <v>97</v>
      </c>
      <c r="C79" s="158">
        <v>1923687</v>
      </c>
      <c r="D79" s="158">
        <v>1871426</v>
      </c>
      <c r="E79" s="158">
        <v>472177</v>
      </c>
      <c r="F79" s="158">
        <v>765462</v>
      </c>
      <c r="G79" s="158">
        <v>1656388</v>
      </c>
      <c r="H79" s="158">
        <v>1641108</v>
      </c>
      <c r="I79" s="159">
        <f>IFERROR(H79/G79-1,"-")</f>
        <v>-9.2248917524154761E-3</v>
      </c>
      <c r="J79" s="160">
        <f t="shared" ref="J79:J90" si="32">IFERROR(H79/E79-1,"-")</f>
        <v>2.4756203711743687</v>
      </c>
      <c r="K79" s="158">
        <f t="shared" ref="K79:K89" si="33">H79-G79</f>
        <v>-15280</v>
      </c>
      <c r="L79" s="158">
        <f t="shared" ref="L79:L90" si="34">H79-E79</f>
        <v>1168931</v>
      </c>
      <c r="M79" s="159">
        <f>H79/H$8</f>
        <v>4.7554670000277889E-2</v>
      </c>
      <c r="N79" s="79"/>
    </row>
    <row r="80" spans="1:14" x14ac:dyDescent="0.25">
      <c r="A80" s="161" t="s">
        <v>103</v>
      </c>
      <c r="B80" s="162" t="s">
        <v>103</v>
      </c>
      <c r="C80" s="163">
        <v>322698</v>
      </c>
      <c r="D80" s="163">
        <v>208038</v>
      </c>
      <c r="E80" s="163">
        <v>71537</v>
      </c>
      <c r="F80" s="163">
        <v>181910</v>
      </c>
      <c r="G80" s="163">
        <v>247663</v>
      </c>
      <c r="H80" s="163">
        <v>255714</v>
      </c>
      <c r="I80" s="164">
        <f>IFERROR(H80/G80-1,"-")</f>
        <v>3.2507883696797579E-2</v>
      </c>
      <c r="J80" s="165">
        <f t="shared" si="32"/>
        <v>2.5745698030389867</v>
      </c>
      <c r="K80" s="163">
        <f t="shared" si="33"/>
        <v>8051</v>
      </c>
      <c r="L80" s="163">
        <f t="shared" si="34"/>
        <v>184177</v>
      </c>
      <c r="M80" s="164">
        <f>H80/H$8</f>
        <v>7.4098687499244784E-3</v>
      </c>
      <c r="N80" s="79"/>
    </row>
    <row r="81" spans="1:14" x14ac:dyDescent="0.25">
      <c r="A81" s="161" t="s">
        <v>100</v>
      </c>
      <c r="B81" s="162" t="s">
        <v>100</v>
      </c>
      <c r="C81" s="163">
        <v>1600989</v>
      </c>
      <c r="D81" s="163">
        <v>1663388</v>
      </c>
      <c r="E81" s="163">
        <v>400640</v>
      </c>
      <c r="F81" s="163">
        <v>583552</v>
      </c>
      <c r="G81" s="163">
        <v>1408725</v>
      </c>
      <c r="H81" s="163">
        <v>1385394</v>
      </c>
      <c r="I81" s="164">
        <f>IFERROR(H81/G81-1,"-")</f>
        <v>-1.6561784592450612E-2</v>
      </c>
      <c r="J81" s="165">
        <f t="shared" si="32"/>
        <v>2.4579522763578274</v>
      </c>
      <c r="K81" s="163">
        <f t="shared" si="33"/>
        <v>-23331</v>
      </c>
      <c r="L81" s="163">
        <f t="shared" si="34"/>
        <v>984754</v>
      </c>
      <c r="M81" s="164">
        <f>H81/H$8</f>
        <v>4.0144801250353412E-2</v>
      </c>
      <c r="N81" s="79"/>
    </row>
    <row r="82" spans="1:14" x14ac:dyDescent="0.25">
      <c r="A82" s="1"/>
      <c r="B82" s="157" t="s">
        <v>107</v>
      </c>
      <c r="C82" s="158">
        <v>3891573</v>
      </c>
      <c r="D82" s="158">
        <v>3621125</v>
      </c>
      <c r="E82" s="158">
        <v>1074464</v>
      </c>
      <c r="F82" s="158">
        <v>1201900</v>
      </c>
      <c r="G82" s="158">
        <v>2696005</v>
      </c>
      <c r="H82" s="158">
        <v>3482219</v>
      </c>
      <c r="I82" s="159">
        <f>IFERROR(H82/G82-1,"-")</f>
        <v>0.2916218627190974</v>
      </c>
      <c r="J82" s="160">
        <f t="shared" si="32"/>
        <v>2.2408894109062749</v>
      </c>
      <c r="K82" s="158">
        <f t="shared" si="33"/>
        <v>786214</v>
      </c>
      <c r="L82" s="158">
        <f t="shared" si="34"/>
        <v>2407755</v>
      </c>
      <c r="M82" s="159">
        <f>H82/H$8</f>
        <v>0.10090486147998649</v>
      </c>
      <c r="N82" s="79"/>
    </row>
    <row r="83" spans="1:14" s="56" customFormat="1" x14ac:dyDescent="0.25">
      <c r="B83" s="162" t="s">
        <v>110</v>
      </c>
      <c r="C83" s="163">
        <v>522391</v>
      </c>
      <c r="D83" s="163">
        <v>574884</v>
      </c>
      <c r="E83" s="163">
        <v>163077</v>
      </c>
      <c r="F83" s="163">
        <v>114301</v>
      </c>
      <c r="G83" s="163">
        <v>504044</v>
      </c>
      <c r="H83" s="163">
        <v>666541</v>
      </c>
      <c r="I83" s="164">
        <f t="shared" ref="I83:I90" si="35">IFERROR(H83/G83-1,"-")</f>
        <v>0.32238653768321823</v>
      </c>
      <c r="J83" s="165">
        <f t="shared" si="32"/>
        <v>3.087277789019911</v>
      </c>
      <c r="K83" s="163">
        <f t="shared" si="33"/>
        <v>162497</v>
      </c>
      <c r="L83" s="163">
        <f t="shared" si="34"/>
        <v>503464</v>
      </c>
      <c r="M83" s="164">
        <f t="shared" ref="M83:M90" si="36">H83/H$8</f>
        <v>1.9314473695000712E-2</v>
      </c>
      <c r="N83" s="166"/>
    </row>
    <row r="84" spans="1:14" s="56" customFormat="1" x14ac:dyDescent="0.25">
      <c r="B84" s="162" t="s">
        <v>113</v>
      </c>
      <c r="C84" s="163">
        <v>1872405</v>
      </c>
      <c r="D84" s="163">
        <v>1562789</v>
      </c>
      <c r="E84" s="163">
        <v>445011</v>
      </c>
      <c r="F84" s="163">
        <v>478237</v>
      </c>
      <c r="G84" s="163">
        <v>1014024</v>
      </c>
      <c r="H84" s="163">
        <v>1210830</v>
      </c>
      <c r="I84" s="164">
        <f t="shared" si="35"/>
        <v>0.1940841636884334</v>
      </c>
      <c r="J84" s="165">
        <f t="shared" si="32"/>
        <v>1.720899033956464</v>
      </c>
      <c r="K84" s="163">
        <f t="shared" si="33"/>
        <v>196806</v>
      </c>
      <c r="L84" s="163">
        <f t="shared" si="34"/>
        <v>765819</v>
      </c>
      <c r="M84" s="164">
        <f t="shared" si="36"/>
        <v>3.5086430068244433E-2</v>
      </c>
      <c r="N84" s="166"/>
    </row>
    <row r="85" spans="1:14" x14ac:dyDescent="0.25">
      <c r="A85" s="1"/>
      <c r="B85" s="162" t="s">
        <v>116</v>
      </c>
      <c r="C85" s="163">
        <v>154431</v>
      </c>
      <c r="D85" s="163">
        <v>173660</v>
      </c>
      <c r="E85" s="163">
        <v>48969</v>
      </c>
      <c r="F85" s="163">
        <v>105849</v>
      </c>
      <c r="G85" s="163">
        <v>179405</v>
      </c>
      <c r="H85" s="163">
        <v>275311</v>
      </c>
      <c r="I85" s="164">
        <f t="shared" si="35"/>
        <v>0.53457818901368404</v>
      </c>
      <c r="J85" s="165">
        <f t="shared" si="32"/>
        <v>4.6221487063244089</v>
      </c>
      <c r="K85" s="163">
        <f t="shared" si="33"/>
        <v>95906</v>
      </c>
      <c r="L85" s="163">
        <f t="shared" si="34"/>
        <v>226342</v>
      </c>
      <c r="M85" s="164">
        <f t="shared" si="36"/>
        <v>7.9777344041016846E-3</v>
      </c>
      <c r="N85" s="79"/>
    </row>
    <row r="86" spans="1:14" x14ac:dyDescent="0.25">
      <c r="A86" s="1"/>
      <c r="B86" s="162" t="s">
        <v>123</v>
      </c>
      <c r="C86" s="163">
        <v>97884</v>
      </c>
      <c r="D86" s="163">
        <v>75235</v>
      </c>
      <c r="E86" s="163">
        <v>15102</v>
      </c>
      <c r="F86" s="163">
        <v>38224</v>
      </c>
      <c r="G86" s="163">
        <v>75513</v>
      </c>
      <c r="H86" s="163">
        <v>90350</v>
      </c>
      <c r="I86" s="164">
        <f t="shared" si="35"/>
        <v>0.19648272482883744</v>
      </c>
      <c r="J86" s="165">
        <f t="shared" si="32"/>
        <v>4.9826513044629852</v>
      </c>
      <c r="K86" s="163">
        <f t="shared" si="33"/>
        <v>14837</v>
      </c>
      <c r="L86" s="163">
        <f t="shared" si="34"/>
        <v>75248</v>
      </c>
      <c r="M86" s="164">
        <f t="shared" si="36"/>
        <v>2.6180875570194695E-3</v>
      </c>
      <c r="N86" s="79"/>
    </row>
    <row r="87" spans="1:14" x14ac:dyDescent="0.25">
      <c r="A87" s="1"/>
      <c r="B87" s="162" t="s">
        <v>119</v>
      </c>
      <c r="C87" s="163">
        <v>56194</v>
      </c>
      <c r="D87" s="163">
        <v>46816</v>
      </c>
      <c r="E87" s="163">
        <v>14962</v>
      </c>
      <c r="F87" s="163">
        <v>33300</v>
      </c>
      <c r="G87" s="163">
        <v>33738</v>
      </c>
      <c r="H87" s="163">
        <v>45567</v>
      </c>
      <c r="I87" s="164">
        <f t="shared" si="35"/>
        <v>0.35061355148497242</v>
      </c>
      <c r="J87" s="165">
        <f t="shared" si="32"/>
        <v>2.0455153054404493</v>
      </c>
      <c r="K87" s="163">
        <f t="shared" si="33"/>
        <v>11829</v>
      </c>
      <c r="L87" s="163">
        <f t="shared" si="34"/>
        <v>30605</v>
      </c>
      <c r="M87" s="164">
        <f t="shared" si="36"/>
        <v>1.3204028302236431E-3</v>
      </c>
      <c r="N87" s="79"/>
    </row>
    <row r="88" spans="1:14" x14ac:dyDescent="0.25">
      <c r="A88" s="1"/>
      <c r="B88" s="162" t="s">
        <v>128</v>
      </c>
      <c r="C88" s="163">
        <v>69026</v>
      </c>
      <c r="D88" s="163">
        <v>74813</v>
      </c>
      <c r="E88" s="163">
        <v>30460</v>
      </c>
      <c r="F88" s="163">
        <v>20871</v>
      </c>
      <c r="G88" s="163">
        <v>63463</v>
      </c>
      <c r="H88" s="163">
        <v>74935</v>
      </c>
      <c r="I88" s="164">
        <f t="shared" si="35"/>
        <v>0.18076674597797138</v>
      </c>
      <c r="J88" s="165">
        <f t="shared" si="32"/>
        <v>1.4601116217990806</v>
      </c>
      <c r="K88" s="163">
        <f t="shared" si="33"/>
        <v>11472</v>
      </c>
      <c r="L88" s="163">
        <f t="shared" si="34"/>
        <v>44475</v>
      </c>
      <c r="M88" s="164">
        <f t="shared" si="36"/>
        <v>2.1714044392391139E-3</v>
      </c>
      <c r="N88" s="79"/>
    </row>
    <row r="89" spans="1:14" x14ac:dyDescent="0.25">
      <c r="A89" s="161" t="s">
        <v>144</v>
      </c>
      <c r="B89" s="162" t="s">
        <v>131</v>
      </c>
      <c r="C89" s="163">
        <v>123411</v>
      </c>
      <c r="D89" s="163">
        <v>112745</v>
      </c>
      <c r="E89" s="163">
        <v>50030</v>
      </c>
      <c r="F89" s="163">
        <v>22441</v>
      </c>
      <c r="G89" s="163">
        <v>59972</v>
      </c>
      <c r="H89" s="163">
        <v>81697</v>
      </c>
      <c r="I89" s="164">
        <f t="shared" si="35"/>
        <v>0.36225238444607477</v>
      </c>
      <c r="J89" s="165">
        <f t="shared" si="32"/>
        <v>0.63296022386568063</v>
      </c>
      <c r="K89" s="163">
        <f t="shared" si="33"/>
        <v>21725</v>
      </c>
      <c r="L89" s="163">
        <f t="shared" si="34"/>
        <v>31667</v>
      </c>
      <c r="M89" s="164">
        <f t="shared" si="36"/>
        <v>2.3673480813040356E-3</v>
      </c>
      <c r="N89" s="79"/>
    </row>
    <row r="90" spans="1:14" x14ac:dyDescent="0.25">
      <c r="A90" s="167" t="s">
        <v>145</v>
      </c>
      <c r="B90" s="168" t="s">
        <v>145</v>
      </c>
      <c r="C90" s="169">
        <f t="shared" ref="C90:H90" si="37">C82-SUM(C83:C89)</f>
        <v>995831</v>
      </c>
      <c r="D90" s="169">
        <f t="shared" si="37"/>
        <v>1000183</v>
      </c>
      <c r="E90" s="169">
        <f t="shared" si="37"/>
        <v>306853</v>
      </c>
      <c r="F90" s="169">
        <f t="shared" si="37"/>
        <v>388677</v>
      </c>
      <c r="G90" s="169">
        <f t="shared" si="37"/>
        <v>765846</v>
      </c>
      <c r="H90" s="169">
        <f t="shared" si="37"/>
        <v>1036988</v>
      </c>
      <c r="I90" s="170">
        <f t="shared" si="35"/>
        <v>0.35404245762202846</v>
      </c>
      <c r="J90" s="171">
        <f t="shared" si="32"/>
        <v>2.379429238104239</v>
      </c>
      <c r="K90" s="169">
        <f>H90-G90</f>
        <v>271142</v>
      </c>
      <c r="L90" s="169">
        <f t="shared" si="34"/>
        <v>730135</v>
      </c>
      <c r="M90" s="170">
        <f t="shared" si="36"/>
        <v>3.0048980404853411E-2</v>
      </c>
      <c r="N90" s="79"/>
    </row>
    <row r="91" spans="1:14" s="144" customFormat="1" x14ac:dyDescent="0.25">
      <c r="B91" s="153" t="s">
        <v>49</v>
      </c>
      <c r="C91" s="151"/>
      <c r="D91" s="151"/>
      <c r="E91" s="151"/>
      <c r="F91" s="151"/>
      <c r="G91" s="151"/>
      <c r="H91" s="151"/>
      <c r="I91" s="151"/>
      <c r="J91" s="151"/>
      <c r="K91" s="151"/>
      <c r="L91" s="151"/>
      <c r="M91" s="151"/>
    </row>
    <row r="92" spans="1:14" x14ac:dyDescent="0.25">
      <c r="A92" s="1">
        <v>3</v>
      </c>
      <c r="B92" s="154" t="s">
        <v>68</v>
      </c>
      <c r="C92" s="176">
        <v>138985</v>
      </c>
      <c r="D92" s="176">
        <v>136126</v>
      </c>
      <c r="E92" s="176">
        <v>59047</v>
      </c>
      <c r="F92" s="176">
        <v>83402</v>
      </c>
      <c r="G92" s="176">
        <v>137757</v>
      </c>
      <c r="H92" s="176">
        <v>148334</v>
      </c>
      <c r="I92" s="177">
        <f>IFERROR(H92/G92-1,"-")</f>
        <v>7.6780127325653202E-2</v>
      </c>
      <c r="J92" s="177">
        <f>IFERROR(H92/E92-1,"-")</f>
        <v>1.512134401409047</v>
      </c>
      <c r="K92" s="176">
        <f>H92-G92</f>
        <v>10577</v>
      </c>
      <c r="L92" s="176">
        <f>H92-E92</f>
        <v>89287</v>
      </c>
      <c r="M92" s="177">
        <f>H92/H$8</f>
        <v>4.2982999411502595E-3</v>
      </c>
      <c r="N92" s="79"/>
    </row>
    <row r="93" spans="1:14" x14ac:dyDescent="0.25">
      <c r="A93" s="1" t="s">
        <v>96</v>
      </c>
      <c r="B93" s="157" t="s">
        <v>97</v>
      </c>
      <c r="C93" s="158">
        <v>71206</v>
      </c>
      <c r="D93" s="158">
        <v>72932</v>
      </c>
      <c r="E93" s="158">
        <v>31800</v>
      </c>
      <c r="F93" s="158">
        <v>42063</v>
      </c>
      <c r="G93" s="158">
        <v>70951</v>
      </c>
      <c r="H93" s="158">
        <v>72432</v>
      </c>
      <c r="I93" s="159">
        <f>IFERROR(H93/G93-1,"-")</f>
        <v>2.0873560626347709E-2</v>
      </c>
      <c r="J93" s="160">
        <f t="shared" ref="J93:J104" si="38">IFERROR(H93/E93-1,"-")</f>
        <v>1.277735849056604</v>
      </c>
      <c r="K93" s="158">
        <f t="shared" ref="K93:K103" si="39">H93-G93</f>
        <v>1481</v>
      </c>
      <c r="L93" s="158">
        <f t="shared" ref="L93:L104" si="40">H93-E93</f>
        <v>40632</v>
      </c>
      <c r="M93" s="159">
        <f>H93/H$8</f>
        <v>2.0988745758719891E-3</v>
      </c>
      <c r="N93" s="79"/>
    </row>
    <row r="94" spans="1:14" x14ac:dyDescent="0.25">
      <c r="A94" s="161" t="s">
        <v>103</v>
      </c>
      <c r="B94" s="162" t="s">
        <v>103</v>
      </c>
      <c r="C94" s="163">
        <v>30236</v>
      </c>
      <c r="D94" s="163">
        <v>33003</v>
      </c>
      <c r="E94" s="163">
        <v>15549</v>
      </c>
      <c r="F94" s="163">
        <v>20037</v>
      </c>
      <c r="G94" s="163">
        <v>30228</v>
      </c>
      <c r="H94" s="163">
        <v>19606</v>
      </c>
      <c r="I94" s="164">
        <f>IFERROR(H94/G94-1,"-")</f>
        <v>-0.3513960566362313</v>
      </c>
      <c r="J94" s="165">
        <f t="shared" si="38"/>
        <v>0.2609171007781852</v>
      </c>
      <c r="K94" s="163">
        <f t="shared" si="39"/>
        <v>-10622</v>
      </c>
      <c r="L94" s="163">
        <f t="shared" si="40"/>
        <v>4057</v>
      </c>
      <c r="M94" s="164">
        <f>H94/H$8</f>
        <v>5.6812644873186185E-4</v>
      </c>
      <c r="N94" s="79"/>
    </row>
    <row r="95" spans="1:14" x14ac:dyDescent="0.25">
      <c r="A95" s="161" t="s">
        <v>100</v>
      </c>
      <c r="B95" s="162" t="s">
        <v>100</v>
      </c>
      <c r="C95" s="163">
        <v>40970</v>
      </c>
      <c r="D95" s="163">
        <v>39929</v>
      </c>
      <c r="E95" s="163">
        <v>16251</v>
      </c>
      <c r="F95" s="163">
        <v>22026</v>
      </c>
      <c r="G95" s="163">
        <v>40723</v>
      </c>
      <c r="H95" s="163">
        <v>52826</v>
      </c>
      <c r="I95" s="164">
        <f>IFERROR(H95/G95-1,"-")</f>
        <v>0.29720305478476527</v>
      </c>
      <c r="J95" s="165">
        <f t="shared" si="38"/>
        <v>2.2506307304165896</v>
      </c>
      <c r="K95" s="163">
        <f t="shared" si="39"/>
        <v>12103</v>
      </c>
      <c r="L95" s="163">
        <f t="shared" si="40"/>
        <v>36575</v>
      </c>
      <c r="M95" s="164">
        <f>H95/H$8</f>
        <v>1.5307481271401272E-3</v>
      </c>
      <c r="N95" s="79"/>
    </row>
    <row r="96" spans="1:14" x14ac:dyDescent="0.25">
      <c r="A96" s="1"/>
      <c r="B96" s="157" t="s">
        <v>107</v>
      </c>
      <c r="C96" s="158">
        <v>67779</v>
      </c>
      <c r="D96" s="158">
        <v>63194</v>
      </c>
      <c r="E96" s="158">
        <v>27247</v>
      </c>
      <c r="F96" s="158">
        <v>41339</v>
      </c>
      <c r="G96" s="158">
        <v>66806</v>
      </c>
      <c r="H96" s="158">
        <v>75902</v>
      </c>
      <c r="I96" s="159">
        <f>IFERROR(H96/G96-1,"-")</f>
        <v>0.13615543514055628</v>
      </c>
      <c r="J96" s="160">
        <f t="shared" si="38"/>
        <v>1.7857011781113519</v>
      </c>
      <c r="K96" s="158">
        <f t="shared" si="39"/>
        <v>9096</v>
      </c>
      <c r="L96" s="158">
        <f t="shared" si="40"/>
        <v>48655</v>
      </c>
      <c r="M96" s="159">
        <f>H96/H$8</f>
        <v>2.1994253652782708E-3</v>
      </c>
      <c r="N96" s="79"/>
    </row>
    <row r="97" spans="1:14" s="56" customFormat="1" x14ac:dyDescent="0.25">
      <c r="B97" s="162" t="s">
        <v>110</v>
      </c>
      <c r="C97" s="163">
        <v>7133</v>
      </c>
      <c r="D97" s="163">
        <v>8082</v>
      </c>
      <c r="E97" s="163">
        <v>5019</v>
      </c>
      <c r="F97" s="163">
        <v>3494</v>
      </c>
      <c r="G97" s="163">
        <v>9249</v>
      </c>
      <c r="H97" s="163">
        <v>11177</v>
      </c>
      <c r="I97" s="164">
        <f t="shared" ref="I97:I104" si="41">IFERROR(H97/G97-1,"-")</f>
        <v>0.20845496810465991</v>
      </c>
      <c r="J97" s="165">
        <f t="shared" si="38"/>
        <v>1.226937636979478</v>
      </c>
      <c r="K97" s="163">
        <f t="shared" si="39"/>
        <v>1928</v>
      </c>
      <c r="L97" s="163">
        <f t="shared" si="40"/>
        <v>6158</v>
      </c>
      <c r="M97" s="164">
        <f t="shared" ref="M97:M104" si="42">H97/H$8</f>
        <v>3.2387785971008977E-4</v>
      </c>
      <c r="N97" s="166"/>
    </row>
    <row r="98" spans="1:14" s="56" customFormat="1" x14ac:dyDescent="0.25">
      <c r="B98" s="162" t="s">
        <v>113</v>
      </c>
      <c r="C98" s="163">
        <v>25629</v>
      </c>
      <c r="D98" s="163">
        <v>21366</v>
      </c>
      <c r="E98" s="163">
        <v>7473</v>
      </c>
      <c r="F98" s="163">
        <v>15393</v>
      </c>
      <c r="G98" s="163">
        <v>21050</v>
      </c>
      <c r="H98" s="163">
        <v>22639</v>
      </c>
      <c r="I98" s="164">
        <f t="shared" si="41"/>
        <v>7.5486935866983407E-2</v>
      </c>
      <c r="J98" s="165">
        <f t="shared" si="38"/>
        <v>2.0294393148668539</v>
      </c>
      <c r="K98" s="163">
        <f t="shared" si="39"/>
        <v>1589</v>
      </c>
      <c r="L98" s="163">
        <f t="shared" si="40"/>
        <v>15166</v>
      </c>
      <c r="M98" s="164">
        <f t="shared" si="42"/>
        <v>6.5601421365095479E-4</v>
      </c>
      <c r="N98" s="166"/>
    </row>
    <row r="99" spans="1:14" x14ac:dyDescent="0.25">
      <c r="A99" s="1"/>
      <c r="B99" s="162" t="s">
        <v>116</v>
      </c>
      <c r="C99" s="163">
        <v>8499</v>
      </c>
      <c r="D99" s="163">
        <v>8657</v>
      </c>
      <c r="E99" s="163">
        <v>4658</v>
      </c>
      <c r="F99" s="163">
        <v>7148</v>
      </c>
      <c r="G99" s="163">
        <v>7881</v>
      </c>
      <c r="H99" s="163">
        <v>8902</v>
      </c>
      <c r="I99" s="164">
        <f t="shared" si="41"/>
        <v>0.12955208729856627</v>
      </c>
      <c r="J99" s="165">
        <f t="shared" si="38"/>
        <v>0.91112065264061837</v>
      </c>
      <c r="K99" s="163">
        <f t="shared" si="39"/>
        <v>1021</v>
      </c>
      <c r="L99" s="163">
        <f t="shared" si="40"/>
        <v>4244</v>
      </c>
      <c r="M99" s="164">
        <f t="shared" si="42"/>
        <v>2.5795479172758515E-4</v>
      </c>
      <c r="N99" s="79"/>
    </row>
    <row r="100" spans="1:14" x14ac:dyDescent="0.25">
      <c r="A100" s="1"/>
      <c r="B100" s="162" t="s">
        <v>123</v>
      </c>
      <c r="C100" s="163">
        <v>2168</v>
      </c>
      <c r="D100" s="163">
        <v>2390</v>
      </c>
      <c r="E100" s="163">
        <v>940</v>
      </c>
      <c r="F100" s="163">
        <v>1385</v>
      </c>
      <c r="G100" s="163">
        <v>4981</v>
      </c>
      <c r="H100" s="163">
        <v>3623</v>
      </c>
      <c r="I100" s="164">
        <f t="shared" si="41"/>
        <v>-0.27263601686408356</v>
      </c>
      <c r="J100" s="165">
        <f t="shared" si="38"/>
        <v>2.8542553191489364</v>
      </c>
      <c r="K100" s="163">
        <f t="shared" si="39"/>
        <v>-1358</v>
      </c>
      <c r="L100" s="163">
        <f t="shared" si="40"/>
        <v>2683</v>
      </c>
      <c r="M100" s="164">
        <f t="shared" si="42"/>
        <v>1.0498429683543484E-4</v>
      </c>
      <c r="N100" s="79"/>
    </row>
    <row r="101" spans="1:14" x14ac:dyDescent="0.25">
      <c r="A101" s="1"/>
      <c r="B101" s="162" t="s">
        <v>119</v>
      </c>
      <c r="C101" s="163">
        <v>1567</v>
      </c>
      <c r="D101" s="163">
        <v>1298</v>
      </c>
      <c r="E101" s="163">
        <v>788</v>
      </c>
      <c r="F101" s="163">
        <v>1315</v>
      </c>
      <c r="G101" s="163">
        <v>1892</v>
      </c>
      <c r="H101" s="163">
        <v>1812</v>
      </c>
      <c r="I101" s="164">
        <f t="shared" si="41"/>
        <v>-4.228329809725162E-2</v>
      </c>
      <c r="J101" s="165">
        <f t="shared" si="38"/>
        <v>1.2994923857868019</v>
      </c>
      <c r="K101" s="163">
        <f t="shared" si="39"/>
        <v>-80</v>
      </c>
      <c r="L101" s="163">
        <f t="shared" si="40"/>
        <v>1024</v>
      </c>
      <c r="M101" s="164">
        <f t="shared" si="42"/>
        <v>5.2506637004087203E-5</v>
      </c>
      <c r="N101" s="79"/>
    </row>
    <row r="102" spans="1:14" x14ac:dyDescent="0.25">
      <c r="A102" s="1"/>
      <c r="B102" s="162" t="s">
        <v>128</v>
      </c>
      <c r="C102" s="163">
        <v>439</v>
      </c>
      <c r="D102" s="163">
        <v>444</v>
      </c>
      <c r="E102" s="163">
        <v>599</v>
      </c>
      <c r="F102" s="163">
        <v>275</v>
      </c>
      <c r="G102" s="163">
        <v>817</v>
      </c>
      <c r="H102" s="163">
        <v>420</v>
      </c>
      <c r="I102" s="164">
        <f t="shared" si="41"/>
        <v>-0.48592411260709911</v>
      </c>
      <c r="J102" s="165">
        <f t="shared" si="38"/>
        <v>-0.29883138564273792</v>
      </c>
      <c r="K102" s="163">
        <f t="shared" si="39"/>
        <v>-397</v>
      </c>
      <c r="L102" s="163">
        <f t="shared" si="40"/>
        <v>-179</v>
      </c>
      <c r="M102" s="164">
        <f t="shared" si="42"/>
        <v>1.2170412550616238E-5</v>
      </c>
      <c r="N102" s="79"/>
    </row>
    <row r="103" spans="1:14" x14ac:dyDescent="0.25">
      <c r="A103" s="161" t="s">
        <v>144</v>
      </c>
      <c r="B103" s="162" t="s">
        <v>131</v>
      </c>
      <c r="C103" s="163">
        <v>1158</v>
      </c>
      <c r="D103" s="163">
        <v>699</v>
      </c>
      <c r="E103" s="163">
        <v>259</v>
      </c>
      <c r="F103" s="163">
        <v>259</v>
      </c>
      <c r="G103" s="163">
        <v>385</v>
      </c>
      <c r="H103" s="163">
        <v>950</v>
      </c>
      <c r="I103" s="164">
        <f t="shared" si="41"/>
        <v>1.4675324675324677</v>
      </c>
      <c r="J103" s="165">
        <f t="shared" si="38"/>
        <v>2.6679536679536682</v>
      </c>
      <c r="K103" s="163">
        <f t="shared" si="39"/>
        <v>565</v>
      </c>
      <c r="L103" s="163">
        <f t="shared" si="40"/>
        <v>691</v>
      </c>
      <c r="M103" s="164">
        <f t="shared" si="42"/>
        <v>2.752831410258435E-5</v>
      </c>
      <c r="N103" s="79"/>
    </row>
    <row r="104" spans="1:14" x14ac:dyDescent="0.25">
      <c r="A104" s="167" t="s">
        <v>145</v>
      </c>
      <c r="B104" s="168" t="s">
        <v>145</v>
      </c>
      <c r="C104" s="169">
        <f t="shared" ref="C104:H104" si="43">C96-SUM(C97:C103)</f>
        <v>21186</v>
      </c>
      <c r="D104" s="169">
        <f t="shared" si="43"/>
        <v>20258</v>
      </c>
      <c r="E104" s="169">
        <f t="shared" si="43"/>
        <v>7511</v>
      </c>
      <c r="F104" s="169">
        <f t="shared" si="43"/>
        <v>12070</v>
      </c>
      <c r="G104" s="169">
        <f t="shared" si="43"/>
        <v>20551</v>
      </c>
      <c r="H104" s="169">
        <f t="shared" si="43"/>
        <v>26379</v>
      </c>
      <c r="I104" s="170">
        <f t="shared" si="41"/>
        <v>0.28358717337355843</v>
      </c>
      <c r="J104" s="171">
        <f t="shared" si="38"/>
        <v>2.5120489948076155</v>
      </c>
      <c r="K104" s="169">
        <f>H104-G104</f>
        <v>5828</v>
      </c>
      <c r="L104" s="169">
        <f t="shared" si="40"/>
        <v>18868</v>
      </c>
      <c r="M104" s="170">
        <f t="shared" si="42"/>
        <v>7.6438883969691851E-4</v>
      </c>
      <c r="N104" s="79"/>
    </row>
    <row r="105" spans="1:14" s="144" customFormat="1" x14ac:dyDescent="0.25">
      <c r="B105" s="153" t="s">
        <v>50</v>
      </c>
      <c r="C105" s="151"/>
      <c r="D105" s="151"/>
      <c r="E105" s="151"/>
      <c r="F105" s="151"/>
      <c r="G105" s="151"/>
      <c r="H105" s="151"/>
      <c r="I105" s="151"/>
      <c r="J105" s="151"/>
      <c r="K105" s="151"/>
      <c r="L105" s="151"/>
      <c r="M105" s="151"/>
    </row>
    <row r="106" spans="1:14" x14ac:dyDescent="0.25">
      <c r="A106" s="1">
        <v>3</v>
      </c>
      <c r="B106" s="154" t="s">
        <v>68</v>
      </c>
      <c r="C106" s="176">
        <v>1066591</v>
      </c>
      <c r="D106" s="176">
        <v>1055815</v>
      </c>
      <c r="E106" s="176">
        <v>442013</v>
      </c>
      <c r="F106" s="176">
        <v>749212</v>
      </c>
      <c r="G106" s="176">
        <v>1316064</v>
      </c>
      <c r="H106" s="176">
        <v>1447168</v>
      </c>
      <c r="I106" s="177">
        <f>IFERROR(H106/G106-1,"-")</f>
        <v>9.9618255647141885E-2</v>
      </c>
      <c r="J106" s="177">
        <f>IFERROR(H106/E106-1,"-")</f>
        <v>2.2740394513283544</v>
      </c>
      <c r="K106" s="176">
        <f>H106-G106</f>
        <v>131104</v>
      </c>
      <c r="L106" s="176">
        <f>H106-E106</f>
        <v>1005155</v>
      </c>
      <c r="M106" s="177">
        <f>H106/H$8</f>
        <v>4.1934837119167144E-2</v>
      </c>
      <c r="N106" s="79"/>
    </row>
    <row r="107" spans="1:14" x14ac:dyDescent="0.25">
      <c r="A107" s="1" t="s">
        <v>96</v>
      </c>
      <c r="B107" s="157" t="s">
        <v>97</v>
      </c>
      <c r="C107" s="158">
        <v>150928</v>
      </c>
      <c r="D107" s="158">
        <v>162637</v>
      </c>
      <c r="E107" s="158">
        <v>125264</v>
      </c>
      <c r="F107" s="158">
        <v>199003</v>
      </c>
      <c r="G107" s="158">
        <v>220579</v>
      </c>
      <c r="H107" s="158">
        <v>219096</v>
      </c>
      <c r="I107" s="159">
        <f>IFERROR(H107/G107-1,"-")</f>
        <v>-6.7232148119268365E-3</v>
      </c>
      <c r="J107" s="160">
        <f t="shared" ref="J107:J118" si="44">IFERROR(H107/E107-1,"-")</f>
        <v>0.7490739558053392</v>
      </c>
      <c r="K107" s="158">
        <f t="shared" ref="K107:K117" si="45">H107-G107</f>
        <v>-1483</v>
      </c>
      <c r="L107" s="158">
        <f t="shared" ref="L107:L118" si="46">H107-E107</f>
        <v>93832</v>
      </c>
      <c r="M107" s="159">
        <f>H107/H$8</f>
        <v>6.3487826385471794E-3</v>
      </c>
      <c r="N107" s="79"/>
    </row>
    <row r="108" spans="1:14" x14ac:dyDescent="0.25">
      <c r="A108" s="161" t="s">
        <v>103</v>
      </c>
      <c r="B108" s="162" t="s">
        <v>103</v>
      </c>
      <c r="C108" s="163">
        <v>49909</v>
      </c>
      <c r="D108" s="163">
        <v>42419</v>
      </c>
      <c r="E108" s="163">
        <v>16702</v>
      </c>
      <c r="F108" s="163">
        <v>106031</v>
      </c>
      <c r="G108" s="163">
        <v>75504</v>
      </c>
      <c r="H108" s="163">
        <v>57419</v>
      </c>
      <c r="I108" s="164">
        <f>IFERROR(H108/G108-1,"-")</f>
        <v>-0.23952373384191561</v>
      </c>
      <c r="J108" s="165">
        <f t="shared" si="44"/>
        <v>2.4378517542809246</v>
      </c>
      <c r="K108" s="163">
        <f t="shared" si="45"/>
        <v>-18085</v>
      </c>
      <c r="L108" s="163">
        <f t="shared" si="46"/>
        <v>40717</v>
      </c>
      <c r="M108" s="164">
        <f>H108/H$8</f>
        <v>1.6638402815329376E-3</v>
      </c>
      <c r="N108" s="79"/>
    </row>
    <row r="109" spans="1:14" x14ac:dyDescent="0.25">
      <c r="A109" s="161" t="s">
        <v>100</v>
      </c>
      <c r="B109" s="162" t="s">
        <v>100</v>
      </c>
      <c r="C109" s="163">
        <v>101019</v>
      </c>
      <c r="D109" s="163">
        <v>120218</v>
      </c>
      <c r="E109" s="163">
        <v>108562</v>
      </c>
      <c r="F109" s="163">
        <v>92972</v>
      </c>
      <c r="G109" s="163">
        <v>145075</v>
      </c>
      <c r="H109" s="163">
        <v>161677</v>
      </c>
      <c r="I109" s="164">
        <f>IFERROR(H109/G109-1,"-")</f>
        <v>0.11443735998621407</v>
      </c>
      <c r="J109" s="165">
        <f t="shared" si="44"/>
        <v>0.48925959359628601</v>
      </c>
      <c r="K109" s="163">
        <f t="shared" si="45"/>
        <v>16602</v>
      </c>
      <c r="L109" s="163">
        <f t="shared" si="46"/>
        <v>53115</v>
      </c>
      <c r="M109" s="164">
        <f>H109/H$8</f>
        <v>4.6849423570142421E-3</v>
      </c>
      <c r="N109" s="79"/>
    </row>
    <row r="110" spans="1:14" x14ac:dyDescent="0.25">
      <c r="A110" s="1"/>
      <c r="B110" s="157" t="s">
        <v>107</v>
      </c>
      <c r="C110" s="158">
        <v>915663</v>
      </c>
      <c r="D110" s="158">
        <v>893178</v>
      </c>
      <c r="E110" s="158">
        <v>316749</v>
      </c>
      <c r="F110" s="158">
        <v>550209</v>
      </c>
      <c r="G110" s="158">
        <v>1095485</v>
      </c>
      <c r="H110" s="158">
        <v>1228072</v>
      </c>
      <c r="I110" s="159">
        <f>IFERROR(H110/G110-1,"-")</f>
        <v>0.12103041118773872</v>
      </c>
      <c r="J110" s="160">
        <f t="shared" si="44"/>
        <v>2.8771140556086996</v>
      </c>
      <c r="K110" s="158">
        <f t="shared" si="45"/>
        <v>132587</v>
      </c>
      <c r="L110" s="158">
        <f t="shared" si="46"/>
        <v>911323</v>
      </c>
      <c r="M110" s="159">
        <f>H110/H$8</f>
        <v>3.5586054480619966E-2</v>
      </c>
      <c r="N110" s="79"/>
    </row>
    <row r="111" spans="1:14" s="56" customFormat="1" x14ac:dyDescent="0.25">
      <c r="B111" s="162" t="s">
        <v>110</v>
      </c>
      <c r="C111" s="163">
        <v>501490</v>
      </c>
      <c r="D111" s="163">
        <v>476582</v>
      </c>
      <c r="E111" s="163">
        <v>181253</v>
      </c>
      <c r="F111" s="163">
        <v>251557</v>
      </c>
      <c r="G111" s="163">
        <v>673877</v>
      </c>
      <c r="H111" s="163">
        <v>775590</v>
      </c>
      <c r="I111" s="164">
        <f t="shared" ref="I111:I118" si="47">IFERROR(H111/G111-1,"-")</f>
        <v>0.15093704043913059</v>
      </c>
      <c r="J111" s="165">
        <f t="shared" si="44"/>
        <v>3.2790464157834629</v>
      </c>
      <c r="K111" s="163">
        <f t="shared" si="45"/>
        <v>101713</v>
      </c>
      <c r="L111" s="163">
        <f t="shared" si="46"/>
        <v>594337</v>
      </c>
      <c r="M111" s="164">
        <f t="shared" ref="M111:M118" si="48">H111/H$8</f>
        <v>2.2474405405077259E-2</v>
      </c>
      <c r="N111" s="166"/>
    </row>
    <row r="112" spans="1:14" s="56" customFormat="1" x14ac:dyDescent="0.25">
      <c r="B112" s="162" t="s">
        <v>113</v>
      </c>
      <c r="C112" s="163">
        <v>114306</v>
      </c>
      <c r="D112" s="163">
        <v>91753</v>
      </c>
      <c r="E112" s="163">
        <v>22554</v>
      </c>
      <c r="F112" s="163">
        <v>57079</v>
      </c>
      <c r="G112" s="163">
        <v>45927</v>
      </c>
      <c r="H112" s="163">
        <v>60304</v>
      </c>
      <c r="I112" s="164">
        <f t="shared" si="47"/>
        <v>0.31304025954231718</v>
      </c>
      <c r="J112" s="165">
        <f t="shared" si="44"/>
        <v>1.6737607519730426</v>
      </c>
      <c r="K112" s="163">
        <f t="shared" si="45"/>
        <v>14377</v>
      </c>
      <c r="L112" s="163">
        <f t="shared" si="46"/>
        <v>37750</v>
      </c>
      <c r="M112" s="164">
        <f t="shared" si="48"/>
        <v>1.7474394248865753E-3</v>
      </c>
      <c r="N112" s="166"/>
    </row>
    <row r="113" spans="1:14" x14ac:dyDescent="0.25">
      <c r="A113" s="1"/>
      <c r="B113" s="162" t="s">
        <v>116</v>
      </c>
      <c r="C113" s="163">
        <v>102904</v>
      </c>
      <c r="D113" s="163">
        <v>92528</v>
      </c>
      <c r="E113" s="163">
        <v>13883</v>
      </c>
      <c r="F113" s="163">
        <v>67210</v>
      </c>
      <c r="G113" s="163">
        <v>65652</v>
      </c>
      <c r="H113" s="163">
        <v>76293</v>
      </c>
      <c r="I113" s="164">
        <f t="shared" si="47"/>
        <v>0.16208188630963272</v>
      </c>
      <c r="J113" s="165">
        <f t="shared" si="44"/>
        <v>4.4954260606497156</v>
      </c>
      <c r="K113" s="163">
        <f t="shared" si="45"/>
        <v>10641</v>
      </c>
      <c r="L113" s="163">
        <f t="shared" si="46"/>
        <v>62410</v>
      </c>
      <c r="M113" s="164">
        <f t="shared" si="48"/>
        <v>2.2107554398194396E-3</v>
      </c>
      <c r="N113" s="79"/>
    </row>
    <row r="114" spans="1:14" x14ac:dyDescent="0.25">
      <c r="A114" s="1"/>
      <c r="B114" s="162" t="s">
        <v>123</v>
      </c>
      <c r="C114" s="163">
        <v>16800</v>
      </c>
      <c r="D114" s="163">
        <v>18644</v>
      </c>
      <c r="E114" s="163">
        <v>9005</v>
      </c>
      <c r="F114" s="163">
        <v>29461</v>
      </c>
      <c r="G114" s="163">
        <v>41263</v>
      </c>
      <c r="H114" s="163">
        <v>42135</v>
      </c>
      <c r="I114" s="164">
        <f t="shared" si="47"/>
        <v>2.113273392627768E-2</v>
      </c>
      <c r="J114" s="165">
        <f t="shared" si="44"/>
        <v>3.6790671848972796</v>
      </c>
      <c r="K114" s="163">
        <f t="shared" si="45"/>
        <v>872</v>
      </c>
      <c r="L114" s="163">
        <f t="shared" si="46"/>
        <v>33130</v>
      </c>
      <c r="M114" s="164">
        <f t="shared" si="48"/>
        <v>1.2209531733814649E-3</v>
      </c>
      <c r="N114" s="79"/>
    </row>
    <row r="115" spans="1:14" x14ac:dyDescent="0.25">
      <c r="A115" s="1"/>
      <c r="B115" s="162" t="s">
        <v>119</v>
      </c>
      <c r="C115" s="163">
        <v>28295</v>
      </c>
      <c r="D115" s="163">
        <v>29965</v>
      </c>
      <c r="E115" s="163">
        <v>19818</v>
      </c>
      <c r="F115" s="163">
        <v>36897</v>
      </c>
      <c r="G115" s="163">
        <v>41249</v>
      </c>
      <c r="H115" s="163">
        <v>42266</v>
      </c>
      <c r="I115" s="164">
        <f t="shared" si="47"/>
        <v>2.4655143154985515E-2</v>
      </c>
      <c r="J115" s="165">
        <f t="shared" si="44"/>
        <v>1.1327076395196287</v>
      </c>
      <c r="K115" s="163">
        <f t="shared" si="45"/>
        <v>1017</v>
      </c>
      <c r="L115" s="163">
        <f t="shared" si="46"/>
        <v>22448</v>
      </c>
      <c r="M115" s="164">
        <f t="shared" si="48"/>
        <v>1.2247491830103476E-3</v>
      </c>
      <c r="N115" s="79"/>
    </row>
    <row r="116" spans="1:14" x14ac:dyDescent="0.25">
      <c r="A116" s="1"/>
      <c r="B116" s="162" t="s">
        <v>128</v>
      </c>
      <c r="C116" s="163">
        <v>4205</v>
      </c>
      <c r="D116" s="163">
        <v>5890</v>
      </c>
      <c r="E116" s="163">
        <v>2343</v>
      </c>
      <c r="F116" s="163">
        <v>2314</v>
      </c>
      <c r="G116" s="163">
        <v>11983</v>
      </c>
      <c r="H116" s="163">
        <v>11780</v>
      </c>
      <c r="I116" s="164">
        <f t="shared" si="47"/>
        <v>-1.6940665943419808E-2</v>
      </c>
      <c r="J116" s="165">
        <f t="shared" si="44"/>
        <v>4.0277422108408025</v>
      </c>
      <c r="K116" s="163">
        <f t="shared" si="45"/>
        <v>-203</v>
      </c>
      <c r="L116" s="163">
        <f t="shared" si="46"/>
        <v>9437</v>
      </c>
      <c r="M116" s="164">
        <f t="shared" si="48"/>
        <v>3.4135109487204592E-4</v>
      </c>
      <c r="N116" s="79"/>
    </row>
    <row r="117" spans="1:14" x14ac:dyDescent="0.25">
      <c r="A117" s="161" t="s">
        <v>144</v>
      </c>
      <c r="B117" s="162" t="s">
        <v>131</v>
      </c>
      <c r="C117" s="163">
        <v>12806</v>
      </c>
      <c r="D117" s="163">
        <v>13480</v>
      </c>
      <c r="E117" s="163">
        <v>7286</v>
      </c>
      <c r="F117" s="163">
        <v>3610</v>
      </c>
      <c r="G117" s="163">
        <v>7507</v>
      </c>
      <c r="H117" s="163">
        <v>7656</v>
      </c>
      <c r="I117" s="164">
        <f t="shared" si="47"/>
        <v>1.9848141734381208E-2</v>
      </c>
      <c r="J117" s="165">
        <f t="shared" si="44"/>
        <v>5.0782322261872181E-2</v>
      </c>
      <c r="K117" s="163">
        <f t="shared" si="45"/>
        <v>149</v>
      </c>
      <c r="L117" s="163">
        <f t="shared" si="46"/>
        <v>370</v>
      </c>
      <c r="M117" s="164">
        <f t="shared" si="48"/>
        <v>2.2184923449409031E-4</v>
      </c>
      <c r="N117" s="79"/>
    </row>
    <row r="118" spans="1:14" x14ac:dyDescent="0.25">
      <c r="A118" s="167" t="s">
        <v>145</v>
      </c>
      <c r="B118" s="168" t="s">
        <v>145</v>
      </c>
      <c r="C118" s="169">
        <f t="shared" ref="C118:H118" si="49">C110-SUM(C111:C117)</f>
        <v>134857</v>
      </c>
      <c r="D118" s="169">
        <f t="shared" si="49"/>
        <v>164336</v>
      </c>
      <c r="E118" s="169">
        <f t="shared" si="49"/>
        <v>60607</v>
      </c>
      <c r="F118" s="169">
        <f t="shared" si="49"/>
        <v>102081</v>
      </c>
      <c r="G118" s="169">
        <f t="shared" si="49"/>
        <v>208027</v>
      </c>
      <c r="H118" s="169">
        <f t="shared" si="49"/>
        <v>212048</v>
      </c>
      <c r="I118" s="170">
        <f t="shared" si="47"/>
        <v>1.9329221687569342E-2</v>
      </c>
      <c r="J118" s="171">
        <f t="shared" si="44"/>
        <v>2.4987377695645718</v>
      </c>
      <c r="K118" s="169">
        <f>H118-G118</f>
        <v>4021</v>
      </c>
      <c r="L118" s="169">
        <f t="shared" si="46"/>
        <v>151441</v>
      </c>
      <c r="M118" s="170">
        <f t="shared" si="48"/>
        <v>6.1445515250787433E-3</v>
      </c>
      <c r="N118" s="79"/>
    </row>
    <row r="119" spans="1:14" s="144" customFormat="1" x14ac:dyDescent="0.25">
      <c r="B119" s="153" t="s">
        <v>51</v>
      </c>
      <c r="C119" s="151"/>
      <c r="D119" s="151"/>
      <c r="E119" s="151"/>
      <c r="F119" s="151"/>
      <c r="G119" s="151"/>
      <c r="H119" s="151"/>
      <c r="I119" s="151"/>
      <c r="J119" s="151"/>
      <c r="K119" s="151"/>
      <c r="L119" s="151"/>
      <c r="M119" s="151"/>
    </row>
    <row r="120" spans="1:14" x14ac:dyDescent="0.25">
      <c r="A120" s="1">
        <v>3</v>
      </c>
      <c r="B120" s="154" t="s">
        <v>68</v>
      </c>
      <c r="C120" s="176">
        <v>535197</v>
      </c>
      <c r="D120" s="176">
        <v>503437</v>
      </c>
      <c r="E120" s="176">
        <v>216673</v>
      </c>
      <c r="F120" s="176">
        <v>359169</v>
      </c>
      <c r="G120" s="176">
        <v>543499</v>
      </c>
      <c r="H120" s="176">
        <v>576462</v>
      </c>
      <c r="I120" s="177">
        <f>IFERROR(H120/G120-1,"-")</f>
        <v>6.0649605611049928E-2</v>
      </c>
      <c r="J120" s="177">
        <f>IFERROR(H120/E120-1,"-")</f>
        <v>1.6605160772223582</v>
      </c>
      <c r="K120" s="176">
        <f>H120-G120</f>
        <v>32963</v>
      </c>
      <c r="L120" s="176">
        <f>H120-E120</f>
        <v>359789</v>
      </c>
      <c r="M120" s="177">
        <f>H120/H$8</f>
        <v>1.6704238951793661E-2</v>
      </c>
      <c r="N120" s="79"/>
    </row>
    <row r="121" spans="1:14" x14ac:dyDescent="0.25">
      <c r="A121" s="1" t="s">
        <v>96</v>
      </c>
      <c r="B121" s="157" t="s">
        <v>97</v>
      </c>
      <c r="C121" s="158">
        <v>266568</v>
      </c>
      <c r="D121" s="158">
        <v>235408</v>
      </c>
      <c r="E121" s="158">
        <v>116562</v>
      </c>
      <c r="F121" s="158">
        <v>206631</v>
      </c>
      <c r="G121" s="158">
        <v>271944</v>
      </c>
      <c r="H121" s="158">
        <v>302350</v>
      </c>
      <c r="I121" s="159">
        <f>IFERROR(H121/G121-1,"-")</f>
        <v>0.11180978436736977</v>
      </c>
      <c r="J121" s="160">
        <f t="shared" ref="J121:J132" si="50">IFERROR(H121/E121-1,"-")</f>
        <v>1.5938985261062784</v>
      </c>
      <c r="K121" s="158">
        <f t="shared" ref="K121:K131" si="51">H121-G121</f>
        <v>30406</v>
      </c>
      <c r="L121" s="158">
        <f t="shared" ref="L121:L132" si="52">H121-E121</f>
        <v>185788</v>
      </c>
      <c r="M121" s="159">
        <f>H121/H$8</f>
        <v>8.7612481778067131E-3</v>
      </c>
      <c r="N121" s="79"/>
    </row>
    <row r="122" spans="1:14" x14ac:dyDescent="0.25">
      <c r="A122" s="161" t="s">
        <v>103</v>
      </c>
      <c r="B122" s="162" t="s">
        <v>103</v>
      </c>
      <c r="C122" s="163">
        <v>136290</v>
      </c>
      <c r="D122" s="163">
        <v>110711</v>
      </c>
      <c r="E122" s="163">
        <v>45374</v>
      </c>
      <c r="F122" s="163">
        <v>96469</v>
      </c>
      <c r="G122" s="163">
        <v>128559</v>
      </c>
      <c r="H122" s="163">
        <v>120954</v>
      </c>
      <c r="I122" s="164">
        <f>IFERROR(H122/G122-1,"-")</f>
        <v>-5.9155718386110667E-2</v>
      </c>
      <c r="J122" s="165">
        <f t="shared" si="50"/>
        <v>1.6657116410279014</v>
      </c>
      <c r="K122" s="163">
        <f t="shared" si="51"/>
        <v>-7605</v>
      </c>
      <c r="L122" s="163">
        <f t="shared" si="52"/>
        <v>75580</v>
      </c>
      <c r="M122" s="164">
        <f>H122/H$8</f>
        <v>3.5049049515410392E-3</v>
      </c>
      <c r="N122" s="79"/>
    </row>
    <row r="123" spans="1:14" x14ac:dyDescent="0.25">
      <c r="A123" s="161" t="s">
        <v>100</v>
      </c>
      <c r="B123" s="162" t="s">
        <v>100</v>
      </c>
      <c r="C123" s="163">
        <v>130278</v>
      </c>
      <c r="D123" s="163">
        <v>124697</v>
      </c>
      <c r="E123" s="163">
        <v>71188</v>
      </c>
      <c r="F123" s="163">
        <v>110162</v>
      </c>
      <c r="G123" s="163">
        <v>143385</v>
      </c>
      <c r="H123" s="163">
        <v>181396</v>
      </c>
      <c r="I123" s="164">
        <f>IFERROR(H123/G123-1,"-")</f>
        <v>0.26509746486731522</v>
      </c>
      <c r="J123" s="165">
        <f t="shared" si="50"/>
        <v>1.548126088666629</v>
      </c>
      <c r="K123" s="163">
        <f t="shared" si="51"/>
        <v>38011</v>
      </c>
      <c r="L123" s="163">
        <f t="shared" si="52"/>
        <v>110208</v>
      </c>
      <c r="M123" s="164">
        <f>H123/H$8</f>
        <v>5.2563432262656747E-3</v>
      </c>
      <c r="N123" s="79"/>
    </row>
    <row r="124" spans="1:14" x14ac:dyDescent="0.25">
      <c r="A124" s="1"/>
      <c r="B124" s="157" t="s">
        <v>107</v>
      </c>
      <c r="C124" s="158">
        <v>268629</v>
      </c>
      <c r="D124" s="158">
        <v>268029</v>
      </c>
      <c r="E124" s="158">
        <v>100111</v>
      </c>
      <c r="F124" s="158">
        <v>152538</v>
      </c>
      <c r="G124" s="158">
        <v>271555</v>
      </c>
      <c r="H124" s="158">
        <v>274112</v>
      </c>
      <c r="I124" s="159">
        <f>IFERROR(H124/G124-1,"-")</f>
        <v>9.4161403767192287E-3</v>
      </c>
      <c r="J124" s="160">
        <f t="shared" si="50"/>
        <v>1.7380807303892678</v>
      </c>
      <c r="K124" s="158">
        <f t="shared" si="51"/>
        <v>2557</v>
      </c>
      <c r="L124" s="158">
        <f t="shared" si="52"/>
        <v>174001</v>
      </c>
      <c r="M124" s="159">
        <f>H124/H$8</f>
        <v>7.9429907739869479E-3</v>
      </c>
      <c r="N124" s="79"/>
    </row>
    <row r="125" spans="1:14" s="56" customFormat="1" x14ac:dyDescent="0.25">
      <c r="B125" s="162" t="s">
        <v>110</v>
      </c>
      <c r="C125" s="163">
        <v>36190</v>
      </c>
      <c r="D125" s="163">
        <v>33000</v>
      </c>
      <c r="E125" s="163">
        <v>11431</v>
      </c>
      <c r="F125" s="163">
        <v>11117</v>
      </c>
      <c r="G125" s="163">
        <v>33351</v>
      </c>
      <c r="H125" s="163">
        <v>40267</v>
      </c>
      <c r="I125" s="164">
        <f t="shared" ref="I125:I132" si="53">IFERROR(H125/G125-1,"-")</f>
        <v>0.2073700938502594</v>
      </c>
      <c r="J125" s="165">
        <f t="shared" si="50"/>
        <v>2.5226139445367859</v>
      </c>
      <c r="K125" s="163">
        <f t="shared" si="51"/>
        <v>6916</v>
      </c>
      <c r="L125" s="163">
        <f t="shared" si="52"/>
        <v>28836</v>
      </c>
      <c r="M125" s="164">
        <f t="shared" ref="M125:M132" si="54">H125/H$8</f>
        <v>1.1668238147039621E-3</v>
      </c>
      <c r="N125" s="166"/>
    </row>
    <row r="126" spans="1:14" s="56" customFormat="1" x14ac:dyDescent="0.25">
      <c r="B126" s="162" t="s">
        <v>113</v>
      </c>
      <c r="C126" s="163">
        <v>35550</v>
      </c>
      <c r="D126" s="163">
        <v>30865</v>
      </c>
      <c r="E126" s="163">
        <v>11548</v>
      </c>
      <c r="F126" s="163">
        <v>23428</v>
      </c>
      <c r="G126" s="163">
        <v>34791</v>
      </c>
      <c r="H126" s="163">
        <v>43445</v>
      </c>
      <c r="I126" s="164">
        <f t="shared" si="53"/>
        <v>0.24874249087407674</v>
      </c>
      <c r="J126" s="165">
        <f t="shared" si="50"/>
        <v>2.7621233113959125</v>
      </c>
      <c r="K126" s="163">
        <f t="shared" si="51"/>
        <v>8654</v>
      </c>
      <c r="L126" s="163">
        <f t="shared" si="52"/>
        <v>31897</v>
      </c>
      <c r="M126" s="164">
        <f t="shared" si="54"/>
        <v>1.2589132696702917E-3</v>
      </c>
      <c r="N126" s="166"/>
    </row>
    <row r="127" spans="1:14" x14ac:dyDescent="0.25">
      <c r="A127" s="1"/>
      <c r="B127" s="162" t="s">
        <v>116</v>
      </c>
      <c r="C127" s="163">
        <v>18689</v>
      </c>
      <c r="D127" s="163">
        <v>20310</v>
      </c>
      <c r="E127" s="163">
        <v>7014</v>
      </c>
      <c r="F127" s="163">
        <v>18250</v>
      </c>
      <c r="G127" s="163">
        <v>23874</v>
      </c>
      <c r="H127" s="163">
        <v>26737</v>
      </c>
      <c r="I127" s="164">
        <f t="shared" si="53"/>
        <v>0.11992125324620928</v>
      </c>
      <c r="J127" s="165">
        <f t="shared" si="50"/>
        <v>2.8119475335044197</v>
      </c>
      <c r="K127" s="163">
        <f t="shared" si="51"/>
        <v>2863</v>
      </c>
      <c r="L127" s="163">
        <f t="shared" si="52"/>
        <v>19723</v>
      </c>
      <c r="M127" s="164">
        <f t="shared" si="54"/>
        <v>7.7476266753768184E-4</v>
      </c>
      <c r="N127" s="79"/>
    </row>
    <row r="128" spans="1:14" x14ac:dyDescent="0.25">
      <c r="A128" s="1"/>
      <c r="B128" s="162" t="s">
        <v>123</v>
      </c>
      <c r="C128" s="163">
        <v>4857</v>
      </c>
      <c r="D128" s="163">
        <v>4930</v>
      </c>
      <c r="E128" s="163">
        <v>1882</v>
      </c>
      <c r="F128" s="163">
        <v>3678</v>
      </c>
      <c r="G128" s="163">
        <v>6463</v>
      </c>
      <c r="H128" s="163">
        <v>7383</v>
      </c>
      <c r="I128" s="164">
        <f t="shared" si="53"/>
        <v>0.14234875444839856</v>
      </c>
      <c r="J128" s="165">
        <f t="shared" si="50"/>
        <v>2.9229543039319874</v>
      </c>
      <c r="K128" s="163">
        <f t="shared" si="51"/>
        <v>920</v>
      </c>
      <c r="L128" s="163">
        <f t="shared" si="52"/>
        <v>5501</v>
      </c>
      <c r="M128" s="164">
        <f t="shared" si="54"/>
        <v>2.1393846633618974E-4</v>
      </c>
      <c r="N128" s="79"/>
    </row>
    <row r="129" spans="1:14" x14ac:dyDescent="0.25">
      <c r="A129" s="1"/>
      <c r="B129" s="162" t="s">
        <v>119</v>
      </c>
      <c r="C129" s="163">
        <v>5017</v>
      </c>
      <c r="D129" s="163">
        <v>3923</v>
      </c>
      <c r="E129" s="163">
        <v>1919</v>
      </c>
      <c r="F129" s="163">
        <v>3450</v>
      </c>
      <c r="G129" s="163">
        <v>4851</v>
      </c>
      <c r="H129" s="163">
        <v>5958</v>
      </c>
      <c r="I129" s="164">
        <f t="shared" si="53"/>
        <v>0.22820037105751401</v>
      </c>
      <c r="J129" s="165">
        <f t="shared" si="50"/>
        <v>2.1047420531526835</v>
      </c>
      <c r="K129" s="163">
        <f t="shared" si="51"/>
        <v>1107</v>
      </c>
      <c r="L129" s="163">
        <f t="shared" si="52"/>
        <v>4039</v>
      </c>
      <c r="M129" s="164">
        <f t="shared" si="54"/>
        <v>1.7264599518231321E-4</v>
      </c>
      <c r="N129" s="79"/>
    </row>
    <row r="130" spans="1:14" x14ac:dyDescent="0.25">
      <c r="A130" s="1"/>
      <c r="B130" s="162" t="s">
        <v>128</v>
      </c>
      <c r="C130" s="163">
        <v>4529</v>
      </c>
      <c r="D130" s="163">
        <v>4303</v>
      </c>
      <c r="E130" s="163">
        <v>1701</v>
      </c>
      <c r="F130" s="163">
        <v>1442</v>
      </c>
      <c r="G130" s="163">
        <v>2747</v>
      </c>
      <c r="H130" s="163">
        <v>3505</v>
      </c>
      <c r="I130" s="164">
        <f t="shared" si="53"/>
        <v>0.27593738623953401</v>
      </c>
      <c r="J130" s="165">
        <f t="shared" si="50"/>
        <v>1.0605526161081715</v>
      </c>
      <c r="K130" s="163">
        <f t="shared" si="51"/>
        <v>758</v>
      </c>
      <c r="L130" s="163">
        <f t="shared" si="52"/>
        <v>1804</v>
      </c>
      <c r="M130" s="164">
        <f t="shared" si="54"/>
        <v>1.0156499045216647E-4</v>
      </c>
      <c r="N130" s="79"/>
    </row>
    <row r="131" spans="1:14" x14ac:dyDescent="0.25">
      <c r="A131" s="161" t="s">
        <v>144</v>
      </c>
      <c r="B131" s="162" t="s">
        <v>131</v>
      </c>
      <c r="C131" s="163">
        <v>7923</v>
      </c>
      <c r="D131" s="163">
        <v>5879</v>
      </c>
      <c r="E131" s="163">
        <v>2155</v>
      </c>
      <c r="F131" s="163">
        <v>2010</v>
      </c>
      <c r="G131" s="163">
        <v>4022</v>
      </c>
      <c r="H131" s="163">
        <v>4912</v>
      </c>
      <c r="I131" s="164">
        <f t="shared" si="53"/>
        <v>0.22128294380905023</v>
      </c>
      <c r="J131" s="165">
        <f t="shared" si="50"/>
        <v>1.2793503480278421</v>
      </c>
      <c r="K131" s="163">
        <f t="shared" si="51"/>
        <v>890</v>
      </c>
      <c r="L131" s="163">
        <f t="shared" si="52"/>
        <v>2757</v>
      </c>
      <c r="M131" s="164">
        <f t="shared" si="54"/>
        <v>1.4233587249673087E-4</v>
      </c>
      <c r="N131" s="79"/>
    </row>
    <row r="132" spans="1:14" x14ac:dyDescent="0.25">
      <c r="A132" s="167" t="s">
        <v>145</v>
      </c>
      <c r="B132" s="168" t="s">
        <v>145</v>
      </c>
      <c r="C132" s="169">
        <f t="shared" ref="C132:H132" si="55">C124-SUM(C125:C131)</f>
        <v>155874</v>
      </c>
      <c r="D132" s="169">
        <f t="shared" si="55"/>
        <v>164819</v>
      </c>
      <c r="E132" s="169">
        <f t="shared" si="55"/>
        <v>62461</v>
      </c>
      <c r="F132" s="169">
        <f t="shared" si="55"/>
        <v>89163</v>
      </c>
      <c r="G132" s="169">
        <f t="shared" si="55"/>
        <v>161456</v>
      </c>
      <c r="H132" s="169">
        <f t="shared" si="55"/>
        <v>141905</v>
      </c>
      <c r="I132" s="170">
        <f t="shared" si="53"/>
        <v>-0.12109181448815776</v>
      </c>
      <c r="J132" s="171">
        <f t="shared" si="50"/>
        <v>1.2718976641424247</v>
      </c>
      <c r="K132" s="169">
        <f>H132-G132</f>
        <v>-19551</v>
      </c>
      <c r="L132" s="169">
        <f t="shared" si="52"/>
        <v>79444</v>
      </c>
      <c r="M132" s="170">
        <f t="shared" si="54"/>
        <v>4.1120056976076125E-3</v>
      </c>
      <c r="N132" s="79"/>
    </row>
    <row r="133" spans="1:14" s="144" customFormat="1" x14ac:dyDescent="0.25">
      <c r="B133" s="153" t="s">
        <v>52</v>
      </c>
      <c r="C133" s="151"/>
      <c r="D133" s="151"/>
      <c r="E133" s="151"/>
      <c r="F133" s="151"/>
      <c r="G133" s="151"/>
      <c r="H133" s="151"/>
      <c r="I133" s="151"/>
      <c r="J133" s="151"/>
      <c r="K133" s="151"/>
      <c r="L133" s="151"/>
      <c r="M133" s="151"/>
    </row>
    <row r="134" spans="1:14" x14ac:dyDescent="0.25">
      <c r="A134" s="1">
        <v>3</v>
      </c>
      <c r="B134" s="154" t="s">
        <v>68</v>
      </c>
      <c r="C134" s="176">
        <v>2070855</v>
      </c>
      <c r="D134" s="176">
        <v>1856756</v>
      </c>
      <c r="E134" s="176">
        <v>610766</v>
      </c>
      <c r="F134" s="176">
        <v>774989</v>
      </c>
      <c r="G134" s="176">
        <v>1753117</v>
      </c>
      <c r="H134" s="176">
        <v>1886738</v>
      </c>
      <c r="I134" s="177">
        <f>IFERROR(H134/G134-1,"-")</f>
        <v>7.6219100037247856E-2</v>
      </c>
      <c r="J134" s="177">
        <f>IFERROR(H134/E134-1,"-")</f>
        <v>2.0891339727489742</v>
      </c>
      <c r="K134" s="176">
        <f>H134-G134</f>
        <v>133621</v>
      </c>
      <c r="L134" s="176">
        <f>H134-E134</f>
        <v>1275972</v>
      </c>
      <c r="M134" s="177">
        <f>H134/H$8</f>
        <v>5.4672332940296622E-2</v>
      </c>
      <c r="N134" s="79"/>
    </row>
    <row r="135" spans="1:14" x14ac:dyDescent="0.25">
      <c r="A135" s="1" t="s">
        <v>96</v>
      </c>
      <c r="B135" s="157" t="s">
        <v>97</v>
      </c>
      <c r="C135" s="158">
        <v>212961</v>
      </c>
      <c r="D135" s="158">
        <v>192906</v>
      </c>
      <c r="E135" s="158">
        <v>77176</v>
      </c>
      <c r="F135" s="158">
        <v>141993</v>
      </c>
      <c r="G135" s="158">
        <v>105219</v>
      </c>
      <c r="H135" s="158">
        <v>114083</v>
      </c>
      <c r="I135" s="159">
        <f>IFERROR(H135/G135-1,"-")</f>
        <v>8.4243340081163964E-2</v>
      </c>
      <c r="J135" s="160">
        <f t="shared" ref="J135:J146" si="56">IFERROR(H135/E135-1,"-")</f>
        <v>0.47821861718669023</v>
      </c>
      <c r="K135" s="158">
        <f t="shared" ref="K135:K145" si="57">H135-G135</f>
        <v>8864</v>
      </c>
      <c r="L135" s="158">
        <f t="shared" ref="L135:L146" si="58">H135-E135</f>
        <v>36907</v>
      </c>
      <c r="M135" s="159">
        <f>H135/H$8</f>
        <v>3.3058027976475058E-3</v>
      </c>
      <c r="N135" s="79"/>
    </row>
    <row r="136" spans="1:14" x14ac:dyDescent="0.25">
      <c r="A136" s="161" t="s">
        <v>103</v>
      </c>
      <c r="B136" s="162" t="s">
        <v>103</v>
      </c>
      <c r="C136" s="163">
        <v>148508</v>
      </c>
      <c r="D136" s="163">
        <v>94828</v>
      </c>
      <c r="E136" s="163">
        <v>51058</v>
      </c>
      <c r="F136" s="163">
        <v>86437</v>
      </c>
      <c r="G136" s="163">
        <v>57546</v>
      </c>
      <c r="H136" s="163">
        <v>60090</v>
      </c>
      <c r="I136" s="164">
        <f>IFERROR(H136/G136-1,"-")</f>
        <v>4.4208111771452341E-2</v>
      </c>
      <c r="J136" s="165">
        <f t="shared" si="56"/>
        <v>0.1768968623917897</v>
      </c>
      <c r="K136" s="163">
        <f t="shared" si="57"/>
        <v>2544</v>
      </c>
      <c r="L136" s="163">
        <f t="shared" si="58"/>
        <v>9032</v>
      </c>
      <c r="M136" s="164">
        <f>H136/H$8</f>
        <v>1.741238309920309E-3</v>
      </c>
      <c r="N136" s="79"/>
    </row>
    <row r="137" spans="1:14" x14ac:dyDescent="0.25">
      <c r="A137" s="161" t="s">
        <v>100</v>
      </c>
      <c r="B137" s="162" t="s">
        <v>100</v>
      </c>
      <c r="C137" s="163">
        <v>64453</v>
      </c>
      <c r="D137" s="163">
        <v>98078</v>
      </c>
      <c r="E137" s="163">
        <v>26118</v>
      </c>
      <c r="F137" s="163">
        <v>55556</v>
      </c>
      <c r="G137" s="163">
        <v>47673</v>
      </c>
      <c r="H137" s="163">
        <v>53993</v>
      </c>
      <c r="I137" s="164">
        <f>IFERROR(H137/G137-1,"-")</f>
        <v>0.132569798418392</v>
      </c>
      <c r="J137" s="165">
        <f t="shared" si="56"/>
        <v>1.0672716134466653</v>
      </c>
      <c r="K137" s="163">
        <f t="shared" si="57"/>
        <v>6320</v>
      </c>
      <c r="L137" s="163">
        <f t="shared" si="58"/>
        <v>27875</v>
      </c>
      <c r="M137" s="164">
        <f>H137/H$8</f>
        <v>1.5645644877271966E-3</v>
      </c>
      <c r="N137" s="79"/>
    </row>
    <row r="138" spans="1:14" x14ac:dyDescent="0.25">
      <c r="A138" s="1"/>
      <c r="B138" s="157" t="s">
        <v>107</v>
      </c>
      <c r="C138" s="158">
        <v>1857894</v>
      </c>
      <c r="D138" s="158">
        <v>1663850</v>
      </c>
      <c r="E138" s="158">
        <v>533590</v>
      </c>
      <c r="F138" s="158">
        <v>632996</v>
      </c>
      <c r="G138" s="158">
        <v>1647898</v>
      </c>
      <c r="H138" s="158">
        <v>1772655</v>
      </c>
      <c r="I138" s="159">
        <f>IFERROR(H138/G138-1,"-")</f>
        <v>7.5706748840037363E-2</v>
      </c>
      <c r="J138" s="160">
        <f t="shared" si="56"/>
        <v>2.3221293502501923</v>
      </c>
      <c r="K138" s="158">
        <f t="shared" si="57"/>
        <v>124757</v>
      </c>
      <c r="L138" s="158">
        <f t="shared" si="58"/>
        <v>1239065</v>
      </c>
      <c r="M138" s="159">
        <f>H138/H$8</f>
        <v>5.1366530142649115E-2</v>
      </c>
      <c r="N138" s="79"/>
    </row>
    <row r="139" spans="1:14" s="56" customFormat="1" x14ac:dyDescent="0.25">
      <c r="B139" s="162" t="s">
        <v>110</v>
      </c>
      <c r="C139" s="163">
        <v>1012432</v>
      </c>
      <c r="D139" s="163">
        <v>847716</v>
      </c>
      <c r="E139" s="163">
        <v>226701</v>
      </c>
      <c r="F139" s="163">
        <v>182984</v>
      </c>
      <c r="G139" s="163">
        <v>740061</v>
      </c>
      <c r="H139" s="163">
        <v>745732</v>
      </c>
      <c r="I139" s="164">
        <f t="shared" ref="I139:I146" si="59">IFERROR(H139/G139-1,"-")</f>
        <v>7.6628818435238166E-3</v>
      </c>
      <c r="J139" s="165">
        <f t="shared" si="56"/>
        <v>2.2894958557747871</v>
      </c>
      <c r="K139" s="163">
        <f t="shared" si="57"/>
        <v>5671</v>
      </c>
      <c r="L139" s="163">
        <f t="shared" si="58"/>
        <v>519031</v>
      </c>
      <c r="M139" s="164">
        <f t="shared" ref="M139:M146" si="60">H139/H$8</f>
        <v>2.1609204981419401E-2</v>
      </c>
      <c r="N139" s="166"/>
    </row>
    <row r="140" spans="1:14" s="56" customFormat="1" x14ac:dyDescent="0.25">
      <c r="B140" s="162" t="s">
        <v>113</v>
      </c>
      <c r="C140" s="163">
        <v>127265</v>
      </c>
      <c r="D140" s="163">
        <v>113771</v>
      </c>
      <c r="E140" s="163">
        <v>45672</v>
      </c>
      <c r="F140" s="163">
        <v>69325</v>
      </c>
      <c r="G140" s="163">
        <v>132461</v>
      </c>
      <c r="H140" s="163">
        <v>181229</v>
      </c>
      <c r="I140" s="164">
        <f t="shared" si="59"/>
        <v>0.36816874400767019</v>
      </c>
      <c r="J140" s="165">
        <f t="shared" si="56"/>
        <v>2.9680548257137853</v>
      </c>
      <c r="K140" s="163">
        <f t="shared" si="57"/>
        <v>48768</v>
      </c>
      <c r="L140" s="163">
        <f t="shared" si="58"/>
        <v>135557</v>
      </c>
      <c r="M140" s="164">
        <f t="shared" si="60"/>
        <v>5.2515040384181677E-3</v>
      </c>
      <c r="N140" s="166"/>
    </row>
    <row r="141" spans="1:14" x14ac:dyDescent="0.25">
      <c r="A141" s="1"/>
      <c r="B141" s="162" t="s">
        <v>116</v>
      </c>
      <c r="C141" s="163">
        <v>159535</v>
      </c>
      <c r="D141" s="163">
        <v>132722</v>
      </c>
      <c r="E141" s="163">
        <v>42455</v>
      </c>
      <c r="F141" s="163">
        <v>94016</v>
      </c>
      <c r="G141" s="163">
        <v>171222</v>
      </c>
      <c r="H141" s="163">
        <v>162316</v>
      </c>
      <c r="I141" s="164">
        <f t="shared" si="59"/>
        <v>-5.2014343951127806E-2</v>
      </c>
      <c r="J141" s="165">
        <f t="shared" si="56"/>
        <v>2.8232481450948064</v>
      </c>
      <c r="K141" s="163">
        <f t="shared" si="57"/>
        <v>-8906</v>
      </c>
      <c r="L141" s="163">
        <f t="shared" si="58"/>
        <v>119861</v>
      </c>
      <c r="M141" s="164">
        <f t="shared" si="60"/>
        <v>4.7034587703948224E-3</v>
      </c>
      <c r="N141" s="79"/>
    </row>
    <row r="142" spans="1:14" x14ac:dyDescent="0.25">
      <c r="A142" s="1"/>
      <c r="B142" s="162" t="s">
        <v>123</v>
      </c>
      <c r="C142" s="163">
        <v>37533</v>
      </c>
      <c r="D142" s="163">
        <v>38846</v>
      </c>
      <c r="E142" s="163">
        <v>8958</v>
      </c>
      <c r="F142" s="163">
        <v>22357</v>
      </c>
      <c r="G142" s="163">
        <v>60881</v>
      </c>
      <c r="H142" s="163">
        <v>78552</v>
      </c>
      <c r="I142" s="164">
        <f t="shared" si="59"/>
        <v>0.29025475928450595</v>
      </c>
      <c r="J142" s="165">
        <f t="shared" si="56"/>
        <v>7.7689216342933687</v>
      </c>
      <c r="K142" s="163">
        <f t="shared" si="57"/>
        <v>17671</v>
      </c>
      <c r="L142" s="163">
        <f t="shared" si="58"/>
        <v>69594</v>
      </c>
      <c r="M142" s="164">
        <f t="shared" si="60"/>
        <v>2.2762148730381114E-3</v>
      </c>
      <c r="N142" s="79"/>
    </row>
    <row r="143" spans="1:14" x14ac:dyDescent="0.25">
      <c r="A143" s="1"/>
      <c r="B143" s="162" t="s">
        <v>119</v>
      </c>
      <c r="C143" s="163">
        <v>39264</v>
      </c>
      <c r="D143" s="163">
        <v>39195</v>
      </c>
      <c r="E143" s="163">
        <v>12571</v>
      </c>
      <c r="F143" s="163">
        <v>20808</v>
      </c>
      <c r="G143" s="163">
        <v>32138</v>
      </c>
      <c r="H143" s="163">
        <v>40929</v>
      </c>
      <c r="I143" s="164">
        <f t="shared" si="59"/>
        <v>0.27353911257701169</v>
      </c>
      <c r="J143" s="165">
        <f t="shared" si="56"/>
        <v>2.2558269031898814</v>
      </c>
      <c r="K143" s="163">
        <f t="shared" si="57"/>
        <v>8791</v>
      </c>
      <c r="L143" s="163">
        <f t="shared" si="58"/>
        <v>28358</v>
      </c>
      <c r="M143" s="164">
        <f t="shared" si="60"/>
        <v>1.1860067030575524E-3</v>
      </c>
      <c r="N143" s="79"/>
    </row>
    <row r="144" spans="1:14" x14ac:dyDescent="0.25">
      <c r="A144" s="1"/>
      <c r="B144" s="162" t="s">
        <v>128</v>
      </c>
      <c r="C144" s="163">
        <v>17025</v>
      </c>
      <c r="D144" s="163">
        <v>18681</v>
      </c>
      <c r="E144" s="163">
        <v>15372</v>
      </c>
      <c r="F144" s="163">
        <v>9958</v>
      </c>
      <c r="G144" s="163">
        <v>24691</v>
      </c>
      <c r="H144" s="163">
        <v>28155</v>
      </c>
      <c r="I144" s="164">
        <f t="shared" si="59"/>
        <v>0.14029403426349685</v>
      </c>
      <c r="J144" s="165">
        <f t="shared" si="56"/>
        <v>0.83157689305230287</v>
      </c>
      <c r="K144" s="163">
        <f t="shared" si="57"/>
        <v>3464</v>
      </c>
      <c r="L144" s="163">
        <f t="shared" si="58"/>
        <v>12783</v>
      </c>
      <c r="M144" s="164">
        <f t="shared" si="60"/>
        <v>8.1585229848238144E-4</v>
      </c>
      <c r="N144" s="79"/>
    </row>
    <row r="145" spans="1:14" x14ac:dyDescent="0.25">
      <c r="A145" s="161" t="s">
        <v>144</v>
      </c>
      <c r="B145" s="162" t="s">
        <v>131</v>
      </c>
      <c r="C145" s="163">
        <v>77288</v>
      </c>
      <c r="D145" s="163">
        <v>47882</v>
      </c>
      <c r="E145" s="163">
        <v>29519</v>
      </c>
      <c r="F145" s="163">
        <v>6358</v>
      </c>
      <c r="G145" s="163">
        <v>14264</v>
      </c>
      <c r="H145" s="163">
        <v>21375</v>
      </c>
      <c r="I145" s="164">
        <f t="shared" si="59"/>
        <v>0.49852776219854178</v>
      </c>
      <c r="J145" s="165">
        <f t="shared" si="56"/>
        <v>-0.27589010467834274</v>
      </c>
      <c r="K145" s="163">
        <f t="shared" si="57"/>
        <v>7111</v>
      </c>
      <c r="L145" s="163">
        <f t="shared" si="58"/>
        <v>-8144</v>
      </c>
      <c r="M145" s="164">
        <f t="shared" si="60"/>
        <v>6.1938706730814788E-4</v>
      </c>
      <c r="N145" s="79"/>
    </row>
    <row r="146" spans="1:14" x14ac:dyDescent="0.25">
      <c r="A146" s="167" t="s">
        <v>145</v>
      </c>
      <c r="B146" s="168" t="s">
        <v>145</v>
      </c>
      <c r="C146" s="169">
        <f t="shared" ref="C146:H146" si="61">C138-SUM(C139:C145)</f>
        <v>387552</v>
      </c>
      <c r="D146" s="169">
        <f t="shared" si="61"/>
        <v>425037</v>
      </c>
      <c r="E146" s="169">
        <f t="shared" si="61"/>
        <v>152342</v>
      </c>
      <c r="F146" s="169">
        <f t="shared" si="61"/>
        <v>227190</v>
      </c>
      <c r="G146" s="169">
        <f t="shared" si="61"/>
        <v>472180</v>
      </c>
      <c r="H146" s="169">
        <f t="shared" si="61"/>
        <v>514367</v>
      </c>
      <c r="I146" s="170">
        <f t="shared" si="59"/>
        <v>8.9345164979456992E-2</v>
      </c>
      <c r="J146" s="171">
        <f t="shared" si="56"/>
        <v>2.3763965288626907</v>
      </c>
      <c r="K146" s="169">
        <f>H146-G146</f>
        <v>42187</v>
      </c>
      <c r="L146" s="169">
        <f t="shared" si="58"/>
        <v>362025</v>
      </c>
      <c r="M146" s="170">
        <f t="shared" si="60"/>
        <v>1.4904901410530531E-2</v>
      </c>
      <c r="N146" s="79"/>
    </row>
    <row r="147" spans="1:14" s="144" customFormat="1" x14ac:dyDescent="0.25">
      <c r="B147" s="153" t="s">
        <v>53</v>
      </c>
      <c r="C147" s="151"/>
      <c r="D147" s="151"/>
      <c r="E147" s="151"/>
      <c r="F147" s="151"/>
      <c r="G147" s="151"/>
      <c r="H147" s="151"/>
      <c r="I147" s="151"/>
      <c r="J147" s="151"/>
      <c r="K147" s="151"/>
      <c r="L147" s="151"/>
      <c r="M147" s="151"/>
    </row>
    <row r="148" spans="1:14" x14ac:dyDescent="0.25">
      <c r="A148" s="1">
        <v>3</v>
      </c>
      <c r="B148" s="154" t="s">
        <v>68</v>
      </c>
      <c r="C148" s="176">
        <v>791792</v>
      </c>
      <c r="D148" s="176">
        <v>721244</v>
      </c>
      <c r="E148" s="176">
        <v>235241</v>
      </c>
      <c r="F148" s="176">
        <v>320278</v>
      </c>
      <c r="G148" s="176">
        <v>622441</v>
      </c>
      <c r="H148" s="176">
        <v>781085</v>
      </c>
      <c r="I148" s="177">
        <f>IFERROR(H148/G148-1,"-")</f>
        <v>0.25487395592513984</v>
      </c>
      <c r="J148" s="177">
        <f>IFERROR(H148/E148-1,"-")</f>
        <v>2.3203608214554436</v>
      </c>
      <c r="K148" s="176">
        <f>H148-G148</f>
        <v>158644</v>
      </c>
      <c r="L148" s="176">
        <f>H148-E148</f>
        <v>545844</v>
      </c>
      <c r="M148" s="177">
        <f>H148/H$8</f>
        <v>2.2633634969281155E-2</v>
      </c>
      <c r="N148" s="79"/>
    </row>
    <row r="149" spans="1:14" x14ac:dyDescent="0.25">
      <c r="A149" s="1" t="s">
        <v>96</v>
      </c>
      <c r="B149" s="157" t="s">
        <v>97</v>
      </c>
      <c r="C149" s="158">
        <v>267197</v>
      </c>
      <c r="D149" s="158">
        <v>261107</v>
      </c>
      <c r="E149" s="158">
        <v>90513</v>
      </c>
      <c r="F149" s="158">
        <v>118326</v>
      </c>
      <c r="G149" s="158">
        <v>251371</v>
      </c>
      <c r="H149" s="158">
        <v>299320</v>
      </c>
      <c r="I149" s="159">
        <f>IFERROR(H149/G149-1,"-")</f>
        <v>0.19074992739814856</v>
      </c>
      <c r="J149" s="160">
        <f t="shared" ref="J149:J160" si="62">IFERROR(H149/E149-1,"-")</f>
        <v>2.3069282865444745</v>
      </c>
      <c r="K149" s="158">
        <f t="shared" ref="K149:K159" si="63">H149-G149</f>
        <v>47949</v>
      </c>
      <c r="L149" s="158">
        <f t="shared" ref="L149:L160" si="64">H149-E149</f>
        <v>208807</v>
      </c>
      <c r="M149" s="159">
        <f>H149/H$8</f>
        <v>8.6734473444058397E-3</v>
      </c>
      <c r="N149" s="79"/>
    </row>
    <row r="150" spans="1:14" x14ac:dyDescent="0.25">
      <c r="A150" s="161" t="s">
        <v>103</v>
      </c>
      <c r="B150" s="162" t="s">
        <v>103</v>
      </c>
      <c r="C150" s="163">
        <v>113785</v>
      </c>
      <c r="D150" s="163">
        <v>111386</v>
      </c>
      <c r="E150" s="163">
        <v>46140</v>
      </c>
      <c r="F150" s="163">
        <v>86621</v>
      </c>
      <c r="G150" s="163">
        <v>153781</v>
      </c>
      <c r="H150" s="163">
        <v>212501</v>
      </c>
      <c r="I150" s="164">
        <f>IFERROR(H150/G150-1,"-")</f>
        <v>0.38184170996416977</v>
      </c>
      <c r="J150" s="165">
        <f t="shared" si="62"/>
        <v>3.6055700043346341</v>
      </c>
      <c r="K150" s="163">
        <f t="shared" si="63"/>
        <v>58720</v>
      </c>
      <c r="L150" s="163">
        <f t="shared" si="64"/>
        <v>166361</v>
      </c>
      <c r="M150" s="164">
        <f>H150/H$8</f>
        <v>6.1576781843297648E-3</v>
      </c>
      <c r="N150" s="79"/>
    </row>
    <row r="151" spans="1:14" x14ac:dyDescent="0.25">
      <c r="A151" s="161" t="s">
        <v>100</v>
      </c>
      <c r="B151" s="162" t="s">
        <v>100</v>
      </c>
      <c r="C151" s="163">
        <v>153412</v>
      </c>
      <c r="D151" s="163">
        <v>149721</v>
      </c>
      <c r="E151" s="163">
        <v>44373</v>
      </c>
      <c r="F151" s="163">
        <v>31705</v>
      </c>
      <c r="G151" s="163">
        <v>97590</v>
      </c>
      <c r="H151" s="163">
        <v>86819</v>
      </c>
      <c r="I151" s="164">
        <f>IFERROR(H151/G151-1,"-")</f>
        <v>-0.11036991495030224</v>
      </c>
      <c r="J151" s="165">
        <f t="shared" si="62"/>
        <v>0.95657269060013972</v>
      </c>
      <c r="K151" s="163">
        <f t="shared" si="63"/>
        <v>-10771</v>
      </c>
      <c r="L151" s="163">
        <f t="shared" si="64"/>
        <v>42446</v>
      </c>
      <c r="M151" s="164">
        <f>H151/H$8</f>
        <v>2.5157691600760745E-3</v>
      </c>
      <c r="N151" s="79"/>
    </row>
    <row r="152" spans="1:14" x14ac:dyDescent="0.25">
      <c r="A152" s="1"/>
      <c r="B152" s="157" t="s">
        <v>107</v>
      </c>
      <c r="C152" s="158">
        <v>524595</v>
      </c>
      <c r="D152" s="158">
        <v>460137</v>
      </c>
      <c r="E152" s="158">
        <v>144728</v>
      </c>
      <c r="F152" s="158">
        <v>201952</v>
      </c>
      <c r="G152" s="158">
        <v>371070</v>
      </c>
      <c r="H152" s="158">
        <v>481765</v>
      </c>
      <c r="I152" s="159">
        <f>IFERROR(H152/G152-1,"-")</f>
        <v>0.29831298676799523</v>
      </c>
      <c r="J152" s="160">
        <f t="shared" si="62"/>
        <v>2.3287615388867393</v>
      </c>
      <c r="K152" s="158">
        <f t="shared" si="63"/>
        <v>110695</v>
      </c>
      <c r="L152" s="158">
        <f t="shared" si="64"/>
        <v>337037</v>
      </c>
      <c r="M152" s="159">
        <f>H152/H$8</f>
        <v>1.3960187624875315E-2</v>
      </c>
      <c r="N152" s="79"/>
    </row>
    <row r="153" spans="1:14" s="56" customFormat="1" x14ac:dyDescent="0.25">
      <c r="B153" s="162" t="s">
        <v>110</v>
      </c>
      <c r="C153" s="163">
        <v>156082</v>
      </c>
      <c r="D153" s="163">
        <v>120718</v>
      </c>
      <c r="E153" s="163">
        <v>31890</v>
      </c>
      <c r="F153" s="163">
        <v>39412</v>
      </c>
      <c r="G153" s="163">
        <v>136400</v>
      </c>
      <c r="H153" s="163">
        <v>179243</v>
      </c>
      <c r="I153" s="164">
        <f t="shared" ref="I153:I160" si="65">IFERROR(H153/G153-1,"-")</f>
        <v>0.31409824046920831</v>
      </c>
      <c r="J153" s="165">
        <f t="shared" si="62"/>
        <v>4.6206647851991223</v>
      </c>
      <c r="K153" s="163">
        <f t="shared" si="63"/>
        <v>42843</v>
      </c>
      <c r="L153" s="163">
        <f t="shared" si="64"/>
        <v>147353</v>
      </c>
      <c r="M153" s="164">
        <f t="shared" ref="M153:M160" si="66">H153/H$8</f>
        <v>5.1939553733573963E-3</v>
      </c>
      <c r="N153" s="166"/>
    </row>
    <row r="154" spans="1:14" s="56" customFormat="1" x14ac:dyDescent="0.25">
      <c r="B154" s="162" t="s">
        <v>113</v>
      </c>
      <c r="C154" s="163">
        <v>185381</v>
      </c>
      <c r="D154" s="163">
        <v>154372</v>
      </c>
      <c r="E154" s="163">
        <v>49978</v>
      </c>
      <c r="F154" s="163">
        <v>69931</v>
      </c>
      <c r="G154" s="163">
        <v>98479</v>
      </c>
      <c r="H154" s="163">
        <v>105256</v>
      </c>
      <c r="I154" s="164">
        <f t="shared" si="65"/>
        <v>6.8816702037997945E-2</v>
      </c>
      <c r="J154" s="165">
        <f t="shared" si="62"/>
        <v>1.1060466605306334</v>
      </c>
      <c r="K154" s="163">
        <f t="shared" si="63"/>
        <v>6777</v>
      </c>
      <c r="L154" s="163">
        <f t="shared" si="64"/>
        <v>55278</v>
      </c>
      <c r="M154" s="164">
        <f t="shared" si="66"/>
        <v>3.0500212938753875E-3</v>
      </c>
      <c r="N154" s="166"/>
    </row>
    <row r="155" spans="1:14" x14ac:dyDescent="0.25">
      <c r="A155" s="1"/>
      <c r="B155" s="162" t="s">
        <v>116</v>
      </c>
      <c r="C155" s="163">
        <v>70665</v>
      </c>
      <c r="D155" s="163">
        <v>63972</v>
      </c>
      <c r="E155" s="163">
        <v>14033</v>
      </c>
      <c r="F155" s="163">
        <v>26362</v>
      </c>
      <c r="G155" s="163">
        <v>41410</v>
      </c>
      <c r="H155" s="163">
        <v>72199</v>
      </c>
      <c r="I155" s="164">
        <f t="shared" si="65"/>
        <v>0.74351605892296546</v>
      </c>
      <c r="J155" s="165">
        <f t="shared" si="62"/>
        <v>4.1449440604289887</v>
      </c>
      <c r="K155" s="163">
        <f t="shared" si="63"/>
        <v>30789</v>
      </c>
      <c r="L155" s="163">
        <f t="shared" si="64"/>
        <v>58166</v>
      </c>
      <c r="M155" s="164">
        <f t="shared" si="66"/>
        <v>2.0921228946236708E-3</v>
      </c>
      <c r="N155" s="79"/>
    </row>
    <row r="156" spans="1:14" x14ac:dyDescent="0.25">
      <c r="A156" s="1"/>
      <c r="B156" s="162" t="s">
        <v>123</v>
      </c>
      <c r="C156" s="163">
        <v>7417</v>
      </c>
      <c r="D156" s="163">
        <v>7808</v>
      </c>
      <c r="E156" s="163">
        <v>2588</v>
      </c>
      <c r="F156" s="163">
        <v>4562</v>
      </c>
      <c r="G156" s="163">
        <v>9484</v>
      </c>
      <c r="H156" s="163">
        <v>12559</v>
      </c>
      <c r="I156" s="164">
        <f t="shared" si="65"/>
        <v>0.32423028258118936</v>
      </c>
      <c r="J156" s="165">
        <f t="shared" si="62"/>
        <v>3.8527820710973728</v>
      </c>
      <c r="K156" s="163">
        <f t="shared" si="63"/>
        <v>3075</v>
      </c>
      <c r="L156" s="163">
        <f t="shared" si="64"/>
        <v>9971</v>
      </c>
      <c r="M156" s="164">
        <f t="shared" si="66"/>
        <v>3.6392431243616511E-4</v>
      </c>
      <c r="N156" s="79"/>
    </row>
    <row r="157" spans="1:14" x14ac:dyDescent="0.25">
      <c r="A157" s="1"/>
      <c r="B157" s="162" t="s">
        <v>119</v>
      </c>
      <c r="C157" s="163">
        <v>17321</v>
      </c>
      <c r="D157" s="163">
        <v>21924</v>
      </c>
      <c r="E157" s="163">
        <v>10906</v>
      </c>
      <c r="F157" s="163">
        <v>13772</v>
      </c>
      <c r="G157" s="163">
        <v>27289</v>
      </c>
      <c r="H157" s="163">
        <v>21390</v>
      </c>
      <c r="I157" s="164">
        <f t="shared" si="65"/>
        <v>-0.21616768661365382</v>
      </c>
      <c r="J157" s="165">
        <f t="shared" si="62"/>
        <v>0.96130570328259668</v>
      </c>
      <c r="K157" s="163">
        <f t="shared" si="63"/>
        <v>-5899</v>
      </c>
      <c r="L157" s="163">
        <f t="shared" si="64"/>
        <v>10484</v>
      </c>
      <c r="M157" s="164">
        <f t="shared" si="66"/>
        <v>6.1982172489924133E-4</v>
      </c>
      <c r="N157" s="79"/>
    </row>
    <row r="158" spans="1:14" x14ac:dyDescent="0.25">
      <c r="A158" s="1"/>
      <c r="B158" s="162" t="s">
        <v>128</v>
      </c>
      <c r="C158" s="163">
        <v>2280</v>
      </c>
      <c r="D158" s="163">
        <v>2951</v>
      </c>
      <c r="E158" s="163">
        <v>2836</v>
      </c>
      <c r="F158" s="163">
        <v>1823</v>
      </c>
      <c r="G158" s="163">
        <v>2563</v>
      </c>
      <c r="H158" s="163">
        <v>4469</v>
      </c>
      <c r="I158" s="164">
        <f t="shared" si="65"/>
        <v>0.74365977370269221</v>
      </c>
      <c r="J158" s="165">
        <f t="shared" si="62"/>
        <v>0.57581100141043717</v>
      </c>
      <c r="K158" s="163">
        <f t="shared" si="63"/>
        <v>1906</v>
      </c>
      <c r="L158" s="163">
        <f t="shared" si="64"/>
        <v>1633</v>
      </c>
      <c r="M158" s="164">
        <f t="shared" si="66"/>
        <v>1.2949898497310471E-4</v>
      </c>
      <c r="N158" s="79"/>
    </row>
    <row r="159" spans="1:14" x14ac:dyDescent="0.25">
      <c r="A159" s="161" t="s">
        <v>144</v>
      </c>
      <c r="B159" s="162" t="s">
        <v>131</v>
      </c>
      <c r="C159" s="163">
        <v>7782</v>
      </c>
      <c r="D159" s="163">
        <v>7381</v>
      </c>
      <c r="E159" s="163">
        <v>3788</v>
      </c>
      <c r="F159" s="163">
        <v>2712</v>
      </c>
      <c r="G159" s="163">
        <v>4129</v>
      </c>
      <c r="H159" s="163">
        <v>6277</v>
      </c>
      <c r="I159" s="164">
        <f t="shared" si="65"/>
        <v>0.52022281424073635</v>
      </c>
      <c r="J159" s="165">
        <f t="shared" si="62"/>
        <v>0.65707497360084477</v>
      </c>
      <c r="K159" s="163">
        <f t="shared" si="63"/>
        <v>2148</v>
      </c>
      <c r="L159" s="163">
        <f t="shared" si="64"/>
        <v>2489</v>
      </c>
      <c r="M159" s="164">
        <f t="shared" si="66"/>
        <v>1.8188971328623365E-4</v>
      </c>
      <c r="N159" s="79"/>
    </row>
    <row r="160" spans="1:14" x14ac:dyDescent="0.25">
      <c r="A160" s="167" t="s">
        <v>145</v>
      </c>
      <c r="B160" s="168" t="s">
        <v>145</v>
      </c>
      <c r="C160" s="169">
        <f t="shared" ref="C160:H160" si="67">C152-SUM(C153:C159)</f>
        <v>77667</v>
      </c>
      <c r="D160" s="169">
        <f t="shared" si="67"/>
        <v>81011</v>
      </c>
      <c r="E160" s="169">
        <f t="shared" si="67"/>
        <v>28709</v>
      </c>
      <c r="F160" s="169">
        <f t="shared" si="67"/>
        <v>43378</v>
      </c>
      <c r="G160" s="169">
        <f t="shared" si="67"/>
        <v>51316</v>
      </c>
      <c r="H160" s="169">
        <f t="shared" si="67"/>
        <v>80372</v>
      </c>
      <c r="I160" s="170">
        <f t="shared" si="65"/>
        <v>0.56621716423727486</v>
      </c>
      <c r="J160" s="171">
        <f t="shared" si="62"/>
        <v>1.7995402138702148</v>
      </c>
      <c r="K160" s="169">
        <f>H160-G160</f>
        <v>29056</v>
      </c>
      <c r="L160" s="169">
        <f t="shared" si="64"/>
        <v>51663</v>
      </c>
      <c r="M160" s="170">
        <f t="shared" si="66"/>
        <v>2.3289533274241151E-3</v>
      </c>
      <c r="N160" s="79"/>
    </row>
    <row r="161" spans="2:16" ht="6" customHeight="1" x14ac:dyDescent="0.25">
      <c r="B161" s="125"/>
      <c r="C161" s="125"/>
      <c r="D161" s="125"/>
      <c r="E161" s="125"/>
      <c r="F161" s="125"/>
      <c r="G161" s="125"/>
      <c r="H161" s="125"/>
      <c r="I161" s="125"/>
      <c r="J161" s="125"/>
      <c r="K161" s="125"/>
      <c r="L161" s="125"/>
      <c r="M161" s="125"/>
      <c r="N161" s="125"/>
      <c r="O161" s="125"/>
      <c r="P161" s="125"/>
    </row>
    <row r="162" spans="2:16" x14ac:dyDescent="0.25">
      <c r="B162" s="105" t="s">
        <v>55</v>
      </c>
      <c r="C162" s="105"/>
      <c r="D162" s="105"/>
      <c r="E162" s="105"/>
      <c r="F162" s="105"/>
      <c r="G162" s="105"/>
      <c r="H162" s="105"/>
      <c r="I162" s="105"/>
      <c r="J162" s="105"/>
      <c r="K162" s="105"/>
      <c r="L162" s="105"/>
      <c r="M162" s="105"/>
      <c r="N162" s="105"/>
      <c r="O162" s="105"/>
      <c r="P162" s="105"/>
    </row>
  </sheetData>
  <mergeCells count="1">
    <mergeCell ref="B4:M4"/>
  </mergeCells>
  <pageMargins left="0.25" right="0.25" top="0.75" bottom="0.75" header="0.3" footer="0.3"/>
  <pageSetup paperSize="9" scale="20" orientation="landscape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36A08F-5196-41AE-B9AF-BA8B1E647FBF}">
  <sheetPr>
    <tabColor theme="3" tint="0.39997558519241921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5AC7D7-87F9-4567-949A-2FF2CE61F1E6}">
  <sheetPr>
    <tabColor theme="8" tint="0.59999389629810485"/>
  </sheetPr>
  <dimension ref="B1:R220"/>
  <sheetViews>
    <sheetView showGridLines="0" zoomScaleNormal="100" workbookViewId="0"/>
  </sheetViews>
  <sheetFormatPr baseColWidth="10" defaultColWidth="11.42578125" defaultRowHeight="15" x14ac:dyDescent="0.25"/>
  <cols>
    <col min="2" max="2" width="11.42578125" customWidth="1"/>
    <col min="3" max="3" width="16.85546875" customWidth="1"/>
    <col min="4" max="4" width="26.85546875" customWidth="1"/>
    <col min="5" max="5" width="11.5703125" customWidth="1"/>
  </cols>
  <sheetData>
    <row r="1" spans="2:18" x14ac:dyDescent="0.25">
      <c r="D1" s="286" t="s">
        <v>40</v>
      </c>
      <c r="E1" s="286"/>
      <c r="F1" s="286"/>
      <c r="G1" s="286"/>
      <c r="H1" s="286"/>
      <c r="I1" s="286"/>
      <c r="J1" s="286"/>
      <c r="K1" s="286"/>
      <c r="L1" s="286"/>
      <c r="M1" s="286"/>
      <c r="N1" s="286"/>
    </row>
    <row r="2" spans="2:18" x14ac:dyDescent="0.25">
      <c r="D2" s="286"/>
      <c r="E2" s="286"/>
      <c r="F2" s="286"/>
      <c r="G2" s="286"/>
      <c r="H2" s="286"/>
      <c r="I2" s="286"/>
      <c r="J2" s="286"/>
      <c r="K2" s="286"/>
      <c r="L2" s="286"/>
      <c r="M2" s="286"/>
      <c r="N2" s="286"/>
    </row>
    <row r="4" spans="2:18" ht="21.75" customHeight="1" thickBot="1" x14ac:dyDescent="0.3">
      <c r="C4" s="62" t="s">
        <v>41</v>
      </c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</row>
    <row r="5" spans="2:18" ht="7.5" customHeight="1" thickBot="1" x14ac:dyDescent="0.3"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</row>
    <row r="6" spans="2:18" ht="45" x14ac:dyDescent="0.25">
      <c r="B6" s="4"/>
      <c r="C6" s="4"/>
      <c r="D6" s="4"/>
      <c r="E6" s="13" t="s">
        <v>224</v>
      </c>
      <c r="F6" s="13" t="s">
        <v>225</v>
      </c>
      <c r="G6" s="13" t="s">
        <v>226</v>
      </c>
      <c r="H6" s="13" t="s">
        <v>227</v>
      </c>
      <c r="I6" s="13" t="s">
        <v>228</v>
      </c>
      <c r="J6" s="14" t="str">
        <f>CONCATENATE("var. ",RIGHT(I6,2),"/",RIGHT(H6,2))</f>
        <v>var. 24/23</v>
      </c>
      <c r="K6" s="14" t="str">
        <f>CONCATENATE("dif. ",RIGHT(I6,2),"/",RIGHT(H6,2))</f>
        <v>dif. 24/23</v>
      </c>
      <c r="L6" s="14" t="str">
        <f>CONCATENATE("var. ",RIGHT(I6,2),"/",RIGHT(E6,2))</f>
        <v>var. 24/19</v>
      </c>
      <c r="M6" s="14" t="str">
        <f>CONCATENATE("dif. ",RIGHT(I6,2),"/",RIGHT(E6,2))</f>
        <v>dif. 24/19</v>
      </c>
      <c r="N6" s="14" t="str">
        <f>CONCATENATE("cuota ",I6)</f>
        <v>cuota septiembre 2024</v>
      </c>
    </row>
    <row r="7" spans="2:18" ht="15" customHeight="1" x14ac:dyDescent="0.25">
      <c r="B7" s="271" t="s">
        <v>42</v>
      </c>
      <c r="C7" s="274" t="s">
        <v>8</v>
      </c>
      <c r="D7" s="63" t="s">
        <v>43</v>
      </c>
      <c r="E7" s="64">
        <v>382041</v>
      </c>
      <c r="F7" s="64">
        <v>280035</v>
      </c>
      <c r="G7" s="64">
        <v>390968</v>
      </c>
      <c r="H7" s="64">
        <v>423998</v>
      </c>
      <c r="I7" s="64">
        <v>434954</v>
      </c>
      <c r="J7" s="65">
        <f>I7/H7-1</f>
        <v>2.5839744527096808E-2</v>
      </c>
      <c r="K7" s="64">
        <f>I7-H7</f>
        <v>10956</v>
      </c>
      <c r="L7" s="65">
        <f>I7/E7-1</f>
        <v>0.13850084153271514</v>
      </c>
      <c r="M7" s="64">
        <f>I7-E7</f>
        <v>52913</v>
      </c>
      <c r="N7" s="65">
        <f>I7/$I$7</f>
        <v>1</v>
      </c>
      <c r="R7" s="66"/>
    </row>
    <row r="8" spans="2:18" ht="15" customHeight="1" x14ac:dyDescent="0.25">
      <c r="B8" s="272"/>
      <c r="C8" s="275"/>
      <c r="D8" s="15" t="s">
        <v>44</v>
      </c>
      <c r="E8" s="16">
        <v>136766</v>
      </c>
      <c r="F8" s="16">
        <v>105384</v>
      </c>
      <c r="G8" s="16">
        <v>140395</v>
      </c>
      <c r="H8" s="16">
        <v>153067</v>
      </c>
      <c r="I8" s="16">
        <v>148572</v>
      </c>
      <c r="J8" s="17">
        <f t="shared" ref="J8:J63" si="0">I8/H8-1</f>
        <v>-2.936622524776733E-2</v>
      </c>
      <c r="K8" s="16">
        <f t="shared" ref="K8:K50" si="1">I8-H8</f>
        <v>-4495</v>
      </c>
      <c r="L8" s="17">
        <f t="shared" ref="L8:L63" si="2">I8/E8-1</f>
        <v>8.6322624043987606E-2</v>
      </c>
      <c r="M8" s="16">
        <f t="shared" ref="M8:M50" si="3">I8-E8</f>
        <v>11806</v>
      </c>
      <c r="N8" s="18">
        <f t="shared" ref="N8:N17" si="4">I8/$I$7</f>
        <v>0.34158094878998696</v>
      </c>
      <c r="R8" s="66"/>
    </row>
    <row r="9" spans="2:18" x14ac:dyDescent="0.25">
      <c r="B9" s="272"/>
      <c r="C9" s="275"/>
      <c r="D9" s="19" t="s">
        <v>45</v>
      </c>
      <c r="E9" s="20">
        <v>99309</v>
      </c>
      <c r="F9" s="20">
        <v>59020</v>
      </c>
      <c r="G9" s="20">
        <v>103298</v>
      </c>
      <c r="H9" s="20">
        <v>107312</v>
      </c>
      <c r="I9" s="20">
        <v>111150</v>
      </c>
      <c r="J9" s="67">
        <f t="shared" si="0"/>
        <v>3.5764872521246494E-2</v>
      </c>
      <c r="K9" s="20">
        <f t="shared" si="1"/>
        <v>3838</v>
      </c>
      <c r="L9" s="67">
        <f t="shared" si="2"/>
        <v>0.11923390629248098</v>
      </c>
      <c r="M9" s="20">
        <f t="shared" si="3"/>
        <v>11841</v>
      </c>
      <c r="N9" s="68">
        <f t="shared" si="4"/>
        <v>0.25554426445095341</v>
      </c>
      <c r="R9" s="66"/>
    </row>
    <row r="10" spans="2:18" x14ac:dyDescent="0.25">
      <c r="B10" s="272"/>
      <c r="C10" s="275"/>
      <c r="D10" s="19" t="s">
        <v>46</v>
      </c>
      <c r="E10" s="20">
        <v>3494</v>
      </c>
      <c r="F10" s="20">
        <v>2289</v>
      </c>
      <c r="G10" s="20">
        <v>3143</v>
      </c>
      <c r="H10" s="20">
        <v>3734</v>
      </c>
      <c r="I10" s="20">
        <v>3135</v>
      </c>
      <c r="J10" s="67">
        <f t="shared" si="0"/>
        <v>-0.16041778253883232</v>
      </c>
      <c r="K10" s="20">
        <f t="shared" si="1"/>
        <v>-599</v>
      </c>
      <c r="L10" s="67">
        <f t="shared" si="2"/>
        <v>-0.10274756725815681</v>
      </c>
      <c r="M10" s="20">
        <f t="shared" si="3"/>
        <v>-359</v>
      </c>
      <c r="N10" s="68">
        <f t="shared" si="4"/>
        <v>7.2076587409243276E-3</v>
      </c>
      <c r="R10" s="66"/>
    </row>
    <row r="11" spans="2:18" x14ac:dyDescent="0.25">
      <c r="B11" s="272"/>
      <c r="C11" s="275"/>
      <c r="D11" s="19" t="s">
        <v>47</v>
      </c>
      <c r="E11" s="20">
        <v>11945</v>
      </c>
      <c r="F11" s="20">
        <v>8360</v>
      </c>
      <c r="G11" s="20">
        <v>10763</v>
      </c>
      <c r="H11" s="20">
        <v>16386</v>
      </c>
      <c r="I11" s="20">
        <v>17100</v>
      </c>
      <c r="J11" s="67">
        <f t="shared" si="0"/>
        <v>4.3573782497253744E-2</v>
      </c>
      <c r="K11" s="20">
        <f t="shared" si="1"/>
        <v>714</v>
      </c>
      <c r="L11" s="67">
        <f t="shared" si="2"/>
        <v>0.43156132272917547</v>
      </c>
      <c r="M11" s="20">
        <f t="shared" si="3"/>
        <v>5155</v>
      </c>
      <c r="N11" s="68">
        <f t="shared" si="4"/>
        <v>3.9314502223223607E-2</v>
      </c>
      <c r="R11" s="66"/>
    </row>
    <row r="12" spans="2:18" x14ac:dyDescent="0.25">
      <c r="B12" s="272"/>
      <c r="C12" s="275"/>
      <c r="D12" s="19" t="s">
        <v>48</v>
      </c>
      <c r="E12" s="20">
        <v>69073</v>
      </c>
      <c r="F12" s="20">
        <v>48518</v>
      </c>
      <c r="G12" s="20">
        <v>62173</v>
      </c>
      <c r="H12" s="20">
        <v>71851</v>
      </c>
      <c r="I12" s="20">
        <v>77584</v>
      </c>
      <c r="J12" s="67">
        <f t="shared" si="0"/>
        <v>7.9790121223086707E-2</v>
      </c>
      <c r="K12" s="20">
        <f t="shared" si="1"/>
        <v>5733</v>
      </c>
      <c r="L12" s="67">
        <f t="shared" si="2"/>
        <v>0.12321746557989366</v>
      </c>
      <c r="M12" s="20">
        <f t="shared" si="3"/>
        <v>8511</v>
      </c>
      <c r="N12" s="68">
        <f t="shared" si="4"/>
        <v>0.17837288540857194</v>
      </c>
      <c r="R12" s="66"/>
    </row>
    <row r="13" spans="2:18" x14ac:dyDescent="0.25">
      <c r="B13" s="272"/>
      <c r="C13" s="275"/>
      <c r="D13" s="19" t="s">
        <v>49</v>
      </c>
      <c r="E13" s="20">
        <v>3835</v>
      </c>
      <c r="F13" s="20">
        <v>3914</v>
      </c>
      <c r="G13" s="20">
        <v>4578</v>
      </c>
      <c r="H13" s="20">
        <v>4521</v>
      </c>
      <c r="I13" s="20">
        <v>5087</v>
      </c>
      <c r="J13" s="67">
        <f t="shared" si="0"/>
        <v>0.12519354125193538</v>
      </c>
      <c r="K13" s="20">
        <f t="shared" si="1"/>
        <v>566</v>
      </c>
      <c r="L13" s="67">
        <f t="shared" si="2"/>
        <v>0.32646675358539756</v>
      </c>
      <c r="M13" s="20">
        <f t="shared" si="3"/>
        <v>1252</v>
      </c>
      <c r="N13" s="68">
        <f t="shared" si="4"/>
        <v>1.1695489637984707E-2</v>
      </c>
      <c r="R13" s="66"/>
    </row>
    <row r="14" spans="2:18" x14ac:dyDescent="0.25">
      <c r="B14" s="272"/>
      <c r="C14" s="275"/>
      <c r="D14" s="19" t="s">
        <v>50</v>
      </c>
      <c r="E14" s="20">
        <v>11463</v>
      </c>
      <c r="F14" s="20">
        <v>13048</v>
      </c>
      <c r="G14" s="20">
        <v>17425</v>
      </c>
      <c r="H14" s="20">
        <v>18863</v>
      </c>
      <c r="I14" s="20">
        <v>20469</v>
      </c>
      <c r="J14" s="67">
        <f t="shared" si="0"/>
        <v>8.5140221597836963E-2</v>
      </c>
      <c r="K14" s="20">
        <f t="shared" si="1"/>
        <v>1606</v>
      </c>
      <c r="L14" s="67">
        <f t="shared" si="2"/>
        <v>0.78565820465846636</v>
      </c>
      <c r="M14" s="20">
        <f t="shared" si="3"/>
        <v>9006</v>
      </c>
      <c r="N14" s="68">
        <f t="shared" si="4"/>
        <v>4.7060148889307832E-2</v>
      </c>
      <c r="R14" s="66"/>
    </row>
    <row r="15" spans="2:18" x14ac:dyDescent="0.25">
      <c r="B15" s="272"/>
      <c r="C15" s="275"/>
      <c r="D15" s="19" t="s">
        <v>51</v>
      </c>
      <c r="E15" s="20">
        <v>15992</v>
      </c>
      <c r="F15" s="20">
        <v>16473</v>
      </c>
      <c r="G15" s="20">
        <v>19959</v>
      </c>
      <c r="H15" s="20">
        <v>15933</v>
      </c>
      <c r="I15" s="20">
        <v>19577</v>
      </c>
      <c r="J15" s="67">
        <f t="shared" si="0"/>
        <v>0.22870771355049269</v>
      </c>
      <c r="K15" s="20">
        <f t="shared" si="1"/>
        <v>3644</v>
      </c>
      <c r="L15" s="67">
        <f t="shared" si="2"/>
        <v>0.22417458729364692</v>
      </c>
      <c r="M15" s="20">
        <f t="shared" si="3"/>
        <v>3585</v>
      </c>
      <c r="N15" s="68">
        <f t="shared" si="4"/>
        <v>4.5009357311347864E-2</v>
      </c>
      <c r="R15" s="66"/>
    </row>
    <row r="16" spans="2:18" x14ac:dyDescent="0.25">
      <c r="B16" s="272"/>
      <c r="C16" s="275"/>
      <c r="D16" s="19" t="s">
        <v>52</v>
      </c>
      <c r="E16" s="20">
        <v>22149</v>
      </c>
      <c r="F16" s="20">
        <v>15267</v>
      </c>
      <c r="G16" s="20">
        <v>20130</v>
      </c>
      <c r="H16" s="20">
        <v>22106</v>
      </c>
      <c r="I16" s="20">
        <v>21182</v>
      </c>
      <c r="J16" s="67">
        <f t="shared" si="0"/>
        <v>-4.1798606713109532E-2</v>
      </c>
      <c r="K16" s="20">
        <f t="shared" si="1"/>
        <v>-924</v>
      </c>
      <c r="L16" s="67">
        <f t="shared" si="2"/>
        <v>-4.3658855930290286E-2</v>
      </c>
      <c r="M16" s="20">
        <f t="shared" si="3"/>
        <v>-967</v>
      </c>
      <c r="N16" s="68">
        <f t="shared" si="4"/>
        <v>4.8699402695457451E-2</v>
      </c>
      <c r="R16" s="66"/>
    </row>
    <row r="17" spans="2:18" x14ac:dyDescent="0.25">
      <c r="B17" s="272"/>
      <c r="C17" s="276"/>
      <c r="D17" s="23" t="s">
        <v>53</v>
      </c>
      <c r="E17" s="69">
        <v>8015</v>
      </c>
      <c r="F17" s="69">
        <v>7762</v>
      </c>
      <c r="G17" s="69">
        <v>9104</v>
      </c>
      <c r="H17" s="69">
        <v>10225</v>
      </c>
      <c r="I17" s="69">
        <v>11098</v>
      </c>
      <c r="J17" s="25">
        <f t="shared" si="0"/>
        <v>8.5378973105134426E-2</v>
      </c>
      <c r="K17" s="69">
        <f t="shared" si="1"/>
        <v>873</v>
      </c>
      <c r="L17" s="25">
        <f t="shared" si="2"/>
        <v>0.38465377417342483</v>
      </c>
      <c r="M17" s="69">
        <f t="shared" si="3"/>
        <v>3083</v>
      </c>
      <c r="N17" s="46">
        <f t="shared" si="4"/>
        <v>2.5515341852241847E-2</v>
      </c>
      <c r="R17" s="66"/>
    </row>
    <row r="18" spans="2:18" x14ac:dyDescent="0.25">
      <c r="B18" s="272"/>
      <c r="C18" s="277" t="s">
        <v>18</v>
      </c>
      <c r="D18" s="63" t="s">
        <v>43</v>
      </c>
      <c r="E18" s="64">
        <v>461475</v>
      </c>
      <c r="F18" s="64">
        <v>325738</v>
      </c>
      <c r="G18" s="64">
        <v>465229</v>
      </c>
      <c r="H18" s="64">
        <v>499749</v>
      </c>
      <c r="I18" s="64">
        <v>518511</v>
      </c>
      <c r="J18" s="65">
        <f t="shared" si="0"/>
        <v>3.7542846508947569E-2</v>
      </c>
      <c r="K18" s="64">
        <f t="shared" si="1"/>
        <v>18762</v>
      </c>
      <c r="L18" s="65">
        <f t="shared" si="2"/>
        <v>0.12359499431171783</v>
      </c>
      <c r="M18" s="64">
        <f t="shared" si="3"/>
        <v>57036</v>
      </c>
      <c r="N18" s="65">
        <f t="shared" ref="N18:N19" si="5">I18/$I$18</f>
        <v>1</v>
      </c>
    </row>
    <row r="19" spans="2:18" x14ac:dyDescent="0.25">
      <c r="B19" s="272"/>
      <c r="C19" s="278"/>
      <c r="D19" s="26" t="s">
        <v>44</v>
      </c>
      <c r="E19" s="27">
        <v>168508</v>
      </c>
      <c r="F19" s="27">
        <v>126117</v>
      </c>
      <c r="G19" s="27">
        <v>171345</v>
      </c>
      <c r="H19" s="27">
        <v>183654</v>
      </c>
      <c r="I19" s="27">
        <v>181999</v>
      </c>
      <c r="J19" s="28">
        <f t="shared" si="0"/>
        <v>-9.0115107756977286E-3</v>
      </c>
      <c r="K19" s="27">
        <f t="shared" si="1"/>
        <v>-1655</v>
      </c>
      <c r="L19" s="28">
        <f t="shared" si="2"/>
        <v>8.0061480760557302E-2</v>
      </c>
      <c r="M19" s="27">
        <f t="shared" si="3"/>
        <v>13491</v>
      </c>
      <c r="N19" s="18">
        <f t="shared" si="5"/>
        <v>0.35100316097440554</v>
      </c>
    </row>
    <row r="20" spans="2:18" x14ac:dyDescent="0.25">
      <c r="B20" s="272"/>
      <c r="C20" s="278"/>
      <c r="D20" s="4" t="s">
        <v>45</v>
      </c>
      <c r="E20" s="29">
        <v>122832</v>
      </c>
      <c r="F20" s="29">
        <v>68931</v>
      </c>
      <c r="G20" s="29">
        <v>125170</v>
      </c>
      <c r="H20" s="29">
        <v>128953</v>
      </c>
      <c r="I20" s="29">
        <v>134918</v>
      </c>
      <c r="J20" s="70">
        <f t="shared" si="0"/>
        <v>4.6257163462656958E-2</v>
      </c>
      <c r="K20" s="29">
        <f t="shared" si="1"/>
        <v>5965</v>
      </c>
      <c r="L20" s="70">
        <f t="shared" si="2"/>
        <v>9.8394555164777797E-2</v>
      </c>
      <c r="M20" s="29">
        <f t="shared" si="3"/>
        <v>12086</v>
      </c>
      <c r="N20" s="68">
        <f>I20/$I$18</f>
        <v>0.26020277294020766</v>
      </c>
    </row>
    <row r="21" spans="2:18" x14ac:dyDescent="0.25">
      <c r="B21" s="272"/>
      <c r="C21" s="278"/>
      <c r="D21" s="4" t="s">
        <v>46</v>
      </c>
      <c r="E21" s="29">
        <v>3964</v>
      </c>
      <c r="F21" s="29">
        <v>2558</v>
      </c>
      <c r="G21" s="29">
        <v>3499</v>
      </c>
      <c r="H21" s="29">
        <v>4023</v>
      </c>
      <c r="I21" s="29">
        <v>3471</v>
      </c>
      <c r="J21" s="70">
        <f t="shared" si="0"/>
        <v>-0.13721103653989564</v>
      </c>
      <c r="K21" s="29">
        <f t="shared" si="1"/>
        <v>-552</v>
      </c>
      <c r="L21" s="70">
        <f t="shared" si="2"/>
        <v>-0.12436932391523714</v>
      </c>
      <c r="M21" s="29">
        <f t="shared" si="3"/>
        <v>-493</v>
      </c>
      <c r="N21" s="68">
        <f t="shared" ref="N21:N28" si="6">I21/$I$18</f>
        <v>6.6941684940145917E-3</v>
      </c>
    </row>
    <row r="22" spans="2:18" x14ac:dyDescent="0.25">
      <c r="B22" s="272"/>
      <c r="C22" s="278"/>
      <c r="D22" s="4" t="s">
        <v>47</v>
      </c>
      <c r="E22" s="29">
        <v>14155</v>
      </c>
      <c r="F22" s="29">
        <v>9924</v>
      </c>
      <c r="G22" s="29">
        <v>13134</v>
      </c>
      <c r="H22" s="29">
        <v>18421</v>
      </c>
      <c r="I22" s="29">
        <v>19553</v>
      </c>
      <c r="J22" s="70">
        <f t="shared" si="0"/>
        <v>6.1451604147440442E-2</v>
      </c>
      <c r="K22" s="29">
        <f t="shared" si="1"/>
        <v>1132</v>
      </c>
      <c r="L22" s="70">
        <f t="shared" si="2"/>
        <v>0.3813493465206641</v>
      </c>
      <c r="M22" s="29">
        <f t="shared" si="3"/>
        <v>5398</v>
      </c>
      <c r="N22" s="68">
        <f t="shared" si="6"/>
        <v>3.7709903936464222E-2</v>
      </c>
    </row>
    <row r="23" spans="2:18" x14ac:dyDescent="0.25">
      <c r="B23" s="272"/>
      <c r="C23" s="278"/>
      <c r="D23" s="4" t="s">
        <v>48</v>
      </c>
      <c r="E23" s="29">
        <v>81941</v>
      </c>
      <c r="F23" s="29">
        <v>55397</v>
      </c>
      <c r="G23" s="29">
        <v>71676</v>
      </c>
      <c r="H23" s="29">
        <v>83171</v>
      </c>
      <c r="I23" s="29">
        <v>91131</v>
      </c>
      <c r="J23" s="70">
        <f t="shared" si="0"/>
        <v>9.5706436137596107E-2</v>
      </c>
      <c r="K23" s="29">
        <f t="shared" si="1"/>
        <v>7960</v>
      </c>
      <c r="L23" s="70">
        <f t="shared" si="2"/>
        <v>0.11215386680660466</v>
      </c>
      <c r="M23" s="29">
        <f t="shared" si="3"/>
        <v>9190</v>
      </c>
      <c r="N23" s="68">
        <f t="shared" si="6"/>
        <v>0.17575519130741682</v>
      </c>
    </row>
    <row r="24" spans="2:18" x14ac:dyDescent="0.25">
      <c r="B24" s="272"/>
      <c r="C24" s="278"/>
      <c r="D24" s="4" t="s">
        <v>49</v>
      </c>
      <c r="E24" s="29">
        <v>3949</v>
      </c>
      <c r="F24" s="29">
        <v>3996</v>
      </c>
      <c r="G24" s="29">
        <v>4766</v>
      </c>
      <c r="H24" s="29">
        <v>4736</v>
      </c>
      <c r="I24" s="29">
        <v>5250</v>
      </c>
      <c r="J24" s="70">
        <f t="shared" si="0"/>
        <v>0.10853040540540548</v>
      </c>
      <c r="K24" s="29">
        <f t="shared" si="1"/>
        <v>514</v>
      </c>
      <c r="L24" s="70">
        <f t="shared" si="2"/>
        <v>0.32945049379589775</v>
      </c>
      <c r="M24" s="29">
        <f t="shared" si="3"/>
        <v>1301</v>
      </c>
      <c r="N24" s="68">
        <f t="shared" si="6"/>
        <v>1.0125146814628812E-2</v>
      </c>
    </row>
    <row r="25" spans="2:18" x14ac:dyDescent="0.25">
      <c r="B25" s="272"/>
      <c r="C25" s="278"/>
      <c r="D25" s="4" t="s">
        <v>50</v>
      </c>
      <c r="E25" s="29">
        <v>14009</v>
      </c>
      <c r="F25" s="29">
        <v>15344</v>
      </c>
      <c r="G25" s="29">
        <v>20526</v>
      </c>
      <c r="H25" s="29">
        <v>22179</v>
      </c>
      <c r="I25" s="29">
        <v>24127</v>
      </c>
      <c r="J25" s="70">
        <f t="shared" si="0"/>
        <v>8.7830830966229234E-2</v>
      </c>
      <c r="K25" s="29">
        <f t="shared" si="1"/>
        <v>1948</v>
      </c>
      <c r="L25" s="70">
        <f t="shared" si="2"/>
        <v>0.72224998215432934</v>
      </c>
      <c r="M25" s="29">
        <f t="shared" si="3"/>
        <v>10118</v>
      </c>
      <c r="N25" s="68">
        <f t="shared" si="6"/>
        <v>4.6531317561247496E-2</v>
      </c>
    </row>
    <row r="26" spans="2:18" x14ac:dyDescent="0.25">
      <c r="B26" s="272"/>
      <c r="C26" s="278"/>
      <c r="D26" s="4" t="s">
        <v>51</v>
      </c>
      <c r="E26" s="29">
        <v>16545</v>
      </c>
      <c r="F26" s="29">
        <v>16992</v>
      </c>
      <c r="G26" s="29">
        <v>20549</v>
      </c>
      <c r="H26" s="29">
        <v>16671</v>
      </c>
      <c r="I26" s="29">
        <v>20174</v>
      </c>
      <c r="J26" s="70">
        <f t="shared" si="0"/>
        <v>0.21012536740447474</v>
      </c>
      <c r="K26" s="29">
        <f t="shared" si="1"/>
        <v>3503</v>
      </c>
      <c r="L26" s="70">
        <f t="shared" si="2"/>
        <v>0.21934119069205193</v>
      </c>
      <c r="M26" s="29">
        <f t="shared" si="3"/>
        <v>3629</v>
      </c>
      <c r="N26" s="68">
        <f t="shared" si="6"/>
        <v>3.8907564159680316E-2</v>
      </c>
    </row>
    <row r="27" spans="2:18" x14ac:dyDescent="0.25">
      <c r="B27" s="272"/>
      <c r="C27" s="278"/>
      <c r="D27" s="4" t="s">
        <v>52</v>
      </c>
      <c r="E27" s="29">
        <v>26444</v>
      </c>
      <c r="F27" s="29">
        <v>17890</v>
      </c>
      <c r="G27" s="29">
        <v>24264</v>
      </c>
      <c r="H27" s="29">
        <v>26447</v>
      </c>
      <c r="I27" s="29">
        <v>25421</v>
      </c>
      <c r="J27" s="30">
        <f t="shared" si="0"/>
        <v>-3.8794570272620676E-2</v>
      </c>
      <c r="K27" s="29">
        <f t="shared" si="1"/>
        <v>-1026</v>
      </c>
      <c r="L27" s="30">
        <f t="shared" si="2"/>
        <v>-3.8685524126455872E-2</v>
      </c>
      <c r="M27" s="29">
        <f t="shared" si="3"/>
        <v>-1023</v>
      </c>
      <c r="N27" s="31">
        <f t="shared" si="6"/>
        <v>4.9026925176129339E-2</v>
      </c>
    </row>
    <row r="28" spans="2:18" x14ac:dyDescent="0.25">
      <c r="B28" s="272"/>
      <c r="C28" s="279"/>
      <c r="D28" s="32" t="s">
        <v>53</v>
      </c>
      <c r="E28" s="71">
        <v>9128</v>
      </c>
      <c r="F28" s="71">
        <v>8589</v>
      </c>
      <c r="G28" s="71">
        <v>10300</v>
      </c>
      <c r="H28" s="71">
        <v>11494</v>
      </c>
      <c r="I28" s="71">
        <v>12467</v>
      </c>
      <c r="J28" s="34">
        <f t="shared" si="0"/>
        <v>8.4652862362972092E-2</v>
      </c>
      <c r="K28" s="71">
        <f t="shared" si="1"/>
        <v>973</v>
      </c>
      <c r="L28" s="34">
        <f t="shared" si="2"/>
        <v>0.36579754601226999</v>
      </c>
      <c r="M28" s="71">
        <f t="shared" si="3"/>
        <v>3339</v>
      </c>
      <c r="N28" s="72">
        <f t="shared" si="6"/>
        <v>2.4043848635805221E-2</v>
      </c>
    </row>
    <row r="29" spans="2:18" x14ac:dyDescent="0.25">
      <c r="B29" s="272"/>
      <c r="C29" s="274" t="s">
        <v>21</v>
      </c>
      <c r="D29" s="63" t="s">
        <v>43</v>
      </c>
      <c r="E29" s="64">
        <v>2760383</v>
      </c>
      <c r="F29" s="64">
        <v>1786950</v>
      </c>
      <c r="G29" s="64">
        <v>2570788</v>
      </c>
      <c r="H29" s="64">
        <v>2803075</v>
      </c>
      <c r="I29" s="64">
        <v>2881997</v>
      </c>
      <c r="J29" s="65">
        <f t="shared" si="0"/>
        <v>2.8155507790551537E-2</v>
      </c>
      <c r="K29" s="64">
        <f t="shared" si="1"/>
        <v>78922</v>
      </c>
      <c r="L29" s="65">
        <f t="shared" si="2"/>
        <v>4.4056929781120857E-2</v>
      </c>
      <c r="M29" s="64">
        <f t="shared" si="3"/>
        <v>121614</v>
      </c>
      <c r="N29" s="65">
        <f t="shared" ref="N29:N30" si="7">I29/$I$29</f>
        <v>1</v>
      </c>
    </row>
    <row r="30" spans="2:18" x14ac:dyDescent="0.25">
      <c r="B30" s="272"/>
      <c r="C30" s="275"/>
      <c r="D30" s="15" t="s">
        <v>44</v>
      </c>
      <c r="E30" s="16">
        <v>1060717</v>
      </c>
      <c r="F30" s="16">
        <v>762012</v>
      </c>
      <c r="G30" s="16">
        <v>1013730</v>
      </c>
      <c r="H30" s="16">
        <v>1102818</v>
      </c>
      <c r="I30" s="16">
        <v>1101231</v>
      </c>
      <c r="J30" s="17">
        <f t="shared" si="0"/>
        <v>-1.4390407120666859E-3</v>
      </c>
      <c r="K30" s="16">
        <f t="shared" si="1"/>
        <v>-1587</v>
      </c>
      <c r="L30" s="17">
        <f t="shared" si="2"/>
        <v>3.8194919097176649E-2</v>
      </c>
      <c r="M30" s="16">
        <f t="shared" si="3"/>
        <v>40514</v>
      </c>
      <c r="N30" s="18">
        <f t="shared" si="7"/>
        <v>0.38210692099957078</v>
      </c>
    </row>
    <row r="31" spans="2:18" x14ac:dyDescent="0.25">
      <c r="B31" s="272"/>
      <c r="C31" s="275"/>
      <c r="D31" s="19" t="s">
        <v>45</v>
      </c>
      <c r="E31" s="20">
        <v>796998</v>
      </c>
      <c r="F31" s="20">
        <v>422869</v>
      </c>
      <c r="G31" s="20">
        <v>748642</v>
      </c>
      <c r="H31" s="20">
        <v>799868</v>
      </c>
      <c r="I31" s="20">
        <v>807680</v>
      </c>
      <c r="J31" s="67">
        <f>I31/H31-1</f>
        <v>9.7666114908960822E-3</v>
      </c>
      <c r="K31" s="20">
        <f t="shared" si="1"/>
        <v>7812</v>
      </c>
      <c r="L31" s="67">
        <f t="shared" si="2"/>
        <v>1.3402793984426564E-2</v>
      </c>
      <c r="M31" s="20">
        <f t="shared" si="3"/>
        <v>10682</v>
      </c>
      <c r="N31" s="68">
        <f>I31/$I$29</f>
        <v>0.28025011823398843</v>
      </c>
    </row>
    <row r="32" spans="2:18" x14ac:dyDescent="0.25">
      <c r="B32" s="272"/>
      <c r="C32" s="275"/>
      <c r="D32" s="19" t="s">
        <v>46</v>
      </c>
      <c r="E32" s="20">
        <v>20450</v>
      </c>
      <c r="F32" s="20">
        <v>12114</v>
      </c>
      <c r="G32" s="20">
        <v>13618</v>
      </c>
      <c r="H32" s="20">
        <v>13736</v>
      </c>
      <c r="I32" s="20">
        <v>17692</v>
      </c>
      <c r="J32" s="67">
        <f t="shared" ref="J32:J41" si="8">I32/H32-1</f>
        <v>0.28800232964472916</v>
      </c>
      <c r="K32" s="20">
        <f t="shared" si="1"/>
        <v>3956</v>
      </c>
      <c r="L32" s="67">
        <f t="shared" si="2"/>
        <v>-0.13486552567237164</v>
      </c>
      <c r="M32" s="20">
        <f t="shared" si="3"/>
        <v>-2758</v>
      </c>
      <c r="N32" s="68">
        <f t="shared" ref="N32:N39" si="9">I32/$I$29</f>
        <v>6.1387988953493008E-3</v>
      </c>
    </row>
    <row r="33" spans="2:14" x14ac:dyDescent="0.25">
      <c r="B33" s="272"/>
      <c r="C33" s="275"/>
      <c r="D33" s="19" t="s">
        <v>47</v>
      </c>
      <c r="E33" s="20">
        <v>67472</v>
      </c>
      <c r="F33" s="20">
        <v>47142</v>
      </c>
      <c r="G33" s="20">
        <v>74490</v>
      </c>
      <c r="H33" s="20">
        <v>66924</v>
      </c>
      <c r="I33" s="20">
        <v>81749</v>
      </c>
      <c r="J33" s="67">
        <f t="shared" si="8"/>
        <v>0.22151993305839457</v>
      </c>
      <c r="K33" s="20">
        <f t="shared" si="1"/>
        <v>14825</v>
      </c>
      <c r="L33" s="67">
        <f t="shared" si="2"/>
        <v>0.21159888546359973</v>
      </c>
      <c r="M33" s="20">
        <f t="shared" si="3"/>
        <v>14277</v>
      </c>
      <c r="N33" s="68">
        <f t="shared" si="9"/>
        <v>2.8365400796739205E-2</v>
      </c>
    </row>
    <row r="34" spans="2:14" x14ac:dyDescent="0.25">
      <c r="B34" s="272"/>
      <c r="C34" s="275"/>
      <c r="D34" s="19" t="s">
        <v>48</v>
      </c>
      <c r="E34" s="20">
        <v>471100</v>
      </c>
      <c r="F34" s="20">
        <v>281990</v>
      </c>
      <c r="G34" s="20">
        <v>378277</v>
      </c>
      <c r="H34" s="20">
        <v>441114</v>
      </c>
      <c r="I34" s="20">
        <v>489204</v>
      </c>
      <c r="J34" s="67">
        <f t="shared" si="8"/>
        <v>0.10901943715230078</v>
      </c>
      <c r="K34" s="20">
        <f t="shared" si="1"/>
        <v>48090</v>
      </c>
      <c r="L34" s="67">
        <f t="shared" si="2"/>
        <v>3.8429208236043344E-2</v>
      </c>
      <c r="M34" s="20">
        <f t="shared" si="3"/>
        <v>18104</v>
      </c>
      <c r="N34" s="68">
        <f t="shared" si="9"/>
        <v>0.16974479848521701</v>
      </c>
    </row>
    <row r="35" spans="2:14" x14ac:dyDescent="0.25">
      <c r="B35" s="272"/>
      <c r="C35" s="275"/>
      <c r="D35" s="19" t="s">
        <v>49</v>
      </c>
      <c r="E35" s="20">
        <v>8003</v>
      </c>
      <c r="F35" s="20">
        <v>9600</v>
      </c>
      <c r="G35" s="20">
        <v>10967</v>
      </c>
      <c r="H35" s="20">
        <v>10606</v>
      </c>
      <c r="I35" s="20">
        <v>11345</v>
      </c>
      <c r="J35" s="67">
        <f t="shared" si="8"/>
        <v>6.9677541014520061E-2</v>
      </c>
      <c r="K35" s="20">
        <f t="shared" si="1"/>
        <v>739</v>
      </c>
      <c r="L35" s="67">
        <f t="shared" si="2"/>
        <v>0.41759340247407217</v>
      </c>
      <c r="M35" s="20">
        <f t="shared" si="3"/>
        <v>3342</v>
      </c>
      <c r="N35" s="68">
        <f t="shared" si="9"/>
        <v>3.9365065265508604E-3</v>
      </c>
    </row>
    <row r="36" spans="2:14" x14ac:dyDescent="0.25">
      <c r="B36" s="272"/>
      <c r="C36" s="275"/>
      <c r="D36" s="19" t="s">
        <v>50</v>
      </c>
      <c r="E36" s="20">
        <v>88940</v>
      </c>
      <c r="F36" s="20">
        <v>89465</v>
      </c>
      <c r="G36" s="20">
        <v>107425</v>
      </c>
      <c r="H36" s="20">
        <v>125237</v>
      </c>
      <c r="I36" s="20">
        <v>124231</v>
      </c>
      <c r="J36" s="67">
        <f t="shared" si="8"/>
        <v>-8.0327698683296811E-3</v>
      </c>
      <c r="K36" s="20">
        <f t="shared" si="1"/>
        <v>-1006</v>
      </c>
      <c r="L36" s="67">
        <f t="shared" si="2"/>
        <v>0.39679559253429275</v>
      </c>
      <c r="M36" s="20">
        <f t="shared" si="3"/>
        <v>35291</v>
      </c>
      <c r="N36" s="68">
        <f t="shared" si="9"/>
        <v>4.3105874156010575E-2</v>
      </c>
    </row>
    <row r="37" spans="2:14" x14ac:dyDescent="0.25">
      <c r="B37" s="272"/>
      <c r="C37" s="275"/>
      <c r="D37" s="19" t="s">
        <v>51</v>
      </c>
      <c r="E37" s="20">
        <v>36471</v>
      </c>
      <c r="F37" s="20">
        <v>36202</v>
      </c>
      <c r="G37" s="20">
        <v>42224</v>
      </c>
      <c r="H37" s="20">
        <v>40151</v>
      </c>
      <c r="I37" s="20">
        <v>43154</v>
      </c>
      <c r="J37" s="67">
        <f t="shared" si="8"/>
        <v>7.479265771711785E-2</v>
      </c>
      <c r="K37" s="20">
        <f t="shared" si="1"/>
        <v>3003</v>
      </c>
      <c r="L37" s="67">
        <f t="shared" si="2"/>
        <v>0.18324147953168279</v>
      </c>
      <c r="M37" s="20">
        <f t="shared" si="3"/>
        <v>6683</v>
      </c>
      <c r="N37" s="68">
        <f t="shared" si="9"/>
        <v>1.4973645010733876E-2</v>
      </c>
    </row>
    <row r="38" spans="2:14" x14ac:dyDescent="0.25">
      <c r="B38" s="272"/>
      <c r="C38" s="275"/>
      <c r="D38" s="19" t="s">
        <v>52</v>
      </c>
      <c r="E38" s="20">
        <v>164115</v>
      </c>
      <c r="F38" s="20">
        <v>89027</v>
      </c>
      <c r="G38" s="20">
        <v>136089</v>
      </c>
      <c r="H38" s="20">
        <v>150809</v>
      </c>
      <c r="I38" s="20">
        <v>145872</v>
      </c>
      <c r="J38" s="21">
        <f t="shared" si="8"/>
        <v>-3.2736773004263697E-2</v>
      </c>
      <c r="K38" s="20">
        <f t="shared" si="1"/>
        <v>-4937</v>
      </c>
      <c r="L38" s="21">
        <f t="shared" si="2"/>
        <v>-0.11115985741705514</v>
      </c>
      <c r="M38" s="20">
        <f t="shared" si="3"/>
        <v>-18243</v>
      </c>
      <c r="N38" s="22">
        <f t="shared" si="9"/>
        <v>5.0614903485326324E-2</v>
      </c>
    </row>
    <row r="39" spans="2:14" x14ac:dyDescent="0.25">
      <c r="B39" s="272"/>
      <c r="C39" s="276"/>
      <c r="D39" s="23" t="s">
        <v>53</v>
      </c>
      <c r="E39" s="69">
        <v>46117</v>
      </c>
      <c r="F39" s="69">
        <v>36529</v>
      </c>
      <c r="G39" s="69">
        <v>45326</v>
      </c>
      <c r="H39" s="69">
        <v>51812</v>
      </c>
      <c r="I39" s="69">
        <v>59839</v>
      </c>
      <c r="J39" s="25">
        <f t="shared" si="8"/>
        <v>0.15492549988419668</v>
      </c>
      <c r="K39" s="69">
        <f t="shared" si="1"/>
        <v>8027</v>
      </c>
      <c r="L39" s="25">
        <f t="shared" si="2"/>
        <v>0.29754754212112666</v>
      </c>
      <c r="M39" s="69">
        <f t="shared" si="3"/>
        <v>13722</v>
      </c>
      <c r="N39" s="46">
        <f t="shared" si="9"/>
        <v>2.0763033410513613E-2</v>
      </c>
    </row>
    <row r="40" spans="2:14" x14ac:dyDescent="0.25">
      <c r="B40" s="272"/>
      <c r="C40" s="287" t="s">
        <v>22</v>
      </c>
      <c r="D40" s="63" t="s">
        <v>43</v>
      </c>
      <c r="E40" s="73">
        <v>7.2253580113129221</v>
      </c>
      <c r="F40" s="73">
        <v>6.3811666398843006</v>
      </c>
      <c r="G40" s="73">
        <v>6.575443514558736</v>
      </c>
      <c r="H40" s="73">
        <v>6.6110571276279604</v>
      </c>
      <c r="I40" s="73">
        <v>6.625981138235308</v>
      </c>
      <c r="J40" s="65">
        <f t="shared" si="8"/>
        <v>2.2574318023935724E-3</v>
      </c>
      <c r="K40" s="73">
        <f t="shared" si="1"/>
        <v>1.4924010607347604E-2</v>
      </c>
      <c r="L40" s="65">
        <f t="shared" si="2"/>
        <v>-8.2954626212175864E-2</v>
      </c>
      <c r="M40" s="73">
        <f t="shared" si="3"/>
        <v>-0.59937687307761411</v>
      </c>
      <c r="N40" s="65"/>
    </row>
    <row r="41" spans="2:14" x14ac:dyDescent="0.25">
      <c r="B41" s="272"/>
      <c r="C41" s="288"/>
      <c r="D41" s="26" t="s">
        <v>44</v>
      </c>
      <c r="E41" s="35">
        <v>7.7557068277203403</v>
      </c>
      <c r="F41" s="35">
        <v>7.2308130266454107</v>
      </c>
      <c r="G41" s="35">
        <v>7.2205562876170806</v>
      </c>
      <c r="H41" s="35">
        <v>7.2048057386634614</v>
      </c>
      <c r="I41" s="35">
        <v>7.4121032226799128</v>
      </c>
      <c r="J41" s="36">
        <f t="shared" si="8"/>
        <v>2.8772112883491463E-2</v>
      </c>
      <c r="K41" s="37">
        <f t="shared" si="1"/>
        <v>0.20729748401645143</v>
      </c>
      <c r="L41" s="36">
        <f t="shared" si="2"/>
        <v>-4.4303325624986734E-2</v>
      </c>
      <c r="M41" s="37">
        <f t="shared" si="3"/>
        <v>-0.34360360504042742</v>
      </c>
      <c r="N41" s="38"/>
    </row>
    <row r="42" spans="2:14" x14ac:dyDescent="0.25">
      <c r="B42" s="272"/>
      <c r="C42" s="288"/>
      <c r="D42" s="4" t="s">
        <v>45</v>
      </c>
      <c r="E42" s="39">
        <v>8.0254357611092644</v>
      </c>
      <c r="F42" s="39">
        <v>7.164842426296171</v>
      </c>
      <c r="G42" s="39">
        <v>7.2474007241185694</v>
      </c>
      <c r="H42" s="39">
        <v>7.4536678097510061</v>
      </c>
      <c r="I42" s="39">
        <v>7.2665766981556459</v>
      </c>
      <c r="J42" s="74">
        <f t="shared" si="0"/>
        <v>-2.5100543299045985E-2</v>
      </c>
      <c r="K42" s="41">
        <f t="shared" si="1"/>
        <v>-0.18709111159536018</v>
      </c>
      <c r="L42" s="74">
        <f t="shared" si="2"/>
        <v>-9.4556742529919635E-2</v>
      </c>
      <c r="M42" s="41">
        <f t="shared" si="3"/>
        <v>-0.75885906295361849</v>
      </c>
      <c r="N42" s="75"/>
    </row>
    <row r="43" spans="2:14" x14ac:dyDescent="0.25">
      <c r="B43" s="272"/>
      <c r="C43" s="288"/>
      <c r="D43" s="4" t="s">
        <v>46</v>
      </c>
      <c r="E43" s="39">
        <v>5.8528906697195193</v>
      </c>
      <c r="F43" s="39">
        <v>5.2922673656618615</v>
      </c>
      <c r="G43" s="39">
        <v>4.3328030544066181</v>
      </c>
      <c r="H43" s="39">
        <v>3.6786288162828065</v>
      </c>
      <c r="I43" s="39">
        <v>5.6433811802232858</v>
      </c>
      <c r="J43" s="74">
        <f t="shared" si="0"/>
        <v>0.53409910650507797</v>
      </c>
      <c r="K43" s="41">
        <f t="shared" si="1"/>
        <v>1.9647523639404794</v>
      </c>
      <c r="L43" s="74">
        <f t="shared" si="2"/>
        <v>-3.5795900063561814E-2</v>
      </c>
      <c r="M43" s="41">
        <f t="shared" si="3"/>
        <v>-0.20950948949623349</v>
      </c>
      <c r="N43" s="75"/>
    </row>
    <row r="44" spans="2:14" x14ac:dyDescent="0.25">
      <c r="B44" s="272"/>
      <c r="C44" s="288"/>
      <c r="D44" s="4" t="s">
        <v>47</v>
      </c>
      <c r="E44" s="39">
        <v>5.6485558811218084</v>
      </c>
      <c r="F44" s="39">
        <v>5.638995215311005</v>
      </c>
      <c r="G44" s="39">
        <v>6.9209328254204214</v>
      </c>
      <c r="H44" s="39">
        <v>4.0842182350787262</v>
      </c>
      <c r="I44" s="39">
        <v>4.7806432748538015</v>
      </c>
      <c r="J44" s="74">
        <f t="shared" si="0"/>
        <v>0.17051611830964042</v>
      </c>
      <c r="K44" s="41">
        <f t="shared" si="1"/>
        <v>0.69642503977507531</v>
      </c>
      <c r="L44" s="74">
        <f t="shared" si="2"/>
        <v>-0.1536521235752808</v>
      </c>
      <c r="M44" s="41">
        <f t="shared" si="3"/>
        <v>-0.86791260626800693</v>
      </c>
      <c r="N44" s="75"/>
    </row>
    <row r="45" spans="2:14" x14ac:dyDescent="0.25">
      <c r="B45" s="272"/>
      <c r="C45" s="288"/>
      <c r="D45" s="4" t="s">
        <v>48</v>
      </c>
      <c r="E45" s="39">
        <v>6.8203205304532881</v>
      </c>
      <c r="F45" s="39">
        <v>5.8120697473102769</v>
      </c>
      <c r="G45" s="39">
        <v>6.0842648738198255</v>
      </c>
      <c r="H45" s="39">
        <v>6.1392882492936769</v>
      </c>
      <c r="I45" s="39">
        <v>6.305475355743452</v>
      </c>
      <c r="J45" s="74">
        <f t="shared" si="0"/>
        <v>2.7069441880155143E-2</v>
      </c>
      <c r="K45" s="41">
        <f t="shared" si="1"/>
        <v>0.16618710644977508</v>
      </c>
      <c r="L45" s="74">
        <f t="shared" si="2"/>
        <v>-7.5486947044645536E-2</v>
      </c>
      <c r="M45" s="41">
        <f t="shared" si="3"/>
        <v>-0.51484517470983615</v>
      </c>
      <c r="N45" s="75"/>
    </row>
    <row r="46" spans="2:14" x14ac:dyDescent="0.25">
      <c r="B46" s="272"/>
      <c r="C46" s="288"/>
      <c r="D46" s="4" t="s">
        <v>49</v>
      </c>
      <c r="E46" s="39">
        <v>2.0868318122555412</v>
      </c>
      <c r="F46" s="39">
        <v>2.452733776188043</v>
      </c>
      <c r="G46" s="39">
        <v>2.3955875928352994</v>
      </c>
      <c r="H46" s="39">
        <v>2.3459411634594116</v>
      </c>
      <c r="I46" s="39">
        <v>2.2301946137212503</v>
      </c>
      <c r="J46" s="74">
        <f t="shared" si="0"/>
        <v>-4.9339067637773626E-2</v>
      </c>
      <c r="K46" s="41">
        <f t="shared" si="1"/>
        <v>-0.11574654973816134</v>
      </c>
      <c r="L46" s="74">
        <f t="shared" si="2"/>
        <v>6.8698780909783208E-2</v>
      </c>
      <c r="M46" s="41">
        <f t="shared" si="3"/>
        <v>0.14336280146570912</v>
      </c>
      <c r="N46" s="75"/>
    </row>
    <row r="47" spans="2:14" x14ac:dyDescent="0.25">
      <c r="B47" s="272"/>
      <c r="C47" s="288"/>
      <c r="D47" s="4" t="s">
        <v>50</v>
      </c>
      <c r="E47" s="39">
        <v>7.7588763848905176</v>
      </c>
      <c r="F47" s="39">
        <v>6.8566063764561616</v>
      </c>
      <c r="G47" s="39">
        <v>6.1649928263988523</v>
      </c>
      <c r="H47" s="39">
        <v>6.6392938556963363</v>
      </c>
      <c r="I47" s="39">
        <v>6.0692266353998727</v>
      </c>
      <c r="J47" s="74">
        <f t="shared" si="0"/>
        <v>-8.5862628268420615E-2</v>
      </c>
      <c r="K47" s="41">
        <f t="shared" si="1"/>
        <v>-0.57006722029646362</v>
      </c>
      <c r="L47" s="74">
        <f t="shared" si="2"/>
        <v>-0.21776990193851209</v>
      </c>
      <c r="M47" s="41">
        <f t="shared" si="3"/>
        <v>-1.6896497494906448</v>
      </c>
      <c r="N47" s="75"/>
    </row>
    <row r="48" spans="2:14" x14ac:dyDescent="0.25">
      <c r="B48" s="272"/>
      <c r="C48" s="288"/>
      <c r="D48" s="4" t="s">
        <v>51</v>
      </c>
      <c r="E48" s="39">
        <v>2.2805777888944472</v>
      </c>
      <c r="F48" s="39">
        <v>2.197656771687003</v>
      </c>
      <c r="G48" s="39">
        <v>2.1155368505436143</v>
      </c>
      <c r="H48" s="39">
        <v>2.5199899579489111</v>
      </c>
      <c r="I48" s="39">
        <v>2.2043213975583593</v>
      </c>
      <c r="J48" s="74">
        <f t="shared" si="0"/>
        <v>-0.125265800919097</v>
      </c>
      <c r="K48" s="41">
        <f t="shared" si="1"/>
        <v>-0.3156685603905518</v>
      </c>
      <c r="L48" s="74">
        <f t="shared" si="2"/>
        <v>-3.3437312117757023E-2</v>
      </c>
      <c r="M48" s="41">
        <f t="shared" si="3"/>
        <v>-7.6256391336087859E-2</v>
      </c>
      <c r="N48" s="75"/>
    </row>
    <row r="49" spans="2:14" x14ac:dyDescent="0.25">
      <c r="B49" s="272"/>
      <c r="C49" s="288"/>
      <c r="D49" s="4" t="s">
        <v>52</v>
      </c>
      <c r="E49" s="39">
        <v>7.4095895977245023</v>
      </c>
      <c r="F49" s="39">
        <v>5.8313355603589443</v>
      </c>
      <c r="G49" s="39">
        <v>6.7605067064083455</v>
      </c>
      <c r="H49" s="39">
        <v>6.8220845019451737</v>
      </c>
      <c r="I49" s="39">
        <v>6.8866018317439339</v>
      </c>
      <c r="J49" s="40">
        <f t="shared" si="0"/>
        <v>9.4571285038120845E-3</v>
      </c>
      <c r="K49" s="41">
        <f t="shared" si="1"/>
        <v>6.4517329798760237E-2</v>
      </c>
      <c r="L49" s="40">
        <f t="shared" si="2"/>
        <v>-7.0582555090659693E-2</v>
      </c>
      <c r="M49" s="41">
        <f t="shared" si="3"/>
        <v>-0.5229877659805684</v>
      </c>
      <c r="N49" s="42"/>
    </row>
    <row r="50" spans="2:14" x14ac:dyDescent="0.25">
      <c r="B50" s="272"/>
      <c r="C50" s="289"/>
      <c r="D50" s="32" t="s">
        <v>53</v>
      </c>
      <c r="E50" s="76">
        <v>5.753836556456644</v>
      </c>
      <c r="F50" s="76">
        <v>4.7061324400927598</v>
      </c>
      <c r="G50" s="76">
        <v>4.9786906854130049</v>
      </c>
      <c r="H50" s="76">
        <v>5.0671882640586796</v>
      </c>
      <c r="I50" s="76">
        <v>5.3918724094431427</v>
      </c>
      <c r="J50" s="61">
        <f t="shared" si="0"/>
        <v>6.4075800713273567E-2</v>
      </c>
      <c r="K50" s="77">
        <f t="shared" si="1"/>
        <v>0.32468414538446311</v>
      </c>
      <c r="L50" s="61">
        <f t="shared" si="2"/>
        <v>-6.2908312299438718E-2</v>
      </c>
      <c r="M50" s="77">
        <f t="shared" si="3"/>
        <v>-0.36196414701350133</v>
      </c>
      <c r="N50" s="55"/>
    </row>
    <row r="51" spans="2:14" x14ac:dyDescent="0.25">
      <c r="B51" s="272"/>
      <c r="C51" s="280" t="s">
        <v>34</v>
      </c>
      <c r="D51" s="63" t="s">
        <v>43</v>
      </c>
      <c r="E51" s="65">
        <v>0.69420000000000004</v>
      </c>
      <c r="F51" s="65">
        <v>0.54899999999999993</v>
      </c>
      <c r="G51" s="65">
        <v>0.68879999999999997</v>
      </c>
      <c r="H51" s="65">
        <v>18.428800000000003</v>
      </c>
      <c r="I51" s="65">
        <v>0.75439999999999996</v>
      </c>
      <c r="J51" s="65">
        <f t="shared" si="0"/>
        <v>-0.95906407362389301</v>
      </c>
      <c r="K51" s="73">
        <f t="shared" ref="K51" si="10">(I51-H51)*100</f>
        <v>-1767.4400000000003</v>
      </c>
      <c r="L51" s="65">
        <f t="shared" si="2"/>
        <v>8.6718524920772033E-2</v>
      </c>
      <c r="M51" s="73">
        <f t="shared" ref="M51" si="11">(I51-E51)*100</f>
        <v>6.0199999999999925</v>
      </c>
      <c r="N51" s="65"/>
    </row>
    <row r="52" spans="2:14" x14ac:dyDescent="0.25">
      <c r="B52" s="272"/>
      <c r="C52" s="281"/>
      <c r="D52" s="15" t="s">
        <v>44</v>
      </c>
      <c r="E52" s="18">
        <v>0.75</v>
      </c>
      <c r="F52" s="18">
        <v>0.65239999999999998</v>
      </c>
      <c r="G52" s="18">
        <v>0.76670000000000005</v>
      </c>
      <c r="H52" s="18">
        <v>0.79319999999999991</v>
      </c>
      <c r="I52" s="18">
        <v>0.7923</v>
      </c>
      <c r="J52" s="17">
        <f t="shared" si="0"/>
        <v>-1.1346444780634402E-3</v>
      </c>
      <c r="K52" s="44">
        <f>(I52-H52)*100</f>
        <v>-8.9999999999990088E-2</v>
      </c>
      <c r="L52" s="17">
        <f t="shared" si="2"/>
        <v>5.6400000000000006E-2</v>
      </c>
      <c r="M52" s="44">
        <f>(I52-E52)*100</f>
        <v>4.2300000000000004</v>
      </c>
      <c r="N52" s="18"/>
    </row>
    <row r="53" spans="2:14" x14ac:dyDescent="0.25">
      <c r="B53" s="272"/>
      <c r="C53" s="281"/>
      <c r="D53" s="19" t="s">
        <v>45</v>
      </c>
      <c r="E53" s="68">
        <v>0.64760000000000006</v>
      </c>
      <c r="F53" s="68">
        <v>0.41299999999999998</v>
      </c>
      <c r="G53" s="68">
        <v>0.63939999999999997</v>
      </c>
      <c r="H53" s="68">
        <v>0.6966</v>
      </c>
      <c r="I53" s="68">
        <v>0.70640000000000003</v>
      </c>
      <c r="J53" s="67">
        <f t="shared" si="0"/>
        <v>1.4068331897789221E-2</v>
      </c>
      <c r="K53" s="45">
        <f t="shared" ref="K53:K61" si="12">(I53-H53)*100</f>
        <v>0.98000000000000309</v>
      </c>
      <c r="L53" s="67">
        <f t="shared" si="2"/>
        <v>9.0796788140827589E-2</v>
      </c>
      <c r="M53" s="45">
        <f t="shared" ref="M53:M61" si="13">(I53-E53)*100</f>
        <v>5.8799999999999963</v>
      </c>
      <c r="N53" s="68"/>
    </row>
    <row r="54" spans="2:14" x14ac:dyDescent="0.25">
      <c r="B54" s="272"/>
      <c r="C54" s="281"/>
      <c r="D54" s="19" t="s">
        <v>46</v>
      </c>
      <c r="E54" s="68">
        <v>0.60489999999999999</v>
      </c>
      <c r="F54" s="68">
        <v>0.50350000000000006</v>
      </c>
      <c r="G54" s="68">
        <v>0.50549999999999995</v>
      </c>
      <c r="H54" s="68">
        <v>0.502</v>
      </c>
      <c r="I54" s="68">
        <v>0.64379999999999993</v>
      </c>
      <c r="J54" s="67">
        <f t="shared" si="0"/>
        <v>0.28247011952191214</v>
      </c>
      <c r="K54" s="45">
        <f t="shared" si="12"/>
        <v>14.179999999999993</v>
      </c>
      <c r="L54" s="67">
        <f t="shared" si="2"/>
        <v>6.4308150107455608E-2</v>
      </c>
      <c r="M54" s="45">
        <f t="shared" si="13"/>
        <v>3.8899999999999935</v>
      </c>
      <c r="N54" s="68"/>
    </row>
    <row r="55" spans="2:14" x14ac:dyDescent="0.25">
      <c r="B55" s="272"/>
      <c r="C55" s="281"/>
      <c r="D55" s="19" t="s">
        <v>47</v>
      </c>
      <c r="E55" s="68">
        <v>0.55259999999999998</v>
      </c>
      <c r="F55" s="68">
        <v>0.36749999999999999</v>
      </c>
      <c r="G55" s="68">
        <v>0.54430000000000001</v>
      </c>
      <c r="H55" s="68">
        <v>0.52170000000000005</v>
      </c>
      <c r="I55" s="68">
        <v>0.63280000000000003</v>
      </c>
      <c r="J55" s="67">
        <f t="shared" si="0"/>
        <v>0.21295763848955329</v>
      </c>
      <c r="K55" s="45">
        <f t="shared" si="12"/>
        <v>11.109999999999998</v>
      </c>
      <c r="L55" s="67">
        <f t="shared" si="2"/>
        <v>0.14513210278682598</v>
      </c>
      <c r="M55" s="45">
        <f t="shared" si="13"/>
        <v>8.0200000000000049</v>
      </c>
      <c r="N55" s="68"/>
    </row>
    <row r="56" spans="2:14" x14ac:dyDescent="0.25">
      <c r="B56" s="272"/>
      <c r="C56" s="281"/>
      <c r="D56" s="19" t="s">
        <v>48</v>
      </c>
      <c r="E56" s="68">
        <v>0.73010000000000008</v>
      </c>
      <c r="F56" s="68">
        <v>0.60299999999999998</v>
      </c>
      <c r="G56" s="68">
        <v>0.69769999999999999</v>
      </c>
      <c r="H56" s="68">
        <v>0.75659999999999994</v>
      </c>
      <c r="I56" s="68">
        <v>0.80830000000000002</v>
      </c>
      <c r="J56" s="67">
        <f t="shared" si="0"/>
        <v>6.8332011630980904E-2</v>
      </c>
      <c r="K56" s="45">
        <f t="shared" si="12"/>
        <v>5.1700000000000079</v>
      </c>
      <c r="L56" s="67">
        <f t="shared" si="2"/>
        <v>0.10710861525818371</v>
      </c>
      <c r="M56" s="45">
        <f t="shared" si="13"/>
        <v>7.8199999999999932</v>
      </c>
      <c r="N56" s="68"/>
    </row>
    <row r="57" spans="2:14" x14ac:dyDescent="0.25">
      <c r="B57" s="272"/>
      <c r="C57" s="281"/>
      <c r="D57" s="19" t="s">
        <v>49</v>
      </c>
      <c r="E57" s="68">
        <v>0.45679999999999998</v>
      </c>
      <c r="F57" s="68">
        <v>0.51200000000000001</v>
      </c>
      <c r="G57" s="68">
        <v>0.5514</v>
      </c>
      <c r="H57" s="68">
        <v>0.53320000000000001</v>
      </c>
      <c r="I57" s="68">
        <v>0.56189999999999996</v>
      </c>
      <c r="J57" s="67">
        <f t="shared" si="0"/>
        <v>5.382595648912214E-2</v>
      </c>
      <c r="K57" s="45">
        <f t="shared" si="12"/>
        <v>2.8699999999999948</v>
      </c>
      <c r="L57" s="67">
        <f t="shared" si="2"/>
        <v>0.23007880910682998</v>
      </c>
      <c r="M57" s="45">
        <f t="shared" si="13"/>
        <v>10.509999999999998</v>
      </c>
      <c r="N57" s="68"/>
    </row>
    <row r="58" spans="2:14" x14ac:dyDescent="0.25">
      <c r="B58" s="272"/>
      <c r="C58" s="281"/>
      <c r="D58" s="19" t="s">
        <v>50</v>
      </c>
      <c r="E58" s="68">
        <v>0.71939999999999993</v>
      </c>
      <c r="F58" s="68">
        <v>0.85939999999999994</v>
      </c>
      <c r="G58" s="68">
        <v>0.74739999999999995</v>
      </c>
      <c r="H58" s="68">
        <v>0.87129999999999996</v>
      </c>
      <c r="I58" s="68">
        <v>0.86329999999999996</v>
      </c>
      <c r="J58" s="67">
        <f t="shared" si="0"/>
        <v>-9.1816825433260751E-3</v>
      </c>
      <c r="K58" s="45">
        <f t="shared" si="12"/>
        <v>-0.80000000000000071</v>
      </c>
      <c r="L58" s="67">
        <f t="shared" si="2"/>
        <v>0.20002780094523209</v>
      </c>
      <c r="M58" s="45">
        <f t="shared" si="13"/>
        <v>14.390000000000002</v>
      </c>
      <c r="N58" s="68"/>
    </row>
    <row r="59" spans="2:14" x14ac:dyDescent="0.25">
      <c r="B59" s="272"/>
      <c r="C59" s="281"/>
      <c r="D59" s="19" t="s">
        <v>51</v>
      </c>
      <c r="E59" s="68">
        <v>0.44890000000000002</v>
      </c>
      <c r="F59" s="68">
        <v>0.48560000000000003</v>
      </c>
      <c r="G59" s="68">
        <v>0.498</v>
      </c>
      <c r="H59" s="68">
        <v>0.48670000000000002</v>
      </c>
      <c r="I59" s="68">
        <v>0.57379999999999998</v>
      </c>
      <c r="J59" s="67">
        <f t="shared" si="0"/>
        <v>0.17896034518183668</v>
      </c>
      <c r="K59" s="45">
        <f t="shared" si="12"/>
        <v>8.7099999999999955</v>
      </c>
      <c r="L59" s="67">
        <f t="shared" si="2"/>
        <v>0.27823568723546432</v>
      </c>
      <c r="M59" s="45">
        <f t="shared" si="13"/>
        <v>12.489999999999995</v>
      </c>
      <c r="N59" s="68"/>
    </row>
    <row r="60" spans="2:14" x14ac:dyDescent="0.25">
      <c r="B60" s="272"/>
      <c r="C60" s="281"/>
      <c r="D60" s="19" t="s">
        <v>52</v>
      </c>
      <c r="E60" s="22">
        <v>0.79400000000000004</v>
      </c>
      <c r="F60" s="22">
        <v>0.5484</v>
      </c>
      <c r="G60" s="22">
        <v>0.70709999999999995</v>
      </c>
      <c r="H60" s="22">
        <v>0.78359999999999996</v>
      </c>
      <c r="I60" s="22">
        <v>0.75800000000000001</v>
      </c>
      <c r="J60" s="21">
        <f t="shared" si="0"/>
        <v>-3.2669729453802865E-2</v>
      </c>
      <c r="K60" s="45">
        <f t="shared" si="12"/>
        <v>-2.5599999999999956</v>
      </c>
      <c r="L60" s="21">
        <f t="shared" si="2"/>
        <v>-4.534005037783384E-2</v>
      </c>
      <c r="M60" s="45">
        <f t="shared" si="13"/>
        <v>-3.6000000000000032</v>
      </c>
      <c r="N60" s="22"/>
    </row>
    <row r="61" spans="2:14" x14ac:dyDescent="0.25">
      <c r="B61" s="272"/>
      <c r="C61" s="282"/>
      <c r="D61" s="23" t="s">
        <v>53</v>
      </c>
      <c r="E61" s="46">
        <v>0.45450000000000002</v>
      </c>
      <c r="F61" s="46">
        <v>0.43780000000000002</v>
      </c>
      <c r="G61" s="46">
        <v>0.4904</v>
      </c>
      <c r="H61" s="46">
        <v>0.56479999999999997</v>
      </c>
      <c r="I61" s="46">
        <v>0.64069999999999994</v>
      </c>
      <c r="J61" s="25">
        <f t="shared" si="0"/>
        <v>0.134383852691218</v>
      </c>
      <c r="K61" s="78">
        <f t="shared" si="12"/>
        <v>7.5899999999999963</v>
      </c>
      <c r="L61" s="25">
        <f t="shared" si="2"/>
        <v>0.40968096809680943</v>
      </c>
      <c r="M61" s="78">
        <f t="shared" si="13"/>
        <v>18.61999999999999</v>
      </c>
      <c r="N61" s="46"/>
    </row>
    <row r="62" spans="2:14" x14ac:dyDescent="0.25">
      <c r="B62" s="272"/>
      <c r="C62" s="283" t="s">
        <v>54</v>
      </c>
      <c r="D62" s="63" t="s">
        <v>43</v>
      </c>
      <c r="E62" s="64">
        <v>132550</v>
      </c>
      <c r="F62" s="64">
        <v>108506</v>
      </c>
      <c r="G62" s="64">
        <v>124412</v>
      </c>
      <c r="H62" s="64">
        <v>380751</v>
      </c>
      <c r="I62" s="64">
        <v>127349</v>
      </c>
      <c r="J62" s="65">
        <f t="shared" si="0"/>
        <v>-0.66553206688885913</v>
      </c>
      <c r="K62" s="64">
        <f t="shared" ref="K62:K63" si="14">I62-H62</f>
        <v>-253402</v>
      </c>
      <c r="L62" s="65">
        <f t="shared" si="2"/>
        <v>-3.9238023387401011E-2</v>
      </c>
      <c r="M62" s="64">
        <f t="shared" ref="M62:M63" si="15">I62-E62</f>
        <v>-5201</v>
      </c>
      <c r="N62" s="65">
        <f t="shared" ref="N62:N63" si="16">I62/$I$62</f>
        <v>1</v>
      </c>
    </row>
    <row r="63" spans="2:14" x14ac:dyDescent="0.25">
      <c r="B63" s="272"/>
      <c r="C63" s="284"/>
      <c r="D63" s="26" t="s">
        <v>44</v>
      </c>
      <c r="E63" s="27">
        <v>47140</v>
      </c>
      <c r="F63" s="27">
        <v>38935</v>
      </c>
      <c r="G63" s="27">
        <v>44073</v>
      </c>
      <c r="H63" s="27">
        <v>46343</v>
      </c>
      <c r="I63" s="27">
        <v>46333</v>
      </c>
      <c r="J63" s="36">
        <f t="shared" si="0"/>
        <v>-2.1578231879681997E-4</v>
      </c>
      <c r="K63" s="27">
        <f t="shared" si="14"/>
        <v>-10</v>
      </c>
      <c r="L63" s="36">
        <f t="shared" si="2"/>
        <v>-1.7119219346627079E-2</v>
      </c>
      <c r="M63" s="27">
        <f t="shared" si="15"/>
        <v>-807</v>
      </c>
      <c r="N63" s="38">
        <f t="shared" si="16"/>
        <v>0.36382696369818374</v>
      </c>
    </row>
    <row r="64" spans="2:14" x14ac:dyDescent="0.25">
      <c r="B64" s="272"/>
      <c r="C64" s="284"/>
      <c r="D64" s="4" t="s">
        <v>45</v>
      </c>
      <c r="E64" s="29">
        <v>41020</v>
      </c>
      <c r="F64" s="29">
        <v>34133</v>
      </c>
      <c r="G64" s="29">
        <v>39030</v>
      </c>
      <c r="H64" s="29">
        <v>38275</v>
      </c>
      <c r="I64" s="29">
        <v>38115</v>
      </c>
      <c r="J64" s="74">
        <f>I64/H64-1</f>
        <v>-4.1802743305029422E-3</v>
      </c>
      <c r="K64" s="29">
        <f>I64-H64</f>
        <v>-160</v>
      </c>
      <c r="L64" s="74">
        <f>I64/E64-1</f>
        <v>-7.0819112627986347E-2</v>
      </c>
      <c r="M64" s="29">
        <f>I64-E64</f>
        <v>-2905</v>
      </c>
      <c r="N64" s="75">
        <f>I64/$I$62</f>
        <v>0.29929563640075696</v>
      </c>
    </row>
    <row r="65" spans="2:14" x14ac:dyDescent="0.25">
      <c r="B65" s="272"/>
      <c r="C65" s="284"/>
      <c r="D65" s="4" t="s">
        <v>46</v>
      </c>
      <c r="E65" s="29">
        <v>1127</v>
      </c>
      <c r="F65" s="29">
        <v>802</v>
      </c>
      <c r="G65" s="29">
        <v>898</v>
      </c>
      <c r="H65" s="29">
        <v>912</v>
      </c>
      <c r="I65" s="29">
        <v>916</v>
      </c>
      <c r="J65" s="74">
        <f t="shared" ref="J65:J72" si="17">I65/H65-1</f>
        <v>4.3859649122806044E-3</v>
      </c>
      <c r="K65" s="29">
        <f t="shared" ref="K65:K72" si="18">I65-H65</f>
        <v>4</v>
      </c>
      <c r="L65" s="74">
        <f t="shared" ref="L65:L72" si="19">I65/E65-1</f>
        <v>-0.18722271517302569</v>
      </c>
      <c r="M65" s="29">
        <f t="shared" ref="M65:M72" si="20">I65-E65</f>
        <v>-211</v>
      </c>
      <c r="N65" s="75">
        <f t="shared" ref="N65:N72" si="21">I65/$I$62</f>
        <v>7.1928322955029092E-3</v>
      </c>
    </row>
    <row r="66" spans="2:14" x14ac:dyDescent="0.25">
      <c r="B66" s="272"/>
      <c r="C66" s="284"/>
      <c r="D66" s="4" t="s">
        <v>47</v>
      </c>
      <c r="E66" s="29">
        <v>4070</v>
      </c>
      <c r="F66" s="29">
        <v>4276</v>
      </c>
      <c r="G66" s="29">
        <v>4562</v>
      </c>
      <c r="H66" s="29">
        <v>4276</v>
      </c>
      <c r="I66" s="29">
        <v>4306</v>
      </c>
      <c r="J66" s="74">
        <f t="shared" si="17"/>
        <v>7.0159027128158247E-3</v>
      </c>
      <c r="K66" s="29">
        <f t="shared" si="18"/>
        <v>30</v>
      </c>
      <c r="L66" s="74">
        <f t="shared" si="19"/>
        <v>5.7985257985257999E-2</v>
      </c>
      <c r="M66" s="29">
        <f t="shared" si="20"/>
        <v>236</v>
      </c>
      <c r="N66" s="75">
        <f t="shared" si="21"/>
        <v>3.3812593738466734E-2</v>
      </c>
    </row>
    <row r="67" spans="2:14" x14ac:dyDescent="0.25">
      <c r="B67" s="272"/>
      <c r="C67" s="284"/>
      <c r="D67" s="4" t="s">
        <v>48</v>
      </c>
      <c r="E67" s="29">
        <v>21508</v>
      </c>
      <c r="F67" s="29">
        <v>15588</v>
      </c>
      <c r="G67" s="29">
        <v>18073</v>
      </c>
      <c r="H67" s="29">
        <v>19434</v>
      </c>
      <c r="I67" s="29">
        <v>20174</v>
      </c>
      <c r="J67" s="74">
        <f t="shared" si="17"/>
        <v>3.8077595965833044E-2</v>
      </c>
      <c r="K67" s="29">
        <f t="shared" si="18"/>
        <v>740</v>
      </c>
      <c r="L67" s="74">
        <f t="shared" si="19"/>
        <v>-6.202343314115677E-2</v>
      </c>
      <c r="M67" s="29">
        <f t="shared" si="20"/>
        <v>-1334</v>
      </c>
      <c r="N67" s="75">
        <f t="shared" si="21"/>
        <v>0.15841506411514814</v>
      </c>
    </row>
    <row r="68" spans="2:14" x14ac:dyDescent="0.25">
      <c r="B68" s="272"/>
      <c r="C68" s="284"/>
      <c r="D68" s="4" t="s">
        <v>49</v>
      </c>
      <c r="E68" s="29">
        <v>584</v>
      </c>
      <c r="F68" s="29">
        <v>625</v>
      </c>
      <c r="G68" s="29">
        <v>663</v>
      </c>
      <c r="H68" s="29">
        <v>663</v>
      </c>
      <c r="I68" s="29">
        <v>673</v>
      </c>
      <c r="J68" s="74">
        <f t="shared" si="17"/>
        <v>1.5082956259426794E-2</v>
      </c>
      <c r="K68" s="29">
        <f t="shared" si="18"/>
        <v>10</v>
      </c>
      <c r="L68" s="74">
        <f t="shared" si="19"/>
        <v>0.15239726027397271</v>
      </c>
      <c r="M68" s="29">
        <f t="shared" si="20"/>
        <v>89</v>
      </c>
      <c r="N68" s="75">
        <f t="shared" si="21"/>
        <v>5.2846901035736443E-3</v>
      </c>
    </row>
    <row r="69" spans="2:14" x14ac:dyDescent="0.25">
      <c r="B69" s="272"/>
      <c r="C69" s="284"/>
      <c r="D69" s="4" t="s">
        <v>50</v>
      </c>
      <c r="E69" s="29">
        <v>4121</v>
      </c>
      <c r="F69" s="29">
        <v>3470</v>
      </c>
      <c r="G69" s="29">
        <v>4791</v>
      </c>
      <c r="H69" s="29">
        <v>4791</v>
      </c>
      <c r="I69" s="29">
        <v>4797</v>
      </c>
      <c r="J69" s="74">
        <f t="shared" si="17"/>
        <v>1.2523481527864089E-3</v>
      </c>
      <c r="K69" s="29">
        <f t="shared" si="18"/>
        <v>6</v>
      </c>
      <c r="L69" s="74">
        <f t="shared" si="19"/>
        <v>0.16403785488959</v>
      </c>
      <c r="M69" s="29">
        <f t="shared" si="20"/>
        <v>676</v>
      </c>
      <c r="N69" s="75">
        <f t="shared" si="21"/>
        <v>3.7668140307344382E-2</v>
      </c>
    </row>
    <row r="70" spans="2:14" x14ac:dyDescent="0.25">
      <c r="B70" s="272"/>
      <c r="C70" s="284"/>
      <c r="D70" s="4" t="s">
        <v>51</v>
      </c>
      <c r="E70" s="29">
        <v>2708</v>
      </c>
      <c r="F70" s="29">
        <v>2485</v>
      </c>
      <c r="G70" s="29">
        <v>2826</v>
      </c>
      <c r="H70" s="29">
        <v>2750</v>
      </c>
      <c r="I70" s="29">
        <v>2507</v>
      </c>
      <c r="J70" s="74">
        <f t="shared" si="17"/>
        <v>-8.8363636363636311E-2</v>
      </c>
      <c r="K70" s="29">
        <f t="shared" si="18"/>
        <v>-243</v>
      </c>
      <c r="L70" s="74">
        <f t="shared" si="19"/>
        <v>-7.4224519940915834E-2</v>
      </c>
      <c r="M70" s="29">
        <f t="shared" si="20"/>
        <v>-201</v>
      </c>
      <c r="N70" s="75">
        <f t="shared" si="21"/>
        <v>1.968605956858711E-2</v>
      </c>
    </row>
    <row r="71" spans="2:14" x14ac:dyDescent="0.25">
      <c r="B71" s="272"/>
      <c r="C71" s="284"/>
      <c r="D71" s="4" t="s">
        <v>52</v>
      </c>
      <c r="E71" s="29">
        <v>6890</v>
      </c>
      <c r="F71" s="29">
        <v>5411</v>
      </c>
      <c r="G71" s="29">
        <v>6415</v>
      </c>
      <c r="H71" s="29">
        <v>6415</v>
      </c>
      <c r="I71" s="29">
        <v>6415</v>
      </c>
      <c r="J71" s="40">
        <f t="shared" si="17"/>
        <v>0</v>
      </c>
      <c r="K71" s="29">
        <f t="shared" si="18"/>
        <v>0</v>
      </c>
      <c r="L71" s="40">
        <f t="shared" si="19"/>
        <v>-6.8940493468795383E-2</v>
      </c>
      <c r="M71" s="29">
        <f t="shared" si="20"/>
        <v>-475</v>
      </c>
      <c r="N71" s="42">
        <f t="shared" si="21"/>
        <v>5.0373383379531837E-2</v>
      </c>
    </row>
    <row r="72" spans="2:14" x14ac:dyDescent="0.25">
      <c r="B72" s="273"/>
      <c r="C72" s="285"/>
      <c r="D72" s="32" t="s">
        <v>53</v>
      </c>
      <c r="E72" s="71">
        <v>3382</v>
      </c>
      <c r="F72" s="71">
        <v>2781</v>
      </c>
      <c r="G72" s="71">
        <v>3081</v>
      </c>
      <c r="H72" s="71">
        <v>3058</v>
      </c>
      <c r="I72" s="71">
        <v>3113</v>
      </c>
      <c r="J72" s="61">
        <f t="shared" si="17"/>
        <v>1.7985611510791477E-2</v>
      </c>
      <c r="K72" s="71">
        <f t="shared" si="18"/>
        <v>55</v>
      </c>
      <c r="L72" s="61">
        <f t="shared" si="19"/>
        <v>-7.953873447664106E-2</v>
      </c>
      <c r="M72" s="71">
        <f t="shared" si="20"/>
        <v>-269</v>
      </c>
      <c r="N72" s="55">
        <f t="shared" si="21"/>
        <v>2.4444636392904538E-2</v>
      </c>
    </row>
    <row r="73" spans="2:14" ht="7.5" customHeight="1" x14ac:dyDescent="0.25">
      <c r="B73" s="267"/>
      <c r="C73" s="267"/>
      <c r="D73" s="267"/>
      <c r="E73" s="267"/>
      <c r="F73" s="267"/>
      <c r="G73" s="267"/>
      <c r="H73" s="267"/>
      <c r="I73" s="267"/>
      <c r="J73" s="267"/>
      <c r="K73" s="267"/>
      <c r="L73" s="267"/>
      <c r="M73" s="267"/>
      <c r="N73" s="47"/>
    </row>
    <row r="74" spans="2:14" x14ac:dyDescent="0.25">
      <c r="B74" s="269" t="s">
        <v>55</v>
      </c>
      <c r="C74" s="269"/>
      <c r="D74" s="269"/>
      <c r="E74" s="269"/>
      <c r="F74" s="269"/>
      <c r="G74" s="269"/>
      <c r="H74" s="269"/>
      <c r="I74" s="269"/>
      <c r="J74" s="269"/>
      <c r="K74" s="269"/>
      <c r="L74" s="269"/>
      <c r="M74" s="269"/>
    </row>
    <row r="76" spans="2:14" x14ac:dyDescent="0.25">
      <c r="B76" s="56"/>
    </row>
    <row r="77" spans="2:14" ht="21.75" customHeight="1" thickBot="1" x14ac:dyDescent="0.3">
      <c r="B77" s="270" t="s">
        <v>56</v>
      </c>
      <c r="C77" s="270"/>
      <c r="D77" s="270"/>
      <c r="E77" s="270"/>
      <c r="F77" s="270"/>
      <c r="G77" s="270"/>
      <c r="H77" s="270"/>
      <c r="I77" s="270"/>
      <c r="J77" s="270"/>
      <c r="K77" s="270"/>
      <c r="L77" s="270"/>
      <c r="M77" s="270"/>
      <c r="N77" s="12"/>
    </row>
    <row r="78" spans="2:14" ht="6" customHeight="1" thickBot="1" x14ac:dyDescent="0.3"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</row>
    <row r="79" spans="2:14" ht="75" x14ac:dyDescent="0.25">
      <c r="B79" s="4"/>
      <c r="C79" s="4"/>
      <c r="D79" s="4"/>
      <c r="E79" s="13" t="s">
        <v>230</v>
      </c>
      <c r="F79" s="13" t="s">
        <v>231</v>
      </c>
      <c r="G79" s="13" t="s">
        <v>232</v>
      </c>
      <c r="H79" s="13" t="s">
        <v>233</v>
      </c>
      <c r="I79" s="13" t="s">
        <v>234</v>
      </c>
      <c r="J79" s="14" t="str">
        <f>CONCATENATE("var. ",RIGHT(I79,2),"/",RIGHT(H79,2))</f>
        <v>var. 24/23</v>
      </c>
      <c r="K79" s="14" t="str">
        <f>CONCATENATE("dif. ",RIGHT(I79,2),"/",RIGHT(H79,2))</f>
        <v>dif. 24/23</v>
      </c>
      <c r="L79" s="14" t="str">
        <f>CONCATENATE("var. ",RIGHT(I79,2),"/",RIGHT(E79,2))</f>
        <v>var. 24/19</v>
      </c>
      <c r="M79" s="14" t="str">
        <f>CONCATENATE("dif. ",RIGHT(I79,2),"/",RIGHT(E79,2))</f>
        <v>dif. 24/19</v>
      </c>
      <c r="N79" s="14" t="str">
        <f>CONCATENATE("cuota ",I79)</f>
        <v>cuota acumulado a septiembre 2024</v>
      </c>
    </row>
    <row r="80" spans="2:14" ht="15" customHeight="1" x14ac:dyDescent="0.25">
      <c r="B80" s="271" t="s">
        <v>42</v>
      </c>
      <c r="C80" s="274" t="s">
        <v>8</v>
      </c>
      <c r="D80" s="63" t="s">
        <v>43</v>
      </c>
      <c r="E80" s="64">
        <v>3620829</v>
      </c>
      <c r="F80" s="64">
        <v>1311969</v>
      </c>
      <c r="G80" s="64">
        <v>3492085</v>
      </c>
      <c r="H80" s="64">
        <v>3849133</v>
      </c>
      <c r="I80" s="64">
        <v>4095618</v>
      </c>
      <c r="J80" s="65">
        <f t="shared" ref="J80:J81" si="22">I80/H80-1</f>
        <v>6.4036498608907477E-2</v>
      </c>
      <c r="K80" s="64">
        <f t="shared" ref="K80:K81" si="23">I80-H80</f>
        <v>246485</v>
      </c>
      <c r="L80" s="65">
        <f t="shared" ref="L80:L81" si="24">I80/E80-1</f>
        <v>0.13112715347783621</v>
      </c>
      <c r="M80" s="64">
        <f t="shared" ref="M80:M81" si="25">I80-E80</f>
        <v>474789</v>
      </c>
      <c r="N80" s="65">
        <f t="shared" ref="N80:N81" si="26">I80/$I$80</f>
        <v>1</v>
      </c>
    </row>
    <row r="81" spans="2:15" ht="15" customHeight="1" x14ac:dyDescent="0.25">
      <c r="B81" s="272"/>
      <c r="C81" s="275"/>
      <c r="D81" s="15" t="s">
        <v>44</v>
      </c>
      <c r="E81" s="16">
        <v>1326830</v>
      </c>
      <c r="F81" s="16">
        <v>505565</v>
      </c>
      <c r="G81" s="16">
        <v>1298122</v>
      </c>
      <c r="H81" s="16">
        <v>1400057</v>
      </c>
      <c r="I81" s="16">
        <v>1449683</v>
      </c>
      <c r="J81" s="18">
        <f t="shared" si="22"/>
        <v>3.5445699710797474E-2</v>
      </c>
      <c r="K81" s="16">
        <f t="shared" si="23"/>
        <v>49626</v>
      </c>
      <c r="L81" s="18">
        <f t="shared" si="24"/>
        <v>9.2591364379762231E-2</v>
      </c>
      <c r="M81" s="16">
        <f t="shared" si="25"/>
        <v>122853</v>
      </c>
      <c r="N81" s="18">
        <f t="shared" si="26"/>
        <v>0.35395952454550206</v>
      </c>
      <c r="O81" s="79"/>
    </row>
    <row r="82" spans="2:15" x14ac:dyDescent="0.25">
      <c r="B82" s="272"/>
      <c r="C82" s="275"/>
      <c r="D82" s="19" t="s">
        <v>45</v>
      </c>
      <c r="E82" s="20">
        <v>972864</v>
      </c>
      <c r="F82" s="20">
        <v>235520</v>
      </c>
      <c r="G82" s="20">
        <v>914043</v>
      </c>
      <c r="H82" s="20">
        <v>974839</v>
      </c>
      <c r="I82" s="20">
        <v>1033377</v>
      </c>
      <c r="J82" s="68">
        <f>I82/H82-1</f>
        <v>6.0048890124420495E-2</v>
      </c>
      <c r="K82" s="20">
        <f>I82-H82</f>
        <v>58538</v>
      </c>
      <c r="L82" s="68">
        <f>I82/E82-1</f>
        <v>6.2200883165581144E-2</v>
      </c>
      <c r="M82" s="20">
        <f>I82-E82</f>
        <v>60513</v>
      </c>
      <c r="N82" s="68">
        <f>I82/$I$80</f>
        <v>0.25231283776953806</v>
      </c>
      <c r="O82" s="79"/>
    </row>
    <row r="83" spans="2:15" x14ac:dyDescent="0.25">
      <c r="B83" s="272"/>
      <c r="C83" s="275"/>
      <c r="D83" s="19" t="s">
        <v>46</v>
      </c>
      <c r="E83" s="20">
        <v>33380</v>
      </c>
      <c r="F83" s="20">
        <v>11501</v>
      </c>
      <c r="G83" s="20">
        <v>25651</v>
      </c>
      <c r="H83" s="20">
        <v>37060</v>
      </c>
      <c r="I83" s="20">
        <v>32035</v>
      </c>
      <c r="J83" s="68">
        <f t="shared" ref="J83:J136" si="27">I83/H83-1</f>
        <v>-0.13559093362115493</v>
      </c>
      <c r="K83" s="20">
        <f t="shared" ref="K83:K112" si="28">I83-H83</f>
        <v>-5025</v>
      </c>
      <c r="L83" s="68">
        <f t="shared" ref="L83:L136" si="29">I83/E83-1</f>
        <v>-4.0293588975434447E-2</v>
      </c>
      <c r="M83" s="20">
        <f t="shared" ref="M83:M112" si="30">I83-E83</f>
        <v>-1345</v>
      </c>
      <c r="N83" s="68">
        <f t="shared" ref="N83:N90" si="31">I83/$I$80</f>
        <v>7.8217743939986584E-3</v>
      </c>
      <c r="O83" s="79"/>
    </row>
    <row r="84" spans="2:15" x14ac:dyDescent="0.25">
      <c r="B84" s="272"/>
      <c r="C84" s="275"/>
      <c r="D84" s="19" t="s">
        <v>47</v>
      </c>
      <c r="E84" s="20">
        <v>103641</v>
      </c>
      <c r="F84" s="20">
        <v>34184</v>
      </c>
      <c r="G84" s="20">
        <v>117560</v>
      </c>
      <c r="H84" s="20">
        <v>137595</v>
      </c>
      <c r="I84" s="20">
        <v>175857</v>
      </c>
      <c r="J84" s="68">
        <f t="shared" si="27"/>
        <v>0.27807696500599577</v>
      </c>
      <c r="K84" s="20">
        <f t="shared" si="28"/>
        <v>38262</v>
      </c>
      <c r="L84" s="68">
        <f t="shared" si="29"/>
        <v>0.69678988045271661</v>
      </c>
      <c r="M84" s="20">
        <f t="shared" si="30"/>
        <v>72216</v>
      </c>
      <c r="N84" s="68">
        <f t="shared" si="31"/>
        <v>4.2937842347601757E-2</v>
      </c>
      <c r="O84" s="79"/>
    </row>
    <row r="85" spans="2:15" x14ac:dyDescent="0.25">
      <c r="B85" s="272"/>
      <c r="C85" s="275"/>
      <c r="D85" s="19" t="s">
        <v>48</v>
      </c>
      <c r="E85" s="20">
        <v>596001</v>
      </c>
      <c r="F85" s="20">
        <v>210211</v>
      </c>
      <c r="G85" s="20">
        <v>523202</v>
      </c>
      <c r="H85" s="20">
        <v>598329</v>
      </c>
      <c r="I85" s="20">
        <v>691297</v>
      </c>
      <c r="J85" s="68">
        <f t="shared" si="27"/>
        <v>0.15537939829090686</v>
      </c>
      <c r="K85" s="20">
        <f t="shared" si="28"/>
        <v>92968</v>
      </c>
      <c r="L85" s="68">
        <f t="shared" si="29"/>
        <v>0.15989234917391082</v>
      </c>
      <c r="M85" s="20">
        <f t="shared" si="30"/>
        <v>95296</v>
      </c>
      <c r="N85" s="68">
        <f t="shared" si="31"/>
        <v>0.16878942323234247</v>
      </c>
      <c r="O85" s="79"/>
    </row>
    <row r="86" spans="2:15" x14ac:dyDescent="0.25">
      <c r="B86" s="272"/>
      <c r="C86" s="275"/>
      <c r="D86" s="19" t="s">
        <v>49</v>
      </c>
      <c r="E86" s="20">
        <v>39423</v>
      </c>
      <c r="F86" s="20">
        <v>21073</v>
      </c>
      <c r="G86" s="20">
        <v>37456</v>
      </c>
      <c r="H86" s="20">
        <v>44189</v>
      </c>
      <c r="I86" s="20">
        <v>41777</v>
      </c>
      <c r="J86" s="68">
        <f t="shared" si="27"/>
        <v>-5.4583719930299424E-2</v>
      </c>
      <c r="K86" s="20">
        <f t="shared" si="28"/>
        <v>-2412</v>
      </c>
      <c r="L86" s="68">
        <f t="shared" si="29"/>
        <v>5.9711336022119088E-2</v>
      </c>
      <c r="M86" s="20">
        <f t="shared" si="30"/>
        <v>2354</v>
      </c>
      <c r="N86" s="68">
        <f t="shared" si="31"/>
        <v>1.0200414198785141E-2</v>
      </c>
      <c r="O86" s="79"/>
    </row>
    <row r="87" spans="2:15" x14ac:dyDescent="0.25">
      <c r="B87" s="272"/>
      <c r="C87" s="275"/>
      <c r="D87" s="19" t="s">
        <v>50</v>
      </c>
      <c r="E87" s="20">
        <v>107268</v>
      </c>
      <c r="F87" s="20">
        <v>69853</v>
      </c>
      <c r="G87" s="20">
        <v>146094</v>
      </c>
      <c r="H87" s="20">
        <v>187734</v>
      </c>
      <c r="I87" s="20">
        <v>181355</v>
      </c>
      <c r="J87" s="68">
        <f t="shared" si="27"/>
        <v>-3.3978927631649003E-2</v>
      </c>
      <c r="K87" s="20">
        <f t="shared" si="28"/>
        <v>-6379</v>
      </c>
      <c r="L87" s="68">
        <f t="shared" si="29"/>
        <v>0.69067196181526636</v>
      </c>
      <c r="M87" s="20">
        <f t="shared" si="30"/>
        <v>74087</v>
      </c>
      <c r="N87" s="68">
        <f t="shared" si="31"/>
        <v>4.4280252699348426E-2</v>
      </c>
      <c r="O87" s="79"/>
    </row>
    <row r="88" spans="2:15" x14ac:dyDescent="0.25">
      <c r="B88" s="272"/>
      <c r="C88" s="275"/>
      <c r="D88" s="19" t="s">
        <v>51</v>
      </c>
      <c r="E88" s="20">
        <v>159130</v>
      </c>
      <c r="F88" s="20">
        <v>103599</v>
      </c>
      <c r="G88" s="20">
        <v>157983</v>
      </c>
      <c r="H88" s="20">
        <v>174312</v>
      </c>
      <c r="I88" s="20">
        <v>181820</v>
      </c>
      <c r="J88" s="68">
        <f t="shared" si="27"/>
        <v>4.307219239065585E-2</v>
      </c>
      <c r="K88" s="20">
        <f t="shared" si="28"/>
        <v>7508</v>
      </c>
      <c r="L88" s="68">
        <f t="shared" si="29"/>
        <v>0.14258782127820013</v>
      </c>
      <c r="M88" s="20">
        <f t="shared" si="30"/>
        <v>22690</v>
      </c>
      <c r="N88" s="68">
        <f t="shared" si="31"/>
        <v>4.4393788678533982E-2</v>
      </c>
      <c r="O88" s="79"/>
    </row>
    <row r="89" spans="2:15" ht="18" customHeight="1" x14ac:dyDescent="0.25">
      <c r="B89" s="272"/>
      <c r="C89" s="275"/>
      <c r="D89" s="19" t="s">
        <v>52</v>
      </c>
      <c r="E89" s="20">
        <v>186886</v>
      </c>
      <c r="F89" s="20">
        <v>77584</v>
      </c>
      <c r="G89" s="20">
        <v>190426</v>
      </c>
      <c r="H89" s="20">
        <v>205238</v>
      </c>
      <c r="I89" s="20">
        <v>213816</v>
      </c>
      <c r="J89" s="22">
        <f t="shared" si="27"/>
        <v>4.1795379023377821E-2</v>
      </c>
      <c r="K89" s="20">
        <f t="shared" si="28"/>
        <v>8578</v>
      </c>
      <c r="L89" s="22">
        <f t="shared" si="29"/>
        <v>0.14409854135676303</v>
      </c>
      <c r="M89" s="20">
        <f t="shared" si="30"/>
        <v>26930</v>
      </c>
      <c r="N89" s="22">
        <f t="shared" si="31"/>
        <v>5.2206040700084826E-2</v>
      </c>
      <c r="O89" s="79"/>
    </row>
    <row r="90" spans="2:15" x14ac:dyDescent="0.25">
      <c r="B90" s="272"/>
      <c r="C90" s="276"/>
      <c r="D90" s="23" t="s">
        <v>53</v>
      </c>
      <c r="E90" s="69">
        <v>95406</v>
      </c>
      <c r="F90" s="69">
        <v>42879</v>
      </c>
      <c r="G90" s="69">
        <v>81548</v>
      </c>
      <c r="H90" s="69">
        <v>89780</v>
      </c>
      <c r="I90" s="69">
        <v>94601</v>
      </c>
      <c r="J90" s="46">
        <f t="shared" si="27"/>
        <v>5.3697928269102357E-2</v>
      </c>
      <c r="K90" s="69">
        <f t="shared" si="28"/>
        <v>4821</v>
      </c>
      <c r="L90" s="46">
        <f t="shared" si="29"/>
        <v>-8.4376244680628432E-3</v>
      </c>
      <c r="M90" s="69">
        <f t="shared" si="30"/>
        <v>-805</v>
      </c>
      <c r="N90" s="46">
        <f t="shared" si="31"/>
        <v>2.309810143426462E-2</v>
      </c>
      <c r="O90" s="79"/>
    </row>
    <row r="91" spans="2:15" x14ac:dyDescent="0.25">
      <c r="B91" s="272"/>
      <c r="C91" s="277" t="s">
        <v>18</v>
      </c>
      <c r="D91" s="63" t="s">
        <v>43</v>
      </c>
      <c r="E91" s="64">
        <v>4330865</v>
      </c>
      <c r="F91" s="64">
        <v>1477278</v>
      </c>
      <c r="G91" s="64">
        <v>4116712</v>
      </c>
      <c r="H91" s="64">
        <v>4555390</v>
      </c>
      <c r="I91" s="64">
        <v>4846999</v>
      </c>
      <c r="J91" s="65">
        <f t="shared" si="27"/>
        <v>6.4014058071866442E-2</v>
      </c>
      <c r="K91" s="64">
        <f t="shared" si="28"/>
        <v>291609</v>
      </c>
      <c r="L91" s="65">
        <f t="shared" si="29"/>
        <v>0.11917573048340224</v>
      </c>
      <c r="M91" s="64">
        <f t="shared" si="30"/>
        <v>516134</v>
      </c>
      <c r="N91" s="65">
        <f t="shared" ref="N91:N92" si="32">I91/$I$91</f>
        <v>1</v>
      </c>
    </row>
    <row r="92" spans="2:15" x14ac:dyDescent="0.25">
      <c r="B92" s="272"/>
      <c r="C92" s="278"/>
      <c r="D92" s="26" t="s">
        <v>44</v>
      </c>
      <c r="E92" s="27">
        <v>1604718</v>
      </c>
      <c r="F92" s="27">
        <v>579611</v>
      </c>
      <c r="G92" s="27">
        <v>1558686</v>
      </c>
      <c r="H92" s="27">
        <v>1686480</v>
      </c>
      <c r="I92" s="27">
        <v>1747927</v>
      </c>
      <c r="J92" s="80">
        <f t="shared" si="27"/>
        <v>3.6435060006640985E-2</v>
      </c>
      <c r="K92" s="27">
        <f t="shared" si="28"/>
        <v>61447</v>
      </c>
      <c r="L92" s="80">
        <f t="shared" si="29"/>
        <v>8.9242471262863665E-2</v>
      </c>
      <c r="M92" s="27">
        <f t="shared" si="30"/>
        <v>143209</v>
      </c>
      <c r="N92" s="38">
        <f t="shared" si="32"/>
        <v>0.36062045814327587</v>
      </c>
    </row>
    <row r="93" spans="2:15" x14ac:dyDescent="0.25">
      <c r="B93" s="272"/>
      <c r="C93" s="278"/>
      <c r="D93" s="4" t="s">
        <v>45</v>
      </c>
      <c r="E93" s="29">
        <v>1188723</v>
      </c>
      <c r="F93" s="29">
        <v>269519</v>
      </c>
      <c r="G93" s="29">
        <v>1092077</v>
      </c>
      <c r="H93" s="29">
        <v>1177799</v>
      </c>
      <c r="I93" s="29">
        <v>1245078</v>
      </c>
      <c r="J93" s="81">
        <f t="shared" si="27"/>
        <v>5.7122649959797878E-2</v>
      </c>
      <c r="K93" s="29">
        <f t="shared" si="28"/>
        <v>67279</v>
      </c>
      <c r="L93" s="81">
        <f t="shared" si="29"/>
        <v>4.7408016838237366E-2</v>
      </c>
      <c r="M93" s="29">
        <f t="shared" si="30"/>
        <v>56355</v>
      </c>
      <c r="N93" s="75">
        <f>I93/$I$91</f>
        <v>0.25687605877368658</v>
      </c>
    </row>
    <row r="94" spans="2:15" x14ac:dyDescent="0.25">
      <c r="B94" s="272"/>
      <c r="C94" s="278"/>
      <c r="D94" s="4" t="s">
        <v>46</v>
      </c>
      <c r="E94" s="29">
        <v>37865</v>
      </c>
      <c r="F94" s="29">
        <v>12698</v>
      </c>
      <c r="G94" s="29">
        <v>28629</v>
      </c>
      <c r="H94" s="29">
        <v>39892</v>
      </c>
      <c r="I94" s="29">
        <v>35375</v>
      </c>
      <c r="J94" s="81">
        <f t="shared" si="27"/>
        <v>-0.11323072295197034</v>
      </c>
      <c r="K94" s="29">
        <f t="shared" si="28"/>
        <v>-4517</v>
      </c>
      <c r="L94" s="81">
        <f t="shared" si="29"/>
        <v>-6.5759936616928583E-2</v>
      </c>
      <c r="M94" s="29">
        <f t="shared" si="30"/>
        <v>-2490</v>
      </c>
      <c r="N94" s="75">
        <f t="shared" ref="N94:N101" si="33">I94/$I$91</f>
        <v>7.2983303689561317E-3</v>
      </c>
    </row>
    <row r="95" spans="2:15" x14ac:dyDescent="0.25">
      <c r="B95" s="272"/>
      <c r="C95" s="278"/>
      <c r="D95" s="4" t="s">
        <v>47</v>
      </c>
      <c r="E95" s="29">
        <v>120888</v>
      </c>
      <c r="F95" s="29">
        <v>40371</v>
      </c>
      <c r="G95" s="29">
        <v>138765</v>
      </c>
      <c r="H95" s="29">
        <v>159652</v>
      </c>
      <c r="I95" s="29">
        <v>203839</v>
      </c>
      <c r="J95" s="81">
        <f t="shared" si="27"/>
        <v>0.27677072632976718</v>
      </c>
      <c r="K95" s="29">
        <f t="shared" si="28"/>
        <v>44187</v>
      </c>
      <c r="L95" s="81">
        <f t="shared" si="29"/>
        <v>0.68618059691615385</v>
      </c>
      <c r="M95" s="29">
        <f t="shared" si="30"/>
        <v>82951</v>
      </c>
      <c r="N95" s="75">
        <f t="shared" si="33"/>
        <v>4.2054681670039541E-2</v>
      </c>
    </row>
    <row r="96" spans="2:15" x14ac:dyDescent="0.25">
      <c r="B96" s="272"/>
      <c r="C96" s="278"/>
      <c r="D96" s="4" t="s">
        <v>48</v>
      </c>
      <c r="E96" s="29">
        <v>708591</v>
      </c>
      <c r="F96" s="29">
        <v>232764</v>
      </c>
      <c r="G96" s="29">
        <v>604155</v>
      </c>
      <c r="H96" s="29">
        <v>699601</v>
      </c>
      <c r="I96" s="29">
        <v>804878</v>
      </c>
      <c r="J96" s="81">
        <f t="shared" si="27"/>
        <v>0.1504814887342929</v>
      </c>
      <c r="K96" s="29">
        <f t="shared" si="28"/>
        <v>105277</v>
      </c>
      <c r="L96" s="81">
        <f t="shared" si="29"/>
        <v>0.13588515801075651</v>
      </c>
      <c r="M96" s="29">
        <f t="shared" si="30"/>
        <v>96287</v>
      </c>
      <c r="N96" s="75">
        <f t="shared" si="33"/>
        <v>0.16605697669836531</v>
      </c>
    </row>
    <row r="97" spans="2:14" x14ac:dyDescent="0.25">
      <c r="B97" s="272"/>
      <c r="C97" s="278"/>
      <c r="D97" s="4" t="s">
        <v>49</v>
      </c>
      <c r="E97" s="29">
        <v>41336</v>
      </c>
      <c r="F97" s="29">
        <v>21851</v>
      </c>
      <c r="G97" s="29">
        <v>39143</v>
      </c>
      <c r="H97" s="29">
        <v>46340</v>
      </c>
      <c r="I97" s="29">
        <v>43855</v>
      </c>
      <c r="J97" s="81">
        <f t="shared" si="27"/>
        <v>-5.3625377643504502E-2</v>
      </c>
      <c r="K97" s="29">
        <f t="shared" si="28"/>
        <v>-2485</v>
      </c>
      <c r="L97" s="81">
        <f t="shared" si="29"/>
        <v>6.0939616798916241E-2</v>
      </c>
      <c r="M97" s="29">
        <f t="shared" si="30"/>
        <v>2519</v>
      </c>
      <c r="N97" s="75">
        <f t="shared" si="33"/>
        <v>9.0478665252458276E-3</v>
      </c>
    </row>
    <row r="98" spans="2:14" x14ac:dyDescent="0.25">
      <c r="B98" s="272"/>
      <c r="C98" s="278"/>
      <c r="D98" s="4" t="s">
        <v>50</v>
      </c>
      <c r="E98" s="29">
        <v>129126</v>
      </c>
      <c r="F98" s="29">
        <v>81129</v>
      </c>
      <c r="G98" s="29">
        <v>171217</v>
      </c>
      <c r="H98" s="29">
        <v>213329</v>
      </c>
      <c r="I98" s="29">
        <v>211792</v>
      </c>
      <c r="J98" s="81">
        <f t="shared" si="27"/>
        <v>-7.2048338481874863E-3</v>
      </c>
      <c r="K98" s="29">
        <f t="shared" si="28"/>
        <v>-1537</v>
      </c>
      <c r="L98" s="81">
        <f t="shared" si="29"/>
        <v>0.64019639731734901</v>
      </c>
      <c r="M98" s="29">
        <f t="shared" si="30"/>
        <v>82666</v>
      </c>
      <c r="N98" s="75">
        <f t="shared" si="33"/>
        <v>4.3695490756239068E-2</v>
      </c>
    </row>
    <row r="99" spans="2:14" x14ac:dyDescent="0.25">
      <c r="B99" s="272"/>
      <c r="C99" s="278"/>
      <c r="D99" s="4" t="s">
        <v>51</v>
      </c>
      <c r="E99" s="29">
        <v>165875</v>
      </c>
      <c r="F99" s="29">
        <v>106775</v>
      </c>
      <c r="G99" s="29">
        <v>165117</v>
      </c>
      <c r="H99" s="29">
        <v>182016</v>
      </c>
      <c r="I99" s="29">
        <v>189705</v>
      </c>
      <c r="J99" s="81">
        <f t="shared" si="27"/>
        <v>4.2243539029535926E-2</v>
      </c>
      <c r="K99" s="29">
        <f t="shared" si="28"/>
        <v>7689</v>
      </c>
      <c r="L99" s="81">
        <f t="shared" si="29"/>
        <v>0.1436623963828183</v>
      </c>
      <c r="M99" s="29">
        <f t="shared" si="30"/>
        <v>23830</v>
      </c>
      <c r="N99" s="75">
        <f t="shared" si="33"/>
        <v>3.9138650534072734E-2</v>
      </c>
    </row>
    <row r="100" spans="2:14" x14ac:dyDescent="0.25">
      <c r="B100" s="272"/>
      <c r="C100" s="278"/>
      <c r="D100" s="4" t="s">
        <v>52</v>
      </c>
      <c r="E100" s="29">
        <v>224428</v>
      </c>
      <c r="F100" s="29">
        <v>86363</v>
      </c>
      <c r="G100" s="29">
        <v>226073</v>
      </c>
      <c r="H100" s="29">
        <v>244622</v>
      </c>
      <c r="I100" s="29">
        <v>256066</v>
      </c>
      <c r="J100" s="31">
        <f t="shared" si="27"/>
        <v>4.6782382614809714E-2</v>
      </c>
      <c r="K100" s="29">
        <f t="shared" si="28"/>
        <v>11444</v>
      </c>
      <c r="L100" s="31">
        <f t="shared" si="29"/>
        <v>0.14097171475929926</v>
      </c>
      <c r="M100" s="29">
        <f t="shared" si="30"/>
        <v>31638</v>
      </c>
      <c r="N100" s="42">
        <f t="shared" si="33"/>
        <v>5.2829802523169489E-2</v>
      </c>
    </row>
    <row r="101" spans="2:14" x14ac:dyDescent="0.25">
      <c r="B101" s="272"/>
      <c r="C101" s="279"/>
      <c r="D101" s="32" t="s">
        <v>53</v>
      </c>
      <c r="E101" s="71">
        <v>109315</v>
      </c>
      <c r="F101" s="71">
        <v>46197</v>
      </c>
      <c r="G101" s="71">
        <v>92850</v>
      </c>
      <c r="H101" s="71">
        <v>105659</v>
      </c>
      <c r="I101" s="71">
        <v>108484</v>
      </c>
      <c r="J101" s="72">
        <f t="shared" si="27"/>
        <v>2.6736955678172247E-2</v>
      </c>
      <c r="K101" s="71">
        <f t="shared" si="28"/>
        <v>2825</v>
      </c>
      <c r="L101" s="72">
        <f t="shared" si="29"/>
        <v>-7.6018844623336745E-3</v>
      </c>
      <c r="M101" s="71">
        <f t="shared" si="30"/>
        <v>-831</v>
      </c>
      <c r="N101" s="55">
        <f t="shared" si="33"/>
        <v>2.2381684006949454E-2</v>
      </c>
    </row>
    <row r="102" spans="2:14" x14ac:dyDescent="0.25">
      <c r="B102" s="272"/>
      <c r="C102" s="274" t="s">
        <v>21</v>
      </c>
      <c r="D102" s="63" t="s">
        <v>43</v>
      </c>
      <c r="E102" s="64">
        <v>25578799</v>
      </c>
      <c r="F102" s="64">
        <v>7178852</v>
      </c>
      <c r="G102" s="64">
        <v>23015665</v>
      </c>
      <c r="H102" s="64">
        <v>25556749</v>
      </c>
      <c r="I102" s="64">
        <v>27044823</v>
      </c>
      <c r="J102" s="65">
        <f t="shared" si="27"/>
        <v>5.8226263442192838E-2</v>
      </c>
      <c r="K102" s="64">
        <f t="shared" si="28"/>
        <v>1488074</v>
      </c>
      <c r="L102" s="65">
        <f t="shared" si="29"/>
        <v>5.7314027918198951E-2</v>
      </c>
      <c r="M102" s="64">
        <f t="shared" si="30"/>
        <v>1466024</v>
      </c>
      <c r="N102" s="65">
        <f t="shared" ref="N102:N103" si="34">I102/$I$102</f>
        <v>1</v>
      </c>
    </row>
    <row r="103" spans="2:14" x14ac:dyDescent="0.25">
      <c r="B103" s="272"/>
      <c r="C103" s="275"/>
      <c r="D103" s="15" t="s">
        <v>44</v>
      </c>
      <c r="E103" s="16">
        <v>9847763</v>
      </c>
      <c r="F103" s="16">
        <v>3053438</v>
      </c>
      <c r="G103" s="16">
        <v>9333775</v>
      </c>
      <c r="H103" s="16">
        <v>10077442</v>
      </c>
      <c r="I103" s="16">
        <v>10350937</v>
      </c>
      <c r="J103" s="18">
        <f t="shared" si="27"/>
        <v>2.7139327619052578E-2</v>
      </c>
      <c r="K103" s="16">
        <f t="shared" si="28"/>
        <v>273495</v>
      </c>
      <c r="L103" s="18">
        <f t="shared" si="29"/>
        <v>5.1095258892806417E-2</v>
      </c>
      <c r="M103" s="16">
        <f t="shared" si="30"/>
        <v>503174</v>
      </c>
      <c r="N103" s="18">
        <f t="shared" si="34"/>
        <v>0.38273265829841074</v>
      </c>
    </row>
    <row r="104" spans="2:14" x14ac:dyDescent="0.25">
      <c r="B104" s="272"/>
      <c r="C104" s="275"/>
      <c r="D104" s="19" t="s">
        <v>45</v>
      </c>
      <c r="E104" s="20">
        <v>7573908</v>
      </c>
      <c r="F104" s="20">
        <v>1499277</v>
      </c>
      <c r="G104" s="20">
        <v>6487078</v>
      </c>
      <c r="H104" s="20">
        <v>7196338</v>
      </c>
      <c r="I104" s="20">
        <v>7492248</v>
      </c>
      <c r="J104" s="68">
        <f t="shared" si="27"/>
        <v>4.1119524958388665E-2</v>
      </c>
      <c r="K104" s="20">
        <f t="shared" si="28"/>
        <v>295910</v>
      </c>
      <c r="L104" s="68">
        <f t="shared" si="29"/>
        <v>-1.0781752300133562E-2</v>
      </c>
      <c r="M104" s="20">
        <f t="shared" si="30"/>
        <v>-81660</v>
      </c>
      <c r="N104" s="68">
        <f>I104/$I$102</f>
        <v>0.27703076481587624</v>
      </c>
    </row>
    <row r="105" spans="2:14" x14ac:dyDescent="0.25">
      <c r="B105" s="272"/>
      <c r="C105" s="275"/>
      <c r="D105" s="19" t="s">
        <v>46</v>
      </c>
      <c r="E105" s="20">
        <v>171426</v>
      </c>
      <c r="F105" s="20">
        <v>52951</v>
      </c>
      <c r="G105" s="20">
        <v>119118</v>
      </c>
      <c r="H105" s="20">
        <v>124202</v>
      </c>
      <c r="I105" s="20">
        <v>142297</v>
      </c>
      <c r="J105" s="68">
        <f t="shared" si="27"/>
        <v>0.14569008550586937</v>
      </c>
      <c r="K105" s="20">
        <f t="shared" si="28"/>
        <v>18095</v>
      </c>
      <c r="L105" s="68">
        <f t="shared" si="29"/>
        <v>-0.16992171549239909</v>
      </c>
      <c r="M105" s="20">
        <f t="shared" si="30"/>
        <v>-29129</v>
      </c>
      <c r="N105" s="68">
        <f t="shared" ref="N105:N112" si="35">I105/$I$102</f>
        <v>5.2615245439025429E-3</v>
      </c>
    </row>
    <row r="106" spans="2:14" x14ac:dyDescent="0.25">
      <c r="B106" s="272"/>
      <c r="C106" s="275"/>
      <c r="D106" s="19" t="s">
        <v>47</v>
      </c>
      <c r="E106" s="20">
        <v>630914</v>
      </c>
      <c r="F106" s="20">
        <v>206512</v>
      </c>
      <c r="G106" s="20">
        <v>728683</v>
      </c>
      <c r="H106" s="20">
        <v>789742</v>
      </c>
      <c r="I106" s="20">
        <v>1039569</v>
      </c>
      <c r="J106" s="68">
        <f t="shared" si="27"/>
        <v>0.31634001990523486</v>
      </c>
      <c r="K106" s="20">
        <f t="shared" si="28"/>
        <v>249827</v>
      </c>
      <c r="L106" s="68">
        <f t="shared" si="29"/>
        <v>0.64771902351192079</v>
      </c>
      <c r="M106" s="20">
        <f t="shared" si="30"/>
        <v>408655</v>
      </c>
      <c r="N106" s="68">
        <f t="shared" si="35"/>
        <v>3.8438742971251834E-2</v>
      </c>
    </row>
    <row r="107" spans="2:14" x14ac:dyDescent="0.25">
      <c r="B107" s="272"/>
      <c r="C107" s="275"/>
      <c r="D107" s="19" t="s">
        <v>48</v>
      </c>
      <c r="E107" s="20">
        <v>4147957</v>
      </c>
      <c r="F107" s="20">
        <v>1092978</v>
      </c>
      <c r="G107" s="20">
        <v>3164473</v>
      </c>
      <c r="H107" s="20">
        <v>3797412</v>
      </c>
      <c r="I107" s="20">
        <v>4309024</v>
      </c>
      <c r="J107" s="68">
        <f t="shared" si="27"/>
        <v>0.13472649267448467</v>
      </c>
      <c r="K107" s="20">
        <f t="shared" si="28"/>
        <v>511612</v>
      </c>
      <c r="L107" s="68">
        <f t="shared" si="29"/>
        <v>3.8830441106308511E-2</v>
      </c>
      <c r="M107" s="20">
        <f t="shared" si="30"/>
        <v>161067</v>
      </c>
      <c r="N107" s="68">
        <f t="shared" si="35"/>
        <v>0.1593289776753207</v>
      </c>
    </row>
    <row r="108" spans="2:14" x14ac:dyDescent="0.25">
      <c r="B108" s="272"/>
      <c r="C108" s="275"/>
      <c r="D108" s="19" t="s">
        <v>49</v>
      </c>
      <c r="E108" s="20">
        <v>98308</v>
      </c>
      <c r="F108" s="20">
        <v>49897</v>
      </c>
      <c r="G108" s="20">
        <v>100995</v>
      </c>
      <c r="H108" s="20">
        <v>112147</v>
      </c>
      <c r="I108" s="20">
        <v>111822</v>
      </c>
      <c r="J108" s="68">
        <f t="shared" si="27"/>
        <v>-2.8979821127627092E-3</v>
      </c>
      <c r="K108" s="20">
        <f t="shared" si="28"/>
        <v>-325</v>
      </c>
      <c r="L108" s="68">
        <f t="shared" si="29"/>
        <v>0.13746592342433983</v>
      </c>
      <c r="M108" s="20">
        <f t="shared" si="30"/>
        <v>13514</v>
      </c>
      <c r="N108" s="68">
        <f t="shared" si="35"/>
        <v>4.1346915082417068E-3</v>
      </c>
    </row>
    <row r="109" spans="2:14" x14ac:dyDescent="0.25">
      <c r="B109" s="272"/>
      <c r="C109" s="275"/>
      <c r="D109" s="19" t="s">
        <v>50</v>
      </c>
      <c r="E109" s="20">
        <v>795524</v>
      </c>
      <c r="F109" s="20">
        <v>455604</v>
      </c>
      <c r="G109" s="20">
        <v>960692</v>
      </c>
      <c r="H109" s="20">
        <v>1064225</v>
      </c>
      <c r="I109" s="20">
        <v>1119703</v>
      </c>
      <c r="J109" s="68">
        <f t="shared" si="27"/>
        <v>5.2129953722192202E-2</v>
      </c>
      <c r="K109" s="20">
        <f t="shared" si="28"/>
        <v>55478</v>
      </c>
      <c r="L109" s="68">
        <f t="shared" si="29"/>
        <v>0.40750373338830759</v>
      </c>
      <c r="M109" s="20">
        <f t="shared" si="30"/>
        <v>324179</v>
      </c>
      <c r="N109" s="68">
        <f t="shared" si="35"/>
        <v>4.1401749976326341E-2</v>
      </c>
    </row>
    <row r="110" spans="2:14" x14ac:dyDescent="0.25">
      <c r="B110" s="272"/>
      <c r="C110" s="275"/>
      <c r="D110" s="19" t="s">
        <v>51</v>
      </c>
      <c r="E110" s="20">
        <v>366728</v>
      </c>
      <c r="F110" s="20">
        <v>220493</v>
      </c>
      <c r="G110" s="20">
        <v>385149</v>
      </c>
      <c r="H110" s="20">
        <v>418024</v>
      </c>
      <c r="I110" s="20">
        <v>432765</v>
      </c>
      <c r="J110" s="68">
        <f t="shared" si="27"/>
        <v>3.5263525539203533E-2</v>
      </c>
      <c r="K110" s="20">
        <f t="shared" si="28"/>
        <v>14741</v>
      </c>
      <c r="L110" s="68">
        <f t="shared" si="29"/>
        <v>0.18007078815907152</v>
      </c>
      <c r="M110" s="20">
        <f t="shared" si="30"/>
        <v>66037</v>
      </c>
      <c r="N110" s="68">
        <f t="shared" si="35"/>
        <v>1.6001768619450754E-2</v>
      </c>
    </row>
    <row r="111" spans="2:14" x14ac:dyDescent="0.25">
      <c r="B111" s="272"/>
      <c r="C111" s="275"/>
      <c r="D111" s="19" t="s">
        <v>52</v>
      </c>
      <c r="E111" s="20">
        <v>1400493</v>
      </c>
      <c r="F111" s="20">
        <v>377103</v>
      </c>
      <c r="G111" s="20">
        <v>1289839</v>
      </c>
      <c r="H111" s="20">
        <v>1393117</v>
      </c>
      <c r="I111" s="20">
        <v>1487889</v>
      </c>
      <c r="J111" s="22">
        <f t="shared" si="27"/>
        <v>6.8028744175830269E-2</v>
      </c>
      <c r="K111" s="20">
        <f t="shared" si="28"/>
        <v>94772</v>
      </c>
      <c r="L111" s="22">
        <f t="shared" si="29"/>
        <v>6.2403739254676793E-2</v>
      </c>
      <c r="M111" s="20">
        <f t="shared" si="30"/>
        <v>87396</v>
      </c>
      <c r="N111" s="22">
        <f t="shared" si="35"/>
        <v>5.5015667878469753E-2</v>
      </c>
    </row>
    <row r="112" spans="2:14" x14ac:dyDescent="0.25">
      <c r="B112" s="272"/>
      <c r="C112" s="276"/>
      <c r="D112" s="23" t="s">
        <v>53</v>
      </c>
      <c r="E112" s="69">
        <v>545778</v>
      </c>
      <c r="F112" s="69">
        <v>170599</v>
      </c>
      <c r="G112" s="69">
        <v>445863</v>
      </c>
      <c r="H112" s="69">
        <v>584100</v>
      </c>
      <c r="I112" s="69">
        <v>558569</v>
      </c>
      <c r="J112" s="46">
        <f t="shared" si="27"/>
        <v>-4.3709981167608269E-2</v>
      </c>
      <c r="K112" s="69">
        <f t="shared" si="28"/>
        <v>-25531</v>
      </c>
      <c r="L112" s="46">
        <f t="shared" si="29"/>
        <v>2.3436268959173834E-2</v>
      </c>
      <c r="M112" s="69">
        <f t="shared" si="30"/>
        <v>12791</v>
      </c>
      <c r="N112" s="46">
        <f t="shared" si="35"/>
        <v>2.0653453712749386E-2</v>
      </c>
    </row>
    <row r="113" spans="2:14" x14ac:dyDescent="0.25">
      <c r="B113" s="272"/>
      <c r="C113" s="277" t="s">
        <v>22</v>
      </c>
      <c r="D113" s="63" t="s">
        <v>43</v>
      </c>
      <c r="E113" s="73">
        <f t="shared" ref="E113:I123" si="36">E102/E80</f>
        <v>7.0643487996809569</v>
      </c>
      <c r="F113" s="73">
        <f t="shared" si="36"/>
        <v>5.4718152639277298</v>
      </c>
      <c r="G113" s="73">
        <f t="shared" si="36"/>
        <v>6.5908089293359122</v>
      </c>
      <c r="H113" s="73">
        <f t="shared" si="36"/>
        <v>6.6396118294691302</v>
      </c>
      <c r="I113" s="73">
        <f t="shared" si="36"/>
        <v>6.6033558305486499</v>
      </c>
      <c r="J113" s="65">
        <f t="shared" si="27"/>
        <v>-5.4605600224342243E-3</v>
      </c>
      <c r="K113" s="73">
        <f t="shared" ref="K113:K114" si="37">(I113-H113)</f>
        <v>-3.6255998920480259E-2</v>
      </c>
      <c r="L113" s="65">
        <f t="shared" si="29"/>
        <v>-6.525625817812486E-2</v>
      </c>
      <c r="M113" s="73">
        <f t="shared" ref="M113:M114" si="38">(I113-E113)</f>
        <v>-0.46099296913230692</v>
      </c>
      <c r="N113" s="65"/>
    </row>
    <row r="114" spans="2:14" x14ac:dyDescent="0.25">
      <c r="B114" s="272"/>
      <c r="C114" s="278"/>
      <c r="D114" s="26" t="s">
        <v>44</v>
      </c>
      <c r="E114" s="37">
        <f t="shared" si="36"/>
        <v>7.4220231680019291</v>
      </c>
      <c r="F114" s="37">
        <f t="shared" si="36"/>
        <v>6.0396546438143464</v>
      </c>
      <c r="G114" s="37">
        <f t="shared" si="36"/>
        <v>7.1902140168643625</v>
      </c>
      <c r="H114" s="37">
        <f t="shared" si="36"/>
        <v>7.1978798006081179</v>
      </c>
      <c r="I114" s="37">
        <f t="shared" si="36"/>
        <v>7.1401382233219266</v>
      </c>
      <c r="J114" s="80">
        <f t="shared" si="27"/>
        <v>-8.0220257750501789E-3</v>
      </c>
      <c r="K114" s="37">
        <f t="shared" si="37"/>
        <v>-5.7741577286191337E-2</v>
      </c>
      <c r="L114" s="80">
        <f t="shared" si="29"/>
        <v>-3.7979529071705653E-2</v>
      </c>
      <c r="M114" s="37">
        <f t="shared" si="38"/>
        <v>-0.28188494468000247</v>
      </c>
      <c r="N114" s="38"/>
    </row>
    <row r="115" spans="2:14" x14ac:dyDescent="0.25">
      <c r="B115" s="272"/>
      <c r="C115" s="278"/>
      <c r="D115" s="4" t="s">
        <v>45</v>
      </c>
      <c r="E115" s="41">
        <f>E104/E82</f>
        <v>7.7851662719557924</v>
      </c>
      <c r="F115" s="41">
        <f t="shared" si="36"/>
        <v>6.3658160665760866</v>
      </c>
      <c r="G115" s="41">
        <f t="shared" si="36"/>
        <v>7.0971256275689436</v>
      </c>
      <c r="H115" s="41">
        <f>H104/H82</f>
        <v>7.3820784765484353</v>
      </c>
      <c r="I115" s="41">
        <f>I104/I82</f>
        <v>7.250256198850952</v>
      </c>
      <c r="J115" s="81">
        <f t="shared" si="27"/>
        <v>-1.785706804882381E-2</v>
      </c>
      <c r="K115" s="41">
        <f>(I115-H115)</f>
        <v>-0.13182227769748334</v>
      </c>
      <c r="L115" s="81">
        <f t="shared" si="29"/>
        <v>-6.8708882305022367E-2</v>
      </c>
      <c r="M115" s="41">
        <f>(I115-E115)</f>
        <v>-0.5349100731048404</v>
      </c>
      <c r="N115" s="75"/>
    </row>
    <row r="116" spans="2:14" x14ac:dyDescent="0.25">
      <c r="B116" s="272"/>
      <c r="C116" s="278"/>
      <c r="D116" s="4" t="s">
        <v>46</v>
      </c>
      <c r="E116" s="41">
        <f t="shared" ref="E116:E123" si="39">E105/E83</f>
        <v>5.1355901737567402</v>
      </c>
      <c r="F116" s="41">
        <f t="shared" si="36"/>
        <v>4.6040344317885404</v>
      </c>
      <c r="G116" s="41">
        <f t="shared" si="36"/>
        <v>4.6437955635257886</v>
      </c>
      <c r="H116" s="41">
        <f t="shared" si="36"/>
        <v>3.3513761467889909</v>
      </c>
      <c r="I116" s="41">
        <f t="shared" si="36"/>
        <v>4.4419228968315903</v>
      </c>
      <c r="J116" s="81">
        <f t="shared" si="27"/>
        <v>0.32540267110496401</v>
      </c>
      <c r="K116" s="41">
        <f t="shared" ref="K116:K123" si="40">(I116-H116)</f>
        <v>1.0905467500425994</v>
      </c>
      <c r="L116" s="81">
        <f t="shared" si="29"/>
        <v>-0.13507060599769871</v>
      </c>
      <c r="M116" s="41">
        <f t="shared" ref="M116:M123" si="41">(I116-E116)</f>
        <v>-0.69366727692514996</v>
      </c>
      <c r="N116" s="75"/>
    </row>
    <row r="117" spans="2:14" x14ac:dyDescent="0.25">
      <c r="B117" s="272"/>
      <c r="C117" s="278"/>
      <c r="D117" s="4" t="s">
        <v>47</v>
      </c>
      <c r="E117" s="41">
        <f t="shared" si="39"/>
        <v>6.0874943313939465</v>
      </c>
      <c r="F117" s="41">
        <f t="shared" si="36"/>
        <v>6.0411888602855139</v>
      </c>
      <c r="G117" s="41">
        <f t="shared" si="36"/>
        <v>6.1983923103096288</v>
      </c>
      <c r="H117" s="41">
        <f t="shared" si="36"/>
        <v>5.739612631272939</v>
      </c>
      <c r="I117" s="41">
        <f t="shared" si="36"/>
        <v>5.911445094593903</v>
      </c>
      <c r="J117" s="81">
        <f t="shared" si="27"/>
        <v>2.9937989610085314E-2</v>
      </c>
      <c r="K117" s="41">
        <f t="shared" si="40"/>
        <v>0.17183246332096402</v>
      </c>
      <c r="L117" s="81">
        <f t="shared" si="29"/>
        <v>-2.8919819422604798E-2</v>
      </c>
      <c r="M117" s="41">
        <f t="shared" si="41"/>
        <v>-0.17604923680004347</v>
      </c>
      <c r="N117" s="75"/>
    </row>
    <row r="118" spans="2:14" x14ac:dyDescent="0.25">
      <c r="B118" s="272"/>
      <c r="C118" s="278"/>
      <c r="D118" s="4" t="s">
        <v>48</v>
      </c>
      <c r="E118" s="41">
        <f t="shared" si="39"/>
        <v>6.9596477187118815</v>
      </c>
      <c r="F118" s="41">
        <f t="shared" si="36"/>
        <v>5.1994329507019135</v>
      </c>
      <c r="G118" s="41">
        <f t="shared" si="36"/>
        <v>6.0482815432662722</v>
      </c>
      <c r="H118" s="41">
        <f t="shared" si="36"/>
        <v>6.3466955470986699</v>
      </c>
      <c r="I118" s="41">
        <f t="shared" si="36"/>
        <v>6.2332456238056873</v>
      </c>
      <c r="J118" s="81">
        <f t="shared" si="27"/>
        <v>-1.7875431781952278E-2</v>
      </c>
      <c r="K118" s="41">
        <f t="shared" si="40"/>
        <v>-0.11344992329298265</v>
      </c>
      <c r="L118" s="81">
        <f t="shared" si="29"/>
        <v>-0.10437339995718053</v>
      </c>
      <c r="M118" s="41">
        <f t="shared" si="41"/>
        <v>-0.72640209490619423</v>
      </c>
      <c r="N118" s="75"/>
    </row>
    <row r="119" spans="2:14" x14ac:dyDescent="0.25">
      <c r="B119" s="272"/>
      <c r="C119" s="278"/>
      <c r="D119" s="4" t="s">
        <v>49</v>
      </c>
      <c r="E119" s="41">
        <f t="shared" si="39"/>
        <v>2.4936712071633309</v>
      </c>
      <c r="F119" s="41">
        <f t="shared" si="36"/>
        <v>2.3678166374033123</v>
      </c>
      <c r="G119" s="41">
        <f t="shared" si="36"/>
        <v>2.6963637334472446</v>
      </c>
      <c r="H119" s="41">
        <f t="shared" si="36"/>
        <v>2.5378940460295549</v>
      </c>
      <c r="I119" s="41">
        <f t="shared" si="36"/>
        <v>2.6766402566005216</v>
      </c>
      <c r="J119" s="81">
        <f t="shared" si="27"/>
        <v>5.4669819958808041E-2</v>
      </c>
      <c r="K119" s="41">
        <f t="shared" si="40"/>
        <v>0.1387462105709667</v>
      </c>
      <c r="L119" s="81">
        <f t="shared" si="29"/>
        <v>7.3373365707392724E-2</v>
      </c>
      <c r="M119" s="41">
        <f t="shared" si="41"/>
        <v>0.18296904943719072</v>
      </c>
      <c r="N119" s="75"/>
    </row>
    <row r="120" spans="2:14" x14ac:dyDescent="0.25">
      <c r="B120" s="272"/>
      <c r="C120" s="278"/>
      <c r="D120" s="4" t="s">
        <v>50</v>
      </c>
      <c r="E120" s="41">
        <f t="shared" si="39"/>
        <v>7.4162285117649249</v>
      </c>
      <c r="F120" s="41">
        <f t="shared" si="36"/>
        <v>6.5223254548838279</v>
      </c>
      <c r="G120" s="41">
        <f t="shared" si="36"/>
        <v>6.575848426355634</v>
      </c>
      <c r="H120" s="41">
        <f t="shared" si="36"/>
        <v>5.6687920142329036</v>
      </c>
      <c r="I120" s="41">
        <f t="shared" si="36"/>
        <v>6.1740950070304104</v>
      </c>
      <c r="J120" s="81">
        <f t="shared" si="27"/>
        <v>8.9137684277147411E-2</v>
      </c>
      <c r="K120" s="41">
        <f t="shared" si="40"/>
        <v>0.50530299279750679</v>
      </c>
      <c r="L120" s="81">
        <f t="shared" si="29"/>
        <v>-0.16748856952884128</v>
      </c>
      <c r="M120" s="41">
        <f t="shared" si="41"/>
        <v>-1.2421335047345146</v>
      </c>
      <c r="N120" s="75"/>
    </row>
    <row r="121" spans="2:14" x14ac:dyDescent="0.25">
      <c r="B121" s="272"/>
      <c r="C121" s="278"/>
      <c r="D121" s="4" t="s">
        <v>51</v>
      </c>
      <c r="E121" s="41">
        <f t="shared" si="39"/>
        <v>2.3045811600578143</v>
      </c>
      <c r="F121" s="41">
        <f t="shared" si="36"/>
        <v>2.1283313545497542</v>
      </c>
      <c r="G121" s="41">
        <f t="shared" si="36"/>
        <v>2.4379142059588692</v>
      </c>
      <c r="H121" s="41">
        <f t="shared" si="36"/>
        <v>2.3981366744687684</v>
      </c>
      <c r="I121" s="41">
        <f t="shared" si="36"/>
        <v>2.3801836981630182</v>
      </c>
      <c r="J121" s="81">
        <f t="shared" si="27"/>
        <v>-7.4862189869671081E-3</v>
      </c>
      <c r="K121" s="41">
        <f t="shared" si="40"/>
        <v>-1.7952976305750212E-2</v>
      </c>
      <c r="L121" s="81">
        <f t="shared" si="29"/>
        <v>3.2805326805373625E-2</v>
      </c>
      <c r="M121" s="41">
        <f t="shared" si="41"/>
        <v>7.5602538105203898E-2</v>
      </c>
      <c r="N121" s="75"/>
    </row>
    <row r="122" spans="2:14" x14ac:dyDescent="0.25">
      <c r="B122" s="272"/>
      <c r="C122" s="278"/>
      <c r="D122" s="4" t="s">
        <v>52</v>
      </c>
      <c r="E122" s="41">
        <f t="shared" si="39"/>
        <v>7.4938358143467143</v>
      </c>
      <c r="F122" s="41">
        <f t="shared" si="36"/>
        <v>4.8605769230769234</v>
      </c>
      <c r="G122" s="41">
        <f t="shared" si="36"/>
        <v>6.7734395513217729</v>
      </c>
      <c r="H122" s="41">
        <f t="shared" si="36"/>
        <v>6.7878121985207418</v>
      </c>
      <c r="I122" s="41">
        <f t="shared" si="36"/>
        <v>6.958735548321922</v>
      </c>
      <c r="J122" s="31">
        <f t="shared" si="27"/>
        <v>2.5180919094731191E-2</v>
      </c>
      <c r="K122" s="41">
        <f t="shared" si="40"/>
        <v>0.17092334980118018</v>
      </c>
      <c r="L122" s="31">
        <f t="shared" si="29"/>
        <v>-7.1405389613735548E-2</v>
      </c>
      <c r="M122" s="41">
        <f t="shared" si="41"/>
        <v>-0.53510026602479233</v>
      </c>
      <c r="N122" s="42"/>
    </row>
    <row r="123" spans="2:14" x14ac:dyDescent="0.25">
      <c r="B123" s="272"/>
      <c r="C123" s="279"/>
      <c r="D123" s="32" t="s">
        <v>53</v>
      </c>
      <c r="E123" s="77">
        <f t="shared" si="39"/>
        <v>5.7205836110936419</v>
      </c>
      <c r="F123" s="77">
        <f t="shared" si="36"/>
        <v>3.9786142400708973</v>
      </c>
      <c r="G123" s="77">
        <f t="shared" si="36"/>
        <v>5.4674915387256586</v>
      </c>
      <c r="H123" s="77">
        <f t="shared" si="36"/>
        <v>6.5059033192247719</v>
      </c>
      <c r="I123" s="77">
        <f t="shared" si="36"/>
        <v>5.9044724685785566</v>
      </c>
      <c r="J123" s="72">
        <f t="shared" si="27"/>
        <v>-9.244386538438143E-2</v>
      </c>
      <c r="K123" s="77">
        <f t="shared" si="40"/>
        <v>-0.60143085064621538</v>
      </c>
      <c r="L123" s="72">
        <f t="shared" si="29"/>
        <v>3.2145121894260553E-2</v>
      </c>
      <c r="M123" s="77">
        <f t="shared" si="41"/>
        <v>0.18388885748491468</v>
      </c>
      <c r="N123" s="55"/>
    </row>
    <row r="124" spans="2:14" x14ac:dyDescent="0.25">
      <c r="B124" s="272"/>
      <c r="C124" s="280" t="s">
        <v>34</v>
      </c>
      <c r="D124" s="63" t="s">
        <v>43</v>
      </c>
      <c r="E124" s="65">
        <v>0.71081258112862944</v>
      </c>
      <c r="F124" s="65">
        <v>0.3687953172560467</v>
      </c>
      <c r="G124" s="65">
        <v>0.68498858231579329</v>
      </c>
      <c r="H124" s="65">
        <v>0.74770237320670863</v>
      </c>
      <c r="I124" s="65">
        <v>0.77667613521817547</v>
      </c>
      <c r="J124" s="65">
        <f t="shared" si="27"/>
        <v>3.8750394608493277E-2</v>
      </c>
      <c r="K124" s="73">
        <f t="shared" ref="K124:K125" si="42">(I124-H124)*100</f>
        <v>2.8973762011466841</v>
      </c>
      <c r="L124" s="65">
        <f t="shared" si="29"/>
        <v>9.2659522127433114E-2</v>
      </c>
      <c r="M124" s="73">
        <f t="shared" ref="M124:M125" si="43">(I124-E124)*100</f>
        <v>6.5863554089546028</v>
      </c>
      <c r="N124" s="65"/>
    </row>
    <row r="125" spans="2:14" x14ac:dyDescent="0.25">
      <c r="B125" s="272"/>
      <c r="C125" s="281"/>
      <c r="D125" s="15" t="s">
        <v>44</v>
      </c>
      <c r="E125" s="18">
        <v>0.77660120284605005</v>
      </c>
      <c r="F125" s="18">
        <v>0.43335869530198978</v>
      </c>
      <c r="G125" s="18">
        <v>0.77661439051066494</v>
      </c>
      <c r="H125" s="18">
        <v>0.80803859299525338</v>
      </c>
      <c r="I125" s="18">
        <v>0.81492615902123866</v>
      </c>
      <c r="J125" s="18">
        <f t="shared" si="27"/>
        <v>8.5238082508587443E-3</v>
      </c>
      <c r="K125" s="44">
        <f t="shared" si="42"/>
        <v>0.68875660259852811</v>
      </c>
      <c r="L125" s="18">
        <f t="shared" si="29"/>
        <v>4.9349596723179401E-2</v>
      </c>
      <c r="M125" s="44">
        <f t="shared" si="43"/>
        <v>3.8324956175188607</v>
      </c>
      <c r="N125" s="18"/>
    </row>
    <row r="126" spans="2:14" x14ac:dyDescent="0.25">
      <c r="B126" s="272"/>
      <c r="C126" s="281"/>
      <c r="D126" s="19" t="s">
        <v>45</v>
      </c>
      <c r="E126" s="68">
        <v>0.67501302094009585</v>
      </c>
      <c r="F126" s="68">
        <v>0.27185977021123353</v>
      </c>
      <c r="G126" s="68">
        <v>0.62608418535382115</v>
      </c>
      <c r="H126" s="68">
        <v>0.70375449470776241</v>
      </c>
      <c r="I126" s="68">
        <v>0.72458016215087573</v>
      </c>
      <c r="J126" s="68">
        <f t="shared" si="27"/>
        <v>2.9592233654949895E-2</v>
      </c>
      <c r="K126" s="45">
        <f>(I126-H126)*100</f>
        <v>2.0825667443113316</v>
      </c>
      <c r="L126" s="68">
        <f t="shared" si="29"/>
        <v>7.3431385281645944E-2</v>
      </c>
      <c r="M126" s="45">
        <f>(I126-E126)*100</f>
        <v>4.9567141210779875</v>
      </c>
      <c r="N126" s="68"/>
    </row>
    <row r="127" spans="2:14" x14ac:dyDescent="0.25">
      <c r="B127" s="272"/>
      <c r="C127" s="281"/>
      <c r="D127" s="19" t="s">
        <v>46</v>
      </c>
      <c r="E127" s="68">
        <v>0.55717308423608336</v>
      </c>
      <c r="F127" s="68">
        <v>0.3103337123298911</v>
      </c>
      <c r="G127" s="68">
        <v>0.51891058313076666</v>
      </c>
      <c r="H127" s="68">
        <v>0.50828091685525689</v>
      </c>
      <c r="I127" s="68">
        <v>0.57953147781606107</v>
      </c>
      <c r="J127" s="68">
        <f t="shared" si="27"/>
        <v>0.14017949247757056</v>
      </c>
      <c r="K127" s="45">
        <f t="shared" ref="K127:K134" si="44">(I127-H127)*100</f>
        <v>7.1250560960804172</v>
      </c>
      <c r="L127" s="68">
        <f t="shared" si="29"/>
        <v>4.0128272905774587E-2</v>
      </c>
      <c r="M127" s="45">
        <f t="shared" ref="M127:M134" si="45">(I127-E127)*100</f>
        <v>2.2358393579977709</v>
      </c>
      <c r="N127" s="68"/>
    </row>
    <row r="128" spans="2:14" x14ac:dyDescent="0.25">
      <c r="B128" s="272"/>
      <c r="C128" s="281"/>
      <c r="D128" s="19" t="s">
        <v>47</v>
      </c>
      <c r="E128" s="68">
        <v>0.56782316782316777</v>
      </c>
      <c r="F128" s="68">
        <v>0.19585661662892023</v>
      </c>
      <c r="G128" s="68">
        <v>0.58508735163711056</v>
      </c>
      <c r="H128" s="68">
        <v>0.65720481863543012</v>
      </c>
      <c r="I128" s="68">
        <v>0.86969496187650897</v>
      </c>
      <c r="J128" s="68">
        <f t="shared" si="27"/>
        <v>0.32332407982381683</v>
      </c>
      <c r="K128" s="45">
        <f t="shared" si="44"/>
        <v>21.249014324107883</v>
      </c>
      <c r="L128" s="68">
        <f t="shared" si="29"/>
        <v>0.53162993544382897</v>
      </c>
      <c r="M128" s="45">
        <f t="shared" si="45"/>
        <v>30.18717940533412</v>
      </c>
      <c r="N128" s="68"/>
    </row>
    <row r="129" spans="2:14" x14ac:dyDescent="0.25">
      <c r="B129" s="272"/>
      <c r="C129" s="281"/>
      <c r="D129" s="19" t="s">
        <v>48</v>
      </c>
      <c r="E129" s="68">
        <v>0.71329223892855109</v>
      </c>
      <c r="F129" s="68">
        <v>0.43434260744334358</v>
      </c>
      <c r="G129" s="68">
        <v>0.63168429289481354</v>
      </c>
      <c r="H129" s="68">
        <v>0.72699057407837087</v>
      </c>
      <c r="I129" s="68">
        <v>0.78514425692677769</v>
      </c>
      <c r="J129" s="68">
        <f t="shared" si="27"/>
        <v>7.9992347799185959E-2</v>
      </c>
      <c r="K129" s="45">
        <f t="shared" si="44"/>
        <v>5.8153682848406829</v>
      </c>
      <c r="L129" s="68">
        <f t="shared" si="29"/>
        <v>0.1007329311561791</v>
      </c>
      <c r="M129" s="45">
        <f t="shared" si="45"/>
        <v>7.1852017998226607</v>
      </c>
      <c r="N129" s="68"/>
    </row>
    <row r="130" spans="2:14" x14ac:dyDescent="0.25">
      <c r="B130" s="272"/>
      <c r="C130" s="281"/>
      <c r="D130" s="19" t="s">
        <v>49</v>
      </c>
      <c r="E130" s="68">
        <v>0.52090332015726504</v>
      </c>
      <c r="F130" s="68">
        <v>0.36499762261804614</v>
      </c>
      <c r="G130" s="68">
        <v>0.56873278935009208</v>
      </c>
      <c r="H130" s="68">
        <v>0.62226451526988635</v>
      </c>
      <c r="I130" s="68">
        <v>0.60640340126462833</v>
      </c>
      <c r="J130" s="68">
        <f t="shared" si="27"/>
        <v>-2.5489343544487397E-2</v>
      </c>
      <c r="K130" s="45">
        <f t="shared" si="44"/>
        <v>-1.5861114005258026</v>
      </c>
      <c r="L130" s="68">
        <f t="shared" si="29"/>
        <v>0.16413809971790938</v>
      </c>
      <c r="M130" s="45">
        <f t="shared" si="45"/>
        <v>8.5500081107363286</v>
      </c>
      <c r="N130" s="68"/>
    </row>
    <row r="131" spans="2:14" x14ac:dyDescent="0.25">
      <c r="B131" s="272"/>
      <c r="C131" s="281"/>
      <c r="D131" s="19" t="s">
        <v>50</v>
      </c>
      <c r="E131" s="68">
        <v>0.70711170250117106</v>
      </c>
      <c r="F131" s="68">
        <v>0.66839387359896718</v>
      </c>
      <c r="G131" s="68">
        <v>0.79976956587976633</v>
      </c>
      <c r="H131" s="68">
        <v>0.81366313363808662</v>
      </c>
      <c r="I131" s="68">
        <v>0.8518881174213202</v>
      </c>
      <c r="J131" s="68">
        <f t="shared" si="27"/>
        <v>4.69788813121228E-2</v>
      </c>
      <c r="K131" s="45">
        <f t="shared" si="44"/>
        <v>3.8224983783233579</v>
      </c>
      <c r="L131" s="68">
        <f t="shared" si="29"/>
        <v>0.20474334452117104</v>
      </c>
      <c r="M131" s="45">
        <f t="shared" si="45"/>
        <v>14.477641492014914</v>
      </c>
      <c r="N131" s="68"/>
    </row>
    <row r="132" spans="2:14" x14ac:dyDescent="0.25">
      <c r="B132" s="272"/>
      <c r="C132" s="281"/>
      <c r="D132" s="19" t="s">
        <v>51</v>
      </c>
      <c r="E132" s="68">
        <v>0.50079681655739738</v>
      </c>
      <c r="F132" s="68">
        <v>0.36710470891251973</v>
      </c>
      <c r="G132" s="68">
        <v>0.53640054315657537</v>
      </c>
      <c r="H132" s="68">
        <v>0.55102850551985505</v>
      </c>
      <c r="I132" s="68">
        <v>0.57920398516004346</v>
      </c>
      <c r="J132" s="68">
        <f t="shared" si="27"/>
        <v>5.113252646268629E-2</v>
      </c>
      <c r="K132" s="45">
        <f t="shared" si="44"/>
        <v>2.8175479640188406</v>
      </c>
      <c r="L132" s="68">
        <f t="shared" si="29"/>
        <v>0.15656483030710255</v>
      </c>
      <c r="M132" s="45">
        <f t="shared" si="45"/>
        <v>7.8407168602646067</v>
      </c>
      <c r="N132" s="68"/>
    </row>
    <row r="133" spans="2:14" x14ac:dyDescent="0.25">
      <c r="B133" s="272"/>
      <c r="C133" s="281"/>
      <c r="D133" s="19" t="s">
        <v>52</v>
      </c>
      <c r="E133" s="68">
        <v>0.7445589243847589</v>
      </c>
      <c r="F133" s="68">
        <v>0.37046791956066843</v>
      </c>
      <c r="G133" s="68">
        <v>0.73677340932757318</v>
      </c>
      <c r="H133" s="68">
        <v>0.80543894470342625</v>
      </c>
      <c r="I133" s="68">
        <v>0.84649287994037692</v>
      </c>
      <c r="J133" s="68">
        <f t="shared" si="27"/>
        <v>5.0970884269902372E-2</v>
      </c>
      <c r="K133" s="45">
        <f t="shared" si="44"/>
        <v>4.1053935236950672</v>
      </c>
      <c r="L133" s="68">
        <f t="shared" si="29"/>
        <v>0.13690515581402463</v>
      </c>
      <c r="M133" s="45">
        <f t="shared" si="45"/>
        <v>10.193395555561802</v>
      </c>
      <c r="N133" s="22"/>
    </row>
    <row r="134" spans="2:14" x14ac:dyDescent="0.25">
      <c r="B134" s="272"/>
      <c r="C134" s="282"/>
      <c r="D134" s="23" t="s">
        <v>53</v>
      </c>
      <c r="E134" s="68">
        <v>0.59112561004932385</v>
      </c>
      <c r="F134" s="68">
        <v>0.23482344779552347</v>
      </c>
      <c r="G134" s="68">
        <v>0.5020182606140241</v>
      </c>
      <c r="H134" s="68">
        <v>0.69757276683561598</v>
      </c>
      <c r="I134" s="68">
        <v>0.65969651803577634</v>
      </c>
      <c r="J134" s="68">
        <f t="shared" si="27"/>
        <v>-5.4297201095818037E-2</v>
      </c>
      <c r="K134" s="45">
        <f t="shared" si="44"/>
        <v>-3.787624879983964</v>
      </c>
      <c r="L134" s="68">
        <f t="shared" si="29"/>
        <v>0.11600057047220624</v>
      </c>
      <c r="M134" s="45">
        <f t="shared" si="45"/>
        <v>6.857090798645249</v>
      </c>
      <c r="N134" s="46"/>
    </row>
    <row r="135" spans="2:14" x14ac:dyDescent="0.25">
      <c r="B135" s="272"/>
      <c r="C135" s="283" t="s">
        <v>37</v>
      </c>
      <c r="D135" s="63" t="s">
        <v>43</v>
      </c>
      <c r="E135" s="64">
        <v>131823.44444444444</v>
      </c>
      <c r="F135" s="64">
        <v>108506</v>
      </c>
      <c r="G135" s="64">
        <v>124412</v>
      </c>
      <c r="H135" s="64">
        <v>380751</v>
      </c>
      <c r="I135" s="64">
        <v>127349</v>
      </c>
      <c r="J135" s="65">
        <f t="shared" si="27"/>
        <v>-0.66553206688885913</v>
      </c>
      <c r="K135" s="64">
        <f t="shared" ref="K135:K136" si="46">I135-H135</f>
        <v>-253402</v>
      </c>
      <c r="L135" s="65">
        <f t="shared" si="29"/>
        <v>-3.3942706195407735E-2</v>
      </c>
      <c r="M135" s="64">
        <f t="shared" ref="M135:M136" si="47">I135-E135</f>
        <v>-4474.444444444438</v>
      </c>
      <c r="N135" s="65">
        <f>I135/$I$135</f>
        <v>1</v>
      </c>
    </row>
    <row r="136" spans="2:14" x14ac:dyDescent="0.25">
      <c r="B136" s="272"/>
      <c r="C136" s="278"/>
      <c r="D136" s="26" t="s">
        <v>44</v>
      </c>
      <c r="E136" s="27">
        <v>46450</v>
      </c>
      <c r="F136" s="27">
        <v>25728.333333333332</v>
      </c>
      <c r="G136" s="27">
        <v>44020.777777777781</v>
      </c>
      <c r="H136" s="27">
        <v>45688.888888888891</v>
      </c>
      <c r="I136" s="27">
        <v>46356.222222222219</v>
      </c>
      <c r="J136" s="36">
        <f t="shared" si="27"/>
        <v>1.460603112840464E-2</v>
      </c>
      <c r="K136" s="27">
        <f t="shared" si="46"/>
        <v>667.33333333332848</v>
      </c>
      <c r="L136" s="36">
        <f t="shared" si="29"/>
        <v>-2.0188972610932776E-3</v>
      </c>
      <c r="M136" s="27">
        <f t="shared" si="47"/>
        <v>-93.777777777781012</v>
      </c>
      <c r="N136" s="38">
        <f t="shared" ref="N136:N145" si="48">I136/$I$135</f>
        <v>0.36400931473527254</v>
      </c>
    </row>
    <row r="137" spans="2:14" x14ac:dyDescent="0.25">
      <c r="B137" s="272"/>
      <c r="C137" s="278"/>
      <c r="D137" s="4" t="s">
        <v>45</v>
      </c>
      <c r="E137" s="29">
        <v>41105</v>
      </c>
      <c r="F137" s="29">
        <v>20162</v>
      </c>
      <c r="G137" s="29">
        <v>37935.555555555555</v>
      </c>
      <c r="H137" s="29">
        <v>37454.444444444445</v>
      </c>
      <c r="I137" s="29">
        <v>37738.555555555555</v>
      </c>
      <c r="J137" s="74">
        <f>I137/H137-1</f>
        <v>7.5855112877865061E-3</v>
      </c>
      <c r="K137" s="29">
        <f>I137-H137</f>
        <v>284.11111111110949</v>
      </c>
      <c r="L137" s="74">
        <f>I137/E137-1</f>
        <v>-8.1898660611712581E-2</v>
      </c>
      <c r="M137" s="29">
        <f>I137-E137</f>
        <v>-3366.4444444444453</v>
      </c>
      <c r="N137" s="75">
        <f t="shared" si="48"/>
        <v>0.29633963011531739</v>
      </c>
    </row>
    <row r="138" spans="2:14" x14ac:dyDescent="0.25">
      <c r="B138" s="272"/>
      <c r="C138" s="278"/>
      <c r="D138" s="4" t="s">
        <v>46</v>
      </c>
      <c r="E138" s="29">
        <v>1127</v>
      </c>
      <c r="F138" s="29">
        <v>624.22222222222217</v>
      </c>
      <c r="G138" s="29">
        <v>840.66666666666663</v>
      </c>
      <c r="H138" s="29">
        <v>895.44444444444446</v>
      </c>
      <c r="I138" s="29">
        <v>895.88888888888891</v>
      </c>
      <c r="J138" s="74">
        <f t="shared" ref="J138:J145" si="49">I138/H138-1</f>
        <v>4.963394962154144E-4</v>
      </c>
      <c r="K138" s="29">
        <f t="shared" ref="K138:K145" si="50">I138-H138</f>
        <v>0.44444444444445708</v>
      </c>
      <c r="L138" s="74">
        <f t="shared" ref="L138:L145" si="51">I138/E138-1</f>
        <v>-0.20506753426008084</v>
      </c>
      <c r="M138" s="29">
        <f t="shared" ref="M138:M145" si="52">I138-E138</f>
        <v>-231.11111111111109</v>
      </c>
      <c r="N138" s="75">
        <f t="shared" si="48"/>
        <v>7.0349110624260015E-3</v>
      </c>
    </row>
    <row r="139" spans="2:14" x14ac:dyDescent="0.25">
      <c r="B139" s="272"/>
      <c r="C139" s="278"/>
      <c r="D139" s="4" t="s">
        <v>47</v>
      </c>
      <c r="E139" s="29">
        <v>4070</v>
      </c>
      <c r="F139" s="29">
        <v>3860</v>
      </c>
      <c r="G139" s="29">
        <v>4562</v>
      </c>
      <c r="H139" s="29">
        <v>4403.1111111111113</v>
      </c>
      <c r="I139" s="29">
        <v>4363.333333333333</v>
      </c>
      <c r="J139" s="74">
        <f t="shared" si="49"/>
        <v>-9.0340163520744587E-3</v>
      </c>
      <c r="K139" s="29">
        <f t="shared" si="50"/>
        <v>-39.777777777778283</v>
      </c>
      <c r="L139" s="74">
        <f t="shared" si="51"/>
        <v>7.2072072072072002E-2</v>
      </c>
      <c r="M139" s="29">
        <f t="shared" si="52"/>
        <v>293.33333333333303</v>
      </c>
      <c r="N139" s="75">
        <f t="shared" si="48"/>
        <v>3.4262800126685984E-2</v>
      </c>
    </row>
    <row r="140" spans="2:14" x14ac:dyDescent="0.25">
      <c r="B140" s="272"/>
      <c r="C140" s="278"/>
      <c r="D140" s="4" t="s">
        <v>48</v>
      </c>
      <c r="E140" s="29">
        <v>21303.222222222223</v>
      </c>
      <c r="F140" s="29">
        <v>9187.7777777777774</v>
      </c>
      <c r="G140" s="29">
        <v>18350.777777777777</v>
      </c>
      <c r="H140" s="29">
        <v>19134.444444444445</v>
      </c>
      <c r="I140" s="29">
        <v>20029.333333333332</v>
      </c>
      <c r="J140" s="74">
        <f t="shared" si="49"/>
        <v>4.6768480343766239E-2</v>
      </c>
      <c r="K140" s="29">
        <f t="shared" si="50"/>
        <v>894.88888888888687</v>
      </c>
      <c r="L140" s="74">
        <f t="shared" si="51"/>
        <v>-5.9797943973003642E-2</v>
      </c>
      <c r="M140" s="29">
        <f t="shared" si="52"/>
        <v>-1273.8888888888905</v>
      </c>
      <c r="N140" s="75">
        <f t="shared" si="48"/>
        <v>0.15727907822859491</v>
      </c>
    </row>
    <row r="141" spans="2:14" x14ac:dyDescent="0.25">
      <c r="B141" s="272"/>
      <c r="C141" s="278"/>
      <c r="D141" s="4" t="s">
        <v>49</v>
      </c>
      <c r="E141" s="29">
        <v>691.77777777777783</v>
      </c>
      <c r="F141" s="29">
        <v>500.55555555555554</v>
      </c>
      <c r="G141" s="29">
        <v>650.33333333333337</v>
      </c>
      <c r="H141" s="29">
        <v>660.22222222222217</v>
      </c>
      <c r="I141" s="29">
        <v>673</v>
      </c>
      <c r="J141" s="74">
        <f t="shared" si="49"/>
        <v>1.9353752945136415E-2</v>
      </c>
      <c r="K141" s="29">
        <f t="shared" si="50"/>
        <v>12.777777777777828</v>
      </c>
      <c r="L141" s="74">
        <f t="shared" si="51"/>
        <v>-2.7144233858014899E-2</v>
      </c>
      <c r="M141" s="29">
        <f t="shared" si="52"/>
        <v>-18.777777777777828</v>
      </c>
      <c r="N141" s="75">
        <f t="shared" si="48"/>
        <v>5.2846901035736443E-3</v>
      </c>
    </row>
    <row r="142" spans="2:14" x14ac:dyDescent="0.25">
      <c r="B142" s="272"/>
      <c r="C142" s="278"/>
      <c r="D142" s="4" t="s">
        <v>50</v>
      </c>
      <c r="E142" s="29">
        <v>4121</v>
      </c>
      <c r="F142" s="29">
        <v>2487.3333333333335</v>
      </c>
      <c r="G142" s="29">
        <v>4398.7777777777774</v>
      </c>
      <c r="H142" s="29">
        <v>4791</v>
      </c>
      <c r="I142" s="29">
        <v>4797</v>
      </c>
      <c r="J142" s="74">
        <f t="shared" si="49"/>
        <v>1.2523481527864089E-3</v>
      </c>
      <c r="K142" s="29">
        <f t="shared" si="50"/>
        <v>6</v>
      </c>
      <c r="L142" s="74">
        <f t="shared" si="51"/>
        <v>0.16403785488959</v>
      </c>
      <c r="M142" s="29">
        <f t="shared" si="52"/>
        <v>676</v>
      </c>
      <c r="N142" s="75">
        <f t="shared" si="48"/>
        <v>3.7668140307344382E-2</v>
      </c>
    </row>
    <row r="143" spans="2:14" x14ac:dyDescent="0.25">
      <c r="B143" s="272"/>
      <c r="C143" s="278"/>
      <c r="D143" s="4" t="s">
        <v>51</v>
      </c>
      <c r="E143" s="29">
        <v>2683.4444444444443</v>
      </c>
      <c r="F143" s="29">
        <v>2196.5555555555557</v>
      </c>
      <c r="G143" s="29">
        <v>2629.6666666666665</v>
      </c>
      <c r="H143" s="29">
        <v>2779.4444444444443</v>
      </c>
      <c r="I143" s="29">
        <v>2726.7777777777778</v>
      </c>
      <c r="J143" s="74">
        <f t="shared" si="49"/>
        <v>-1.8948630821506995E-2</v>
      </c>
      <c r="K143" s="29">
        <f t="shared" si="50"/>
        <v>-52.666666666666515</v>
      </c>
      <c r="L143" s="74">
        <f t="shared" si="51"/>
        <v>1.6148399652188283E-2</v>
      </c>
      <c r="M143" s="29">
        <f t="shared" si="52"/>
        <v>43.333333333333485</v>
      </c>
      <c r="N143" s="75">
        <f t="shared" si="48"/>
        <v>2.1411850723427571E-2</v>
      </c>
    </row>
    <row r="144" spans="2:14" x14ac:dyDescent="0.25">
      <c r="B144" s="272"/>
      <c r="C144" s="278"/>
      <c r="D144" s="4" t="s">
        <v>52</v>
      </c>
      <c r="E144" s="29">
        <v>6890</v>
      </c>
      <c r="F144" s="29">
        <v>3719.3333333333335</v>
      </c>
      <c r="G144" s="29">
        <v>6412.666666666667</v>
      </c>
      <c r="H144" s="29">
        <v>6335.666666666667</v>
      </c>
      <c r="I144" s="29">
        <v>6415</v>
      </c>
      <c r="J144" s="40">
        <f t="shared" si="49"/>
        <v>1.252170253064655E-2</v>
      </c>
      <c r="K144" s="29">
        <f t="shared" si="50"/>
        <v>79.33333333333303</v>
      </c>
      <c r="L144" s="40">
        <f t="shared" si="51"/>
        <v>-6.8940493468795383E-2</v>
      </c>
      <c r="M144" s="29">
        <f t="shared" si="52"/>
        <v>-475</v>
      </c>
      <c r="N144" s="42">
        <f t="shared" si="48"/>
        <v>5.0373383379531837E-2</v>
      </c>
    </row>
    <row r="145" spans="2:14" x14ac:dyDescent="0.25">
      <c r="B145" s="273"/>
      <c r="C145" s="279"/>
      <c r="D145" s="32" t="s">
        <v>53</v>
      </c>
      <c r="E145" s="71">
        <v>3382</v>
      </c>
      <c r="F145" s="71">
        <v>2661.4444444444443</v>
      </c>
      <c r="G145" s="71">
        <v>3255.4444444444443</v>
      </c>
      <c r="H145" s="71">
        <v>3067.2222222222222</v>
      </c>
      <c r="I145" s="71">
        <v>3090.4444444444443</v>
      </c>
      <c r="J145" s="61">
        <f t="shared" si="49"/>
        <v>7.5710921934430964E-3</v>
      </c>
      <c r="K145" s="71">
        <f t="shared" si="50"/>
        <v>23.222222222222172</v>
      </c>
      <c r="L145" s="61">
        <f t="shared" si="51"/>
        <v>-8.6208029436888101E-2</v>
      </c>
      <c r="M145" s="71">
        <f t="shared" si="52"/>
        <v>-291.55555555555566</v>
      </c>
      <c r="N145" s="55">
        <f t="shared" si="48"/>
        <v>2.4267520313818281E-2</v>
      </c>
    </row>
    <row r="146" spans="2:14" ht="6" customHeight="1" x14ac:dyDescent="0.25">
      <c r="B146" s="267"/>
      <c r="C146" s="267"/>
      <c r="D146" s="267"/>
      <c r="E146" s="267"/>
      <c r="F146" s="267"/>
      <c r="G146" s="267"/>
      <c r="H146" s="267"/>
      <c r="I146" s="267"/>
      <c r="J146" s="267"/>
      <c r="K146" s="267"/>
      <c r="L146" s="267"/>
      <c r="M146" s="267"/>
      <c r="N146" s="47"/>
    </row>
    <row r="147" spans="2:14" x14ac:dyDescent="0.25">
      <c r="B147" s="269" t="s">
        <v>55</v>
      </c>
      <c r="C147" s="269"/>
      <c r="D147" s="269"/>
      <c r="E147" s="269"/>
      <c r="F147" s="269"/>
      <c r="G147" s="269"/>
      <c r="H147" s="269"/>
      <c r="I147" s="269"/>
      <c r="J147" s="269"/>
      <c r="K147" s="269"/>
      <c r="L147" s="269"/>
      <c r="M147" s="269"/>
    </row>
    <row r="148" spans="2:14" x14ac:dyDescent="0.25">
      <c r="B148" s="60"/>
    </row>
    <row r="150" spans="2:14" ht="21.75" thickBot="1" x14ac:dyDescent="0.3">
      <c r="B150" s="270" t="s">
        <v>56</v>
      </c>
      <c r="C150" s="270"/>
      <c r="D150" s="270"/>
      <c r="E150" s="270"/>
      <c r="F150" s="270"/>
      <c r="G150" s="270"/>
      <c r="H150" s="270"/>
      <c r="I150" s="270"/>
      <c r="J150" s="270"/>
      <c r="K150" s="270"/>
      <c r="L150" s="270"/>
      <c r="M150" s="270"/>
      <c r="N150" s="12"/>
    </row>
    <row r="151" spans="2:14" ht="15.75" thickBot="1" x14ac:dyDescent="0.3"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</row>
    <row r="152" spans="2:14" x14ac:dyDescent="0.25">
      <c r="B152" s="4"/>
      <c r="C152" s="4"/>
      <c r="D152" s="4"/>
      <c r="E152" s="14">
        <v>2019</v>
      </c>
      <c r="F152" s="14">
        <v>2020</v>
      </c>
      <c r="G152" s="14">
        <v>2021</v>
      </c>
      <c r="H152" s="14">
        <v>2022</v>
      </c>
      <c r="I152" s="14">
        <v>2023</v>
      </c>
      <c r="J152" s="14" t="str">
        <f>CONCATENATE("var. ",RIGHT(I152,2),"/",RIGHT(H152,2))</f>
        <v>var. 23/22</v>
      </c>
      <c r="K152" s="14" t="str">
        <f>CONCATENATE("dif. ",RIGHT(I152,2),"/",RIGHT(H152,2))</f>
        <v>dif. 23/22</v>
      </c>
      <c r="L152" s="14" t="str">
        <f>CONCATENATE("var. ",RIGHT(I152,2),"/",RIGHT(E152,2))</f>
        <v>var. 23/19</v>
      </c>
      <c r="M152" s="14" t="str">
        <f>CONCATENATE("dif. ",RIGHT(I152,2),"/",RIGHT(E152,2))</f>
        <v>dif. 23/19</v>
      </c>
      <c r="N152" s="14" t="str">
        <f>CONCATENATE("cuota ",I152)</f>
        <v>cuota 2023</v>
      </c>
    </row>
    <row r="153" spans="2:14" x14ac:dyDescent="0.25">
      <c r="B153" s="271" t="s">
        <v>42</v>
      </c>
      <c r="C153" s="274" t="s">
        <v>8</v>
      </c>
      <c r="D153" s="63" t="s">
        <v>43</v>
      </c>
      <c r="E153" s="64">
        <v>4831573</v>
      </c>
      <c r="F153" s="64">
        <v>1565303</v>
      </c>
      <c r="G153" s="64">
        <v>2335438</v>
      </c>
      <c r="H153" s="64">
        <v>4757683</v>
      </c>
      <c r="I153" s="64">
        <v>5188807</v>
      </c>
      <c r="J153" s="65">
        <f>I153/H153-1</f>
        <v>9.0616377762032574E-2</v>
      </c>
      <c r="K153" s="64">
        <f>I153-H153</f>
        <v>431124</v>
      </c>
      <c r="L153" s="65">
        <f>I153/E153-1</f>
        <v>7.3937411273719666E-2</v>
      </c>
      <c r="M153" s="64">
        <f>I153-E153</f>
        <v>357234</v>
      </c>
      <c r="N153" s="65">
        <f>I153/$I$153</f>
        <v>1</v>
      </c>
    </row>
    <row r="154" spans="2:14" x14ac:dyDescent="0.25">
      <c r="B154" s="272"/>
      <c r="C154" s="275"/>
      <c r="D154" s="15" t="s">
        <v>44</v>
      </c>
      <c r="E154" s="16">
        <v>1762715</v>
      </c>
      <c r="F154" s="16">
        <v>550867</v>
      </c>
      <c r="G154" s="16">
        <v>881045</v>
      </c>
      <c r="H154" s="16">
        <v>1757049</v>
      </c>
      <c r="I154" s="16">
        <v>1888332</v>
      </c>
      <c r="J154" s="18">
        <f t="shared" ref="J154" si="53">I154/H154-1</f>
        <v>7.4717893467968199E-2</v>
      </c>
      <c r="K154" s="16">
        <f t="shared" ref="K154" si="54">I154-H154</f>
        <v>131283</v>
      </c>
      <c r="L154" s="18">
        <f t="shared" ref="L154" si="55">I154/E154-1</f>
        <v>7.1263363618055076E-2</v>
      </c>
      <c r="M154" s="16">
        <f t="shared" ref="M154" si="56">I154-E154</f>
        <v>125617</v>
      </c>
      <c r="N154" s="18">
        <f t="shared" ref="N154:N163" si="57">I154/$I$153</f>
        <v>0.36392411589022294</v>
      </c>
    </row>
    <row r="155" spans="2:14" x14ac:dyDescent="0.25">
      <c r="B155" s="272"/>
      <c r="C155" s="275"/>
      <c r="D155" s="19" t="s">
        <v>45</v>
      </c>
      <c r="E155" s="20">
        <v>1299411</v>
      </c>
      <c r="F155" s="20">
        <v>375345</v>
      </c>
      <c r="G155" s="20">
        <v>492258</v>
      </c>
      <c r="H155" s="20">
        <v>1243535</v>
      </c>
      <c r="I155" s="20">
        <v>1319978</v>
      </c>
      <c r="J155" s="68">
        <f>I155/H155-1</f>
        <v>6.1472334916186533E-2</v>
      </c>
      <c r="K155" s="20">
        <f>I155-H155</f>
        <v>76443</v>
      </c>
      <c r="L155" s="68">
        <f>I155/E155-1</f>
        <v>1.5827940505352078E-2</v>
      </c>
      <c r="M155" s="20">
        <f>I155-E155</f>
        <v>20567</v>
      </c>
      <c r="N155" s="68">
        <f t="shared" si="57"/>
        <v>0.25438949646807058</v>
      </c>
    </row>
    <row r="156" spans="2:14" x14ac:dyDescent="0.25">
      <c r="B156" s="272"/>
      <c r="C156" s="275"/>
      <c r="D156" s="19" t="s">
        <v>46</v>
      </c>
      <c r="E156" s="20">
        <v>45076</v>
      </c>
      <c r="F156" s="20">
        <v>12633</v>
      </c>
      <c r="G156" s="20">
        <v>20161</v>
      </c>
      <c r="H156" s="20">
        <v>37751</v>
      </c>
      <c r="I156" s="20">
        <v>51166</v>
      </c>
      <c r="J156" s="68">
        <f t="shared" ref="J156:J218" si="58">I156/H156-1</f>
        <v>0.3553548250377474</v>
      </c>
      <c r="K156" s="20">
        <f t="shared" ref="K156:K185" si="59">I156-H156</f>
        <v>13415</v>
      </c>
      <c r="L156" s="68">
        <f t="shared" ref="L156:L218" si="60">I156/E156-1</f>
        <v>0.13510515573697757</v>
      </c>
      <c r="M156" s="20">
        <f t="shared" ref="M156:M185" si="61">I156-E156</f>
        <v>6090</v>
      </c>
      <c r="N156" s="68">
        <f t="shared" si="57"/>
        <v>9.8608408445332429E-3</v>
      </c>
    </row>
    <row r="157" spans="2:14" x14ac:dyDescent="0.25">
      <c r="B157" s="272"/>
      <c r="C157" s="275"/>
      <c r="D157" s="19" t="s">
        <v>47</v>
      </c>
      <c r="E157" s="20">
        <v>137126</v>
      </c>
      <c r="F157" s="20">
        <v>55313</v>
      </c>
      <c r="G157" s="20">
        <v>70304</v>
      </c>
      <c r="H157" s="20">
        <v>161080</v>
      </c>
      <c r="I157" s="20">
        <v>179837</v>
      </c>
      <c r="J157" s="68">
        <f t="shared" si="58"/>
        <v>0.116445244598957</v>
      </c>
      <c r="K157" s="20">
        <f t="shared" si="59"/>
        <v>18757</v>
      </c>
      <c r="L157" s="68">
        <f t="shared" si="60"/>
        <v>0.31147266018114728</v>
      </c>
      <c r="M157" s="20">
        <f t="shared" si="61"/>
        <v>42711</v>
      </c>
      <c r="N157" s="68">
        <f t="shared" si="57"/>
        <v>3.4658641186692818E-2</v>
      </c>
    </row>
    <row r="158" spans="2:14" x14ac:dyDescent="0.25">
      <c r="B158" s="272"/>
      <c r="C158" s="275"/>
      <c r="D158" s="19" t="s">
        <v>48</v>
      </c>
      <c r="E158" s="20">
        <v>791721</v>
      </c>
      <c r="F158" s="20">
        <v>225835</v>
      </c>
      <c r="G158" s="20">
        <v>354204</v>
      </c>
      <c r="H158" s="20">
        <v>710225</v>
      </c>
      <c r="I158" s="20">
        <v>797848</v>
      </c>
      <c r="J158" s="68">
        <f t="shared" si="58"/>
        <v>0.12337357879545219</v>
      </c>
      <c r="K158" s="20">
        <f t="shared" si="59"/>
        <v>87623</v>
      </c>
      <c r="L158" s="68">
        <f t="shared" si="60"/>
        <v>7.7388372924300786E-3</v>
      </c>
      <c r="M158" s="20">
        <f t="shared" si="61"/>
        <v>6127</v>
      </c>
      <c r="N158" s="68">
        <f t="shared" si="57"/>
        <v>0.1537632831593081</v>
      </c>
    </row>
    <row r="159" spans="2:14" x14ac:dyDescent="0.25">
      <c r="B159" s="272"/>
      <c r="C159" s="275"/>
      <c r="D159" s="19" t="s">
        <v>49</v>
      </c>
      <c r="E159" s="20">
        <v>55887</v>
      </c>
      <c r="F159" s="20">
        <v>24221</v>
      </c>
      <c r="G159" s="20">
        <v>33444</v>
      </c>
      <c r="H159" s="20">
        <v>51485</v>
      </c>
      <c r="I159" s="20">
        <v>58157</v>
      </c>
      <c r="J159" s="68">
        <f t="shared" si="58"/>
        <v>0.12959114305137409</v>
      </c>
      <c r="K159" s="20">
        <f t="shared" si="59"/>
        <v>6672</v>
      </c>
      <c r="L159" s="68">
        <f t="shared" si="60"/>
        <v>4.0617674951240801E-2</v>
      </c>
      <c r="M159" s="20">
        <f t="shared" si="61"/>
        <v>2270</v>
      </c>
      <c r="N159" s="68">
        <f t="shared" si="57"/>
        <v>1.1208164034622988E-2</v>
      </c>
    </row>
    <row r="160" spans="2:14" x14ac:dyDescent="0.25">
      <c r="B160" s="272"/>
      <c r="C160" s="275"/>
      <c r="D160" s="19" t="s">
        <v>50</v>
      </c>
      <c r="E160" s="20">
        <v>142901</v>
      </c>
      <c r="F160" s="20">
        <v>77467</v>
      </c>
      <c r="G160" s="20">
        <v>107459</v>
      </c>
      <c r="H160" s="20">
        <v>198873</v>
      </c>
      <c r="I160" s="20">
        <v>252588</v>
      </c>
      <c r="J160" s="68">
        <f t="shared" si="58"/>
        <v>0.27009699657570407</v>
      </c>
      <c r="K160" s="20">
        <f t="shared" si="59"/>
        <v>53715</v>
      </c>
      <c r="L160" s="68">
        <f t="shared" si="60"/>
        <v>0.76757335498002122</v>
      </c>
      <c r="M160" s="20">
        <f t="shared" si="61"/>
        <v>109687</v>
      </c>
      <c r="N160" s="68">
        <f t="shared" si="57"/>
        <v>4.8679397788354818E-2</v>
      </c>
    </row>
    <row r="161" spans="2:14" x14ac:dyDescent="0.25">
      <c r="B161" s="272"/>
      <c r="C161" s="275"/>
      <c r="D161" s="19" t="s">
        <v>51</v>
      </c>
      <c r="E161" s="20">
        <v>220415</v>
      </c>
      <c r="F161" s="20">
        <v>103516</v>
      </c>
      <c r="G161" s="20">
        <v>164258</v>
      </c>
      <c r="H161" s="20">
        <v>229131</v>
      </c>
      <c r="I161" s="20">
        <v>239109</v>
      </c>
      <c r="J161" s="68">
        <f t="shared" si="58"/>
        <v>4.3547141155059865E-2</v>
      </c>
      <c r="K161" s="20">
        <f t="shared" si="59"/>
        <v>9978</v>
      </c>
      <c r="L161" s="68">
        <f t="shared" si="60"/>
        <v>8.4812739604836374E-2</v>
      </c>
      <c r="M161" s="20">
        <f t="shared" si="61"/>
        <v>18694</v>
      </c>
      <c r="N161" s="68">
        <f t="shared" si="57"/>
        <v>4.6081690839532091E-2</v>
      </c>
    </row>
    <row r="162" spans="2:14" x14ac:dyDescent="0.25">
      <c r="B162" s="272"/>
      <c r="C162" s="275"/>
      <c r="D162" s="19" t="s">
        <v>52</v>
      </c>
      <c r="E162" s="20">
        <v>250224</v>
      </c>
      <c r="F162" s="20">
        <v>96681</v>
      </c>
      <c r="G162" s="20">
        <v>140346</v>
      </c>
      <c r="H162" s="20">
        <v>257117</v>
      </c>
      <c r="I162" s="20">
        <v>278594</v>
      </c>
      <c r="J162" s="22">
        <f t="shared" si="58"/>
        <v>8.3530066078866927E-2</v>
      </c>
      <c r="K162" s="20">
        <f t="shared" si="59"/>
        <v>21477</v>
      </c>
      <c r="L162" s="22">
        <f t="shared" si="60"/>
        <v>0.1133784129420039</v>
      </c>
      <c r="M162" s="20">
        <f t="shared" si="61"/>
        <v>28370</v>
      </c>
      <c r="N162" s="22">
        <f t="shared" si="57"/>
        <v>5.3691339839774345E-2</v>
      </c>
    </row>
    <row r="163" spans="2:14" x14ac:dyDescent="0.25">
      <c r="B163" s="272"/>
      <c r="C163" s="276"/>
      <c r="D163" s="23" t="s">
        <v>53</v>
      </c>
      <c r="E163" s="69">
        <v>126097</v>
      </c>
      <c r="F163" s="69">
        <v>43425</v>
      </c>
      <c r="G163" s="69">
        <v>71959</v>
      </c>
      <c r="H163" s="69">
        <v>111437</v>
      </c>
      <c r="I163" s="69">
        <v>123198</v>
      </c>
      <c r="J163" s="46">
        <f t="shared" si="58"/>
        <v>0.10553945278498156</v>
      </c>
      <c r="K163" s="69">
        <f t="shared" si="59"/>
        <v>11761</v>
      </c>
      <c r="L163" s="46">
        <f t="shared" si="60"/>
        <v>-2.2990237674171521E-2</v>
      </c>
      <c r="M163" s="69">
        <f t="shared" si="61"/>
        <v>-2899</v>
      </c>
      <c r="N163" s="46">
        <f t="shared" si="57"/>
        <v>2.3743029948888057E-2</v>
      </c>
    </row>
    <row r="164" spans="2:14" x14ac:dyDescent="0.25">
      <c r="B164" s="272"/>
      <c r="C164" s="277" t="s">
        <v>18</v>
      </c>
      <c r="D164" s="63" t="s">
        <v>43</v>
      </c>
      <c r="E164" s="64">
        <v>4924849</v>
      </c>
      <c r="F164" s="64">
        <v>1664028</v>
      </c>
      <c r="G164" s="64">
        <v>2347681</v>
      </c>
      <c r="H164" s="64">
        <v>4832844</v>
      </c>
      <c r="I164" s="64">
        <v>5281361</v>
      </c>
      <c r="J164" s="65">
        <f>I164/H164-1</f>
        <v>9.2806016498773847E-2</v>
      </c>
      <c r="K164" s="64">
        <f>I164-H164</f>
        <v>448517</v>
      </c>
      <c r="L164" s="65">
        <f>I164/E164-1</f>
        <v>7.2390442833881741E-2</v>
      </c>
      <c r="M164" s="64">
        <f>I164-E164</f>
        <v>356512</v>
      </c>
      <c r="N164" s="65">
        <f t="shared" ref="N164:N174" si="62">I164/$I$164</f>
        <v>1</v>
      </c>
    </row>
    <row r="165" spans="2:14" x14ac:dyDescent="0.25">
      <c r="B165" s="272"/>
      <c r="C165" s="278"/>
      <c r="D165" s="26" t="s">
        <v>44</v>
      </c>
      <c r="E165" s="27">
        <v>1799528</v>
      </c>
      <c r="F165" s="27">
        <v>590539</v>
      </c>
      <c r="G165" s="27">
        <v>886032</v>
      </c>
      <c r="H165" s="27">
        <v>1785371</v>
      </c>
      <c r="I165" s="27">
        <v>1925016</v>
      </c>
      <c r="J165" s="80">
        <f t="shared" ref="J165" si="63">I165/H165-1</f>
        <v>7.8216236289264218E-2</v>
      </c>
      <c r="K165" s="27">
        <f t="shared" ref="K165" si="64">I165-H165</f>
        <v>139645</v>
      </c>
      <c r="L165" s="80">
        <f t="shared" ref="L165" si="65">I165/E165-1</f>
        <v>6.9733841318390111E-2</v>
      </c>
      <c r="M165" s="27">
        <f t="shared" ref="M165" si="66">I165-E165</f>
        <v>125488</v>
      </c>
      <c r="N165" s="38">
        <f t="shared" si="62"/>
        <v>0.3644924101950236</v>
      </c>
    </row>
    <row r="166" spans="2:14" x14ac:dyDescent="0.25">
      <c r="B166" s="272"/>
      <c r="C166" s="278"/>
      <c r="D166" s="4" t="s">
        <v>45</v>
      </c>
      <c r="E166" s="29">
        <v>1327537</v>
      </c>
      <c r="F166" s="29">
        <v>404818</v>
      </c>
      <c r="G166" s="29">
        <v>494807</v>
      </c>
      <c r="H166" s="29">
        <v>1265143</v>
      </c>
      <c r="I166" s="29">
        <v>1346080</v>
      </c>
      <c r="J166" s="81">
        <f>I166/H166-1</f>
        <v>6.3974586272065759E-2</v>
      </c>
      <c r="K166" s="29">
        <f>I166-H166</f>
        <v>80937</v>
      </c>
      <c r="L166" s="81">
        <f>I166/E166-1</f>
        <v>1.3967972267439732E-2</v>
      </c>
      <c r="M166" s="29">
        <f>I166-E166</f>
        <v>18543</v>
      </c>
      <c r="N166" s="75">
        <f t="shared" si="62"/>
        <v>0.25487369638242868</v>
      </c>
    </row>
    <row r="167" spans="2:14" x14ac:dyDescent="0.25">
      <c r="B167" s="272"/>
      <c r="C167" s="278"/>
      <c r="D167" s="4" t="s">
        <v>46</v>
      </c>
      <c r="E167" s="29">
        <v>45810</v>
      </c>
      <c r="F167" s="29">
        <v>13335</v>
      </c>
      <c r="G167" s="29">
        <v>20284</v>
      </c>
      <c r="H167" s="29">
        <v>38233</v>
      </c>
      <c r="I167" s="29">
        <v>51566</v>
      </c>
      <c r="J167" s="81">
        <f t="shared" ref="J167:J174" si="67">I167/H167-1</f>
        <v>0.34873015457850554</v>
      </c>
      <c r="K167" s="29">
        <f t="shared" ref="K167:K174" si="68">I167-H167</f>
        <v>13333</v>
      </c>
      <c r="L167" s="81">
        <f t="shared" ref="L167:L174" si="69">I167/E167-1</f>
        <v>0.12564942152368475</v>
      </c>
      <c r="M167" s="29">
        <f t="shared" ref="M167:M174" si="70">I167-E167</f>
        <v>5756</v>
      </c>
      <c r="N167" s="75">
        <f t="shared" si="62"/>
        <v>9.7637711188460694E-3</v>
      </c>
    </row>
    <row r="168" spans="2:14" x14ac:dyDescent="0.25">
      <c r="B168" s="272"/>
      <c r="C168" s="278"/>
      <c r="D168" s="4" t="s">
        <v>47</v>
      </c>
      <c r="E168" s="29">
        <v>139160</v>
      </c>
      <c r="F168" s="29">
        <v>57877</v>
      </c>
      <c r="G168" s="29">
        <v>71245</v>
      </c>
      <c r="H168" s="29">
        <v>164270</v>
      </c>
      <c r="I168" s="29">
        <v>183368</v>
      </c>
      <c r="J168" s="81">
        <f t="shared" si="67"/>
        <v>0.11625981615632797</v>
      </c>
      <c r="K168" s="29">
        <f t="shared" si="68"/>
        <v>19098</v>
      </c>
      <c r="L168" s="81">
        <f t="shared" si="69"/>
        <v>0.31767749353262431</v>
      </c>
      <c r="M168" s="29">
        <f t="shared" si="70"/>
        <v>44208</v>
      </c>
      <c r="N168" s="75">
        <f t="shared" si="62"/>
        <v>3.4719838314404186E-2</v>
      </c>
    </row>
    <row r="169" spans="2:14" x14ac:dyDescent="0.25">
      <c r="B169" s="272"/>
      <c r="C169" s="278"/>
      <c r="D169" s="4" t="s">
        <v>48</v>
      </c>
      <c r="E169" s="29">
        <v>806433</v>
      </c>
      <c r="F169" s="29">
        <v>240954</v>
      </c>
      <c r="G169" s="29">
        <v>355287</v>
      </c>
      <c r="H169" s="29">
        <v>720575</v>
      </c>
      <c r="I169" s="29">
        <v>811299</v>
      </c>
      <c r="J169" s="81">
        <f t="shared" si="67"/>
        <v>0.12590500641848523</v>
      </c>
      <c r="K169" s="29">
        <f t="shared" si="68"/>
        <v>90724</v>
      </c>
      <c r="L169" s="81">
        <f t="shared" si="69"/>
        <v>6.0339792642414292E-3</v>
      </c>
      <c r="M169" s="29">
        <f t="shared" si="70"/>
        <v>4866</v>
      </c>
      <c r="N169" s="75">
        <f t="shared" si="62"/>
        <v>0.15361551690937242</v>
      </c>
    </row>
    <row r="170" spans="2:14" x14ac:dyDescent="0.25">
      <c r="B170" s="272"/>
      <c r="C170" s="278"/>
      <c r="D170" s="4" t="s">
        <v>49</v>
      </c>
      <c r="E170" s="29">
        <v>56230</v>
      </c>
      <c r="F170" s="29">
        <v>24525</v>
      </c>
      <c r="G170" s="29">
        <v>33497</v>
      </c>
      <c r="H170" s="29">
        <v>51855</v>
      </c>
      <c r="I170" s="29">
        <v>58492</v>
      </c>
      <c r="J170" s="81">
        <f t="shared" si="67"/>
        <v>0.127991514800887</v>
      </c>
      <c r="K170" s="29">
        <f t="shared" si="68"/>
        <v>6637</v>
      </c>
      <c r="L170" s="81">
        <f t="shared" si="69"/>
        <v>4.0227636492975227E-2</v>
      </c>
      <c r="M170" s="29">
        <f t="shared" si="70"/>
        <v>2262</v>
      </c>
      <c r="N170" s="75">
        <f t="shared" si="62"/>
        <v>1.1075175508737236E-2</v>
      </c>
    </row>
    <row r="171" spans="2:14" x14ac:dyDescent="0.25">
      <c r="B171" s="272"/>
      <c r="C171" s="278"/>
      <c r="D171" s="4" t="s">
        <v>50</v>
      </c>
      <c r="E171" s="29">
        <v>146100</v>
      </c>
      <c r="F171" s="29">
        <v>80970</v>
      </c>
      <c r="G171" s="29">
        <v>108554</v>
      </c>
      <c r="H171" s="29">
        <v>202302</v>
      </c>
      <c r="I171" s="29">
        <v>255835</v>
      </c>
      <c r="J171" s="81">
        <f t="shared" si="67"/>
        <v>0.26461923263240106</v>
      </c>
      <c r="K171" s="29">
        <f t="shared" si="68"/>
        <v>53533</v>
      </c>
      <c r="L171" s="81">
        <f t="shared" si="69"/>
        <v>0.75109514031485292</v>
      </c>
      <c r="M171" s="29">
        <f t="shared" si="70"/>
        <v>109735</v>
      </c>
      <c r="N171" s="75">
        <f t="shared" si="62"/>
        <v>4.8441112054260257E-2</v>
      </c>
    </row>
    <row r="172" spans="2:14" x14ac:dyDescent="0.25">
      <c r="B172" s="272"/>
      <c r="C172" s="278"/>
      <c r="D172" s="4" t="s">
        <v>51</v>
      </c>
      <c r="E172" s="29">
        <v>221911</v>
      </c>
      <c r="F172" s="29">
        <v>104957</v>
      </c>
      <c r="G172" s="29">
        <v>164413</v>
      </c>
      <c r="H172" s="29">
        <v>230406</v>
      </c>
      <c r="I172" s="29">
        <v>240602</v>
      </c>
      <c r="J172" s="81">
        <f t="shared" si="67"/>
        <v>4.4252319818060215E-2</v>
      </c>
      <c r="K172" s="29">
        <f t="shared" si="68"/>
        <v>10196</v>
      </c>
      <c r="L172" s="81">
        <f t="shared" si="69"/>
        <v>8.4227460558512268E-2</v>
      </c>
      <c r="M172" s="29">
        <f t="shared" si="70"/>
        <v>18691</v>
      </c>
      <c r="N172" s="75">
        <f t="shared" si="62"/>
        <v>4.5556817646057519E-2</v>
      </c>
    </row>
    <row r="173" spans="2:14" x14ac:dyDescent="0.25">
      <c r="B173" s="272"/>
      <c r="C173" s="278"/>
      <c r="D173" s="4" t="s">
        <v>52</v>
      </c>
      <c r="E173" s="29">
        <v>254169</v>
      </c>
      <c r="F173" s="29">
        <v>100783</v>
      </c>
      <c r="G173" s="29">
        <v>141329</v>
      </c>
      <c r="H173" s="29">
        <v>261644</v>
      </c>
      <c r="I173" s="29">
        <v>283635</v>
      </c>
      <c r="J173" s="31">
        <f t="shared" si="67"/>
        <v>8.4049318921893823E-2</v>
      </c>
      <c r="K173" s="29">
        <f t="shared" si="68"/>
        <v>21991</v>
      </c>
      <c r="L173" s="31">
        <f t="shared" si="69"/>
        <v>0.11593073899649453</v>
      </c>
      <c r="M173" s="29">
        <f t="shared" si="70"/>
        <v>29466</v>
      </c>
      <c r="N173" s="42">
        <f t="shared" si="62"/>
        <v>5.3704906746575361E-2</v>
      </c>
    </row>
    <row r="174" spans="2:14" x14ac:dyDescent="0.25">
      <c r="B174" s="272"/>
      <c r="C174" s="279"/>
      <c r="D174" s="32" t="s">
        <v>53</v>
      </c>
      <c r="E174" s="71">
        <v>127971</v>
      </c>
      <c r="F174" s="71">
        <v>45270</v>
      </c>
      <c r="G174" s="71">
        <v>72233</v>
      </c>
      <c r="H174" s="71">
        <v>113045</v>
      </c>
      <c r="I174" s="71">
        <v>125468</v>
      </c>
      <c r="J174" s="72">
        <f t="shared" si="67"/>
        <v>0.10989428988455918</v>
      </c>
      <c r="K174" s="71">
        <f t="shared" si="68"/>
        <v>12423</v>
      </c>
      <c r="L174" s="72">
        <f t="shared" si="69"/>
        <v>-1.955911886286732E-2</v>
      </c>
      <c r="M174" s="71">
        <f t="shared" si="70"/>
        <v>-2503</v>
      </c>
      <c r="N174" s="55">
        <f t="shared" si="62"/>
        <v>2.3756755124294666E-2</v>
      </c>
    </row>
    <row r="175" spans="2:14" x14ac:dyDescent="0.25">
      <c r="B175" s="272"/>
      <c r="C175" s="274" t="s">
        <v>21</v>
      </c>
      <c r="D175" s="63" t="s">
        <v>43</v>
      </c>
      <c r="E175" s="64">
        <v>34034766</v>
      </c>
      <c r="F175" s="64">
        <v>10243785</v>
      </c>
      <c r="G175" s="64">
        <v>13903380</v>
      </c>
      <c r="H175" s="64">
        <v>31405937</v>
      </c>
      <c r="I175" s="64">
        <v>34509923</v>
      </c>
      <c r="J175" s="65">
        <f t="shared" si="58"/>
        <v>9.8834370074677214E-2</v>
      </c>
      <c r="K175" s="64">
        <f t="shared" si="59"/>
        <v>3103986</v>
      </c>
      <c r="L175" s="65">
        <f t="shared" si="60"/>
        <v>1.3960930420382489E-2</v>
      </c>
      <c r="M175" s="64">
        <f t="shared" si="61"/>
        <v>475157</v>
      </c>
      <c r="N175" s="65">
        <f>I175/$I$175</f>
        <v>1</v>
      </c>
    </row>
    <row r="176" spans="2:14" x14ac:dyDescent="0.25">
      <c r="B176" s="272"/>
      <c r="C176" s="275"/>
      <c r="D176" s="15" t="s">
        <v>44</v>
      </c>
      <c r="E176" s="16">
        <v>13105945</v>
      </c>
      <c r="F176" s="16">
        <v>3913809</v>
      </c>
      <c r="G176" s="16">
        <v>5763674</v>
      </c>
      <c r="H176" s="16">
        <v>12632387</v>
      </c>
      <c r="I176" s="16">
        <v>13590517</v>
      </c>
      <c r="J176" s="18">
        <f t="shared" si="58"/>
        <v>7.5847106330735325E-2</v>
      </c>
      <c r="K176" s="16">
        <f t="shared" si="59"/>
        <v>958130</v>
      </c>
      <c r="L176" s="18">
        <f t="shared" si="60"/>
        <v>3.6973449835170147E-2</v>
      </c>
      <c r="M176" s="16">
        <f t="shared" si="61"/>
        <v>484572</v>
      </c>
      <c r="N176" s="18">
        <f t="shared" ref="N176:N185" si="71">I176/$I$175</f>
        <v>0.39381475872896038</v>
      </c>
    </row>
    <row r="177" spans="2:14" x14ac:dyDescent="0.25">
      <c r="B177" s="272"/>
      <c r="C177" s="275"/>
      <c r="D177" s="19" t="s">
        <v>45</v>
      </c>
      <c r="E177" s="20">
        <v>10093577</v>
      </c>
      <c r="F177" s="20">
        <v>2858440</v>
      </c>
      <c r="G177" s="20">
        <v>3367162</v>
      </c>
      <c r="H177" s="20">
        <v>8865243</v>
      </c>
      <c r="I177" s="20">
        <v>9739308</v>
      </c>
      <c r="J177" s="68">
        <f t="shared" si="58"/>
        <v>9.8594590131370285E-2</v>
      </c>
      <c r="K177" s="20">
        <f t="shared" si="59"/>
        <v>874065</v>
      </c>
      <c r="L177" s="68">
        <f t="shared" si="60"/>
        <v>-3.5098459148823036E-2</v>
      </c>
      <c r="M177" s="20">
        <f t="shared" si="61"/>
        <v>-354269</v>
      </c>
      <c r="N177" s="68">
        <f t="shared" si="71"/>
        <v>0.28221761027980269</v>
      </c>
    </row>
    <row r="178" spans="2:14" x14ac:dyDescent="0.25">
      <c r="B178" s="272"/>
      <c r="C178" s="275"/>
      <c r="D178" s="19" t="s">
        <v>46</v>
      </c>
      <c r="E178" s="20">
        <v>234787</v>
      </c>
      <c r="F178" s="20">
        <v>65275</v>
      </c>
      <c r="G178" s="20">
        <v>98762</v>
      </c>
      <c r="H178" s="20">
        <v>168339</v>
      </c>
      <c r="I178" s="20">
        <v>182035</v>
      </c>
      <c r="J178" s="68">
        <f t="shared" si="58"/>
        <v>8.1359637398344953E-2</v>
      </c>
      <c r="K178" s="20">
        <f t="shared" si="59"/>
        <v>13696</v>
      </c>
      <c r="L178" s="68">
        <f t="shared" si="60"/>
        <v>-0.22468024209176829</v>
      </c>
      <c r="M178" s="20">
        <f t="shared" si="61"/>
        <v>-52752</v>
      </c>
      <c r="N178" s="68">
        <f t="shared" si="71"/>
        <v>5.274859639646255E-3</v>
      </c>
    </row>
    <row r="179" spans="2:14" x14ac:dyDescent="0.25">
      <c r="B179" s="272"/>
      <c r="C179" s="275"/>
      <c r="D179" s="19" t="s">
        <v>47</v>
      </c>
      <c r="E179" s="20">
        <v>834528</v>
      </c>
      <c r="F179" s="20">
        <v>295880</v>
      </c>
      <c r="G179" s="20">
        <v>419370</v>
      </c>
      <c r="H179" s="20">
        <v>1014697</v>
      </c>
      <c r="I179" s="20">
        <v>1034949</v>
      </c>
      <c r="J179" s="68">
        <f t="shared" si="58"/>
        <v>1.9958667464277546E-2</v>
      </c>
      <c r="K179" s="20">
        <f t="shared" si="59"/>
        <v>20252</v>
      </c>
      <c r="L179" s="68">
        <f t="shared" si="60"/>
        <v>0.24016090532612444</v>
      </c>
      <c r="M179" s="20">
        <f t="shared" si="61"/>
        <v>200421</v>
      </c>
      <c r="N179" s="68">
        <f t="shared" si="71"/>
        <v>2.9989895949637441E-2</v>
      </c>
    </row>
    <row r="180" spans="2:14" x14ac:dyDescent="0.25">
      <c r="B180" s="272"/>
      <c r="C180" s="275"/>
      <c r="D180" s="19" t="s">
        <v>48</v>
      </c>
      <c r="E180" s="20">
        <v>5492551</v>
      </c>
      <c r="F180" s="20">
        <v>1546641</v>
      </c>
      <c r="G180" s="20">
        <v>1967362</v>
      </c>
      <c r="H180" s="20">
        <v>4352393</v>
      </c>
      <c r="I180" s="20">
        <v>5123327</v>
      </c>
      <c r="J180" s="68">
        <f t="shared" si="58"/>
        <v>0.17712876571577985</v>
      </c>
      <c r="K180" s="20">
        <f t="shared" si="59"/>
        <v>770934</v>
      </c>
      <c r="L180" s="68">
        <f t="shared" si="60"/>
        <v>-6.7222680317397199E-2</v>
      </c>
      <c r="M180" s="20">
        <f t="shared" si="61"/>
        <v>-369224</v>
      </c>
      <c r="N180" s="68">
        <f t="shared" si="71"/>
        <v>0.14845953148026439</v>
      </c>
    </row>
    <row r="181" spans="2:14" x14ac:dyDescent="0.25">
      <c r="B181" s="272"/>
      <c r="C181" s="275"/>
      <c r="D181" s="19" t="s">
        <v>49</v>
      </c>
      <c r="E181" s="20">
        <v>136126</v>
      </c>
      <c r="F181" s="20">
        <v>59047</v>
      </c>
      <c r="G181" s="20">
        <v>83402</v>
      </c>
      <c r="H181" s="20">
        <v>137757</v>
      </c>
      <c r="I181" s="20">
        <v>148334</v>
      </c>
      <c r="J181" s="68">
        <f t="shared" si="58"/>
        <v>7.6780127325653202E-2</v>
      </c>
      <c r="K181" s="20">
        <f t="shared" si="59"/>
        <v>10577</v>
      </c>
      <c r="L181" s="68">
        <f t="shared" si="60"/>
        <v>8.9681618500506932E-2</v>
      </c>
      <c r="M181" s="20">
        <f t="shared" si="61"/>
        <v>12208</v>
      </c>
      <c r="N181" s="68">
        <f t="shared" si="71"/>
        <v>4.2982999411502595E-3</v>
      </c>
    </row>
    <row r="182" spans="2:14" x14ac:dyDescent="0.25">
      <c r="B182" s="272"/>
      <c r="C182" s="275"/>
      <c r="D182" s="19" t="s">
        <v>50</v>
      </c>
      <c r="E182" s="20">
        <v>1055815</v>
      </c>
      <c r="F182" s="20">
        <v>442013</v>
      </c>
      <c r="G182" s="20">
        <v>749212</v>
      </c>
      <c r="H182" s="20">
        <v>1316064</v>
      </c>
      <c r="I182" s="20">
        <v>1447168</v>
      </c>
      <c r="J182" s="68">
        <f t="shared" si="58"/>
        <v>9.9618255647141885E-2</v>
      </c>
      <c r="K182" s="20">
        <f t="shared" si="59"/>
        <v>131104</v>
      </c>
      <c r="L182" s="68">
        <f t="shared" si="60"/>
        <v>0.37066436828421656</v>
      </c>
      <c r="M182" s="20">
        <f t="shared" si="61"/>
        <v>391353</v>
      </c>
      <c r="N182" s="68">
        <f t="shared" si="71"/>
        <v>4.1934837119167144E-2</v>
      </c>
    </row>
    <row r="183" spans="2:14" x14ac:dyDescent="0.25">
      <c r="B183" s="272"/>
      <c r="C183" s="275"/>
      <c r="D183" s="19" t="s">
        <v>51</v>
      </c>
      <c r="E183" s="20">
        <v>503437</v>
      </c>
      <c r="F183" s="20">
        <v>216673</v>
      </c>
      <c r="G183" s="20">
        <v>359169</v>
      </c>
      <c r="H183" s="20">
        <v>543499</v>
      </c>
      <c r="I183" s="20">
        <v>576462</v>
      </c>
      <c r="J183" s="68">
        <f t="shared" si="58"/>
        <v>6.0649605611049928E-2</v>
      </c>
      <c r="K183" s="20">
        <f t="shared" si="59"/>
        <v>32963</v>
      </c>
      <c r="L183" s="68">
        <f t="shared" si="60"/>
        <v>0.14505290632194301</v>
      </c>
      <c r="M183" s="20">
        <f t="shared" si="61"/>
        <v>73025</v>
      </c>
      <c r="N183" s="68">
        <f t="shared" si="71"/>
        <v>1.6704238951793661E-2</v>
      </c>
    </row>
    <row r="184" spans="2:14" x14ac:dyDescent="0.25">
      <c r="B184" s="272"/>
      <c r="C184" s="275"/>
      <c r="D184" s="19" t="s">
        <v>52</v>
      </c>
      <c r="E184" s="20">
        <v>1856756</v>
      </c>
      <c r="F184" s="20">
        <v>610766</v>
      </c>
      <c r="G184" s="20">
        <v>774989</v>
      </c>
      <c r="H184" s="20">
        <v>1753117</v>
      </c>
      <c r="I184" s="20">
        <v>1886738</v>
      </c>
      <c r="J184" s="22">
        <f t="shared" si="58"/>
        <v>7.6219100037247856E-2</v>
      </c>
      <c r="K184" s="20">
        <f t="shared" si="59"/>
        <v>133621</v>
      </c>
      <c r="L184" s="22">
        <f t="shared" si="60"/>
        <v>1.6147517498260378E-2</v>
      </c>
      <c r="M184" s="20">
        <f t="shared" si="61"/>
        <v>29982</v>
      </c>
      <c r="N184" s="22">
        <f t="shared" si="71"/>
        <v>5.4672332940296622E-2</v>
      </c>
    </row>
    <row r="185" spans="2:14" x14ac:dyDescent="0.25">
      <c r="B185" s="272"/>
      <c r="C185" s="276"/>
      <c r="D185" s="23" t="s">
        <v>53</v>
      </c>
      <c r="E185" s="69">
        <v>721244</v>
      </c>
      <c r="F185" s="69">
        <v>235241</v>
      </c>
      <c r="G185" s="69">
        <v>320278</v>
      </c>
      <c r="H185" s="69">
        <v>622441</v>
      </c>
      <c r="I185" s="69">
        <v>781085</v>
      </c>
      <c r="J185" s="46">
        <f t="shared" si="58"/>
        <v>0.25487395592513984</v>
      </c>
      <c r="K185" s="69">
        <f t="shared" si="59"/>
        <v>158644</v>
      </c>
      <c r="L185" s="46">
        <f t="shared" si="60"/>
        <v>8.2969147750275862E-2</v>
      </c>
      <c r="M185" s="69">
        <f t="shared" si="61"/>
        <v>59841</v>
      </c>
      <c r="N185" s="46">
        <f t="shared" si="71"/>
        <v>2.2633634969281155E-2</v>
      </c>
    </row>
    <row r="186" spans="2:14" x14ac:dyDescent="0.25">
      <c r="B186" s="272"/>
      <c r="C186" s="277" t="s">
        <v>22</v>
      </c>
      <c r="D186" s="63" t="s">
        <v>43</v>
      </c>
      <c r="E186" s="73">
        <f t="shared" ref="E186:I187" si="72">E175/E153</f>
        <v>7.0442412853950467</v>
      </c>
      <c r="F186" s="73">
        <f t="shared" si="72"/>
        <v>6.5442824807720932</v>
      </c>
      <c r="G186" s="73">
        <f t="shared" si="72"/>
        <v>5.9532216226677823</v>
      </c>
      <c r="H186" s="73">
        <f t="shared" si="72"/>
        <v>6.6010991064347921</v>
      </c>
      <c r="I186" s="73">
        <f t="shared" si="72"/>
        <v>6.6508395860551373</v>
      </c>
      <c r="J186" s="65">
        <f t="shared" si="58"/>
        <v>7.5351814627140357E-3</v>
      </c>
      <c r="K186" s="73">
        <f t="shared" ref="K186:K187" si="73">(I186-H186)</f>
        <v>4.9740479620345113E-2</v>
      </c>
      <c r="L186" s="65">
        <f t="shared" si="60"/>
        <v>-5.5847277712584353E-2</v>
      </c>
      <c r="M186" s="73">
        <f t="shared" ref="M186:M187" si="74">(I186-E186)</f>
        <v>-0.39340169933990943</v>
      </c>
      <c r="N186" s="65"/>
    </row>
    <row r="187" spans="2:14" x14ac:dyDescent="0.25">
      <c r="B187" s="272"/>
      <c r="C187" s="278"/>
      <c r="D187" s="26" t="s">
        <v>44</v>
      </c>
      <c r="E187" s="37">
        <f t="shared" si="72"/>
        <v>7.4350901875799549</v>
      </c>
      <c r="F187" s="37">
        <f t="shared" si="72"/>
        <v>7.1048165891222386</v>
      </c>
      <c r="G187" s="37">
        <f t="shared" si="72"/>
        <v>6.5418610854156141</v>
      </c>
      <c r="H187" s="37">
        <f t="shared" si="72"/>
        <v>7.1895473603752658</v>
      </c>
      <c r="I187" s="37">
        <f t="shared" si="72"/>
        <v>7.1971014630901768</v>
      </c>
      <c r="J187" s="80">
        <f t="shared" si="58"/>
        <v>1.0507063012819007E-3</v>
      </c>
      <c r="K187" s="37">
        <f t="shared" si="73"/>
        <v>7.5541027149110818E-3</v>
      </c>
      <c r="L187" s="80">
        <f t="shared" si="60"/>
        <v>-3.2008855102703349E-2</v>
      </c>
      <c r="M187" s="37">
        <f t="shared" si="74"/>
        <v>-0.23798872448977804</v>
      </c>
      <c r="N187" s="38"/>
    </row>
    <row r="188" spans="2:14" x14ac:dyDescent="0.25">
      <c r="B188" s="272"/>
      <c r="C188" s="278"/>
      <c r="D188" s="4" t="s">
        <v>45</v>
      </c>
      <c r="E188" s="41">
        <f>E177/E155</f>
        <v>7.7678094151888821</v>
      </c>
      <c r="F188" s="41">
        <f>F177/F155</f>
        <v>7.6155004062928775</v>
      </c>
      <c r="G188" s="41">
        <f>G177/G155</f>
        <v>6.8402382490482632</v>
      </c>
      <c r="H188" s="41">
        <f>H177/H155</f>
        <v>7.1290659289847085</v>
      </c>
      <c r="I188" s="41">
        <f>I177/I155</f>
        <v>7.378386609473794</v>
      </c>
      <c r="J188" s="81">
        <f t="shared" si="58"/>
        <v>3.4972418963811203E-2</v>
      </c>
      <c r="K188" s="41">
        <f>(I188-H188)</f>
        <v>0.24932068048908551</v>
      </c>
      <c r="L188" s="81">
        <f t="shared" si="60"/>
        <v>-5.0132899109705975E-2</v>
      </c>
      <c r="M188" s="41">
        <f>(I188-E188)</f>
        <v>-0.38942280571508814</v>
      </c>
      <c r="N188" s="75"/>
    </row>
    <row r="189" spans="2:14" x14ac:dyDescent="0.25">
      <c r="B189" s="272"/>
      <c r="C189" s="278"/>
      <c r="D189" s="4" t="s">
        <v>46</v>
      </c>
      <c r="E189" s="41">
        <f t="shared" ref="E189:I196" si="75">E178/E156</f>
        <v>5.2086919868666248</v>
      </c>
      <c r="F189" s="41">
        <f t="shared" si="75"/>
        <v>5.1670228765930499</v>
      </c>
      <c r="G189" s="41">
        <f t="shared" si="75"/>
        <v>4.8986657407866669</v>
      </c>
      <c r="H189" s="41">
        <f t="shared" si="75"/>
        <v>4.4591931339567168</v>
      </c>
      <c r="I189" s="41">
        <f t="shared" si="75"/>
        <v>3.5577336512527848</v>
      </c>
      <c r="J189" s="81">
        <f t="shared" si="58"/>
        <v>-0.20215753290417626</v>
      </c>
      <c r="K189" s="41">
        <f t="shared" ref="K189:K196" si="76">(I189-H189)</f>
        <v>-0.90145948270393195</v>
      </c>
      <c r="L189" s="81">
        <f t="shared" si="60"/>
        <v>-0.31696217395396442</v>
      </c>
      <c r="M189" s="41">
        <f t="shared" ref="M189:M196" si="77">(I189-E189)</f>
        <v>-1.65095833561384</v>
      </c>
      <c r="N189" s="75"/>
    </row>
    <row r="190" spans="2:14" x14ac:dyDescent="0.25">
      <c r="B190" s="272"/>
      <c r="C190" s="278"/>
      <c r="D190" s="4" t="s">
        <v>47</v>
      </c>
      <c r="E190" s="41">
        <f t="shared" si="75"/>
        <v>6.0858480521564111</v>
      </c>
      <c r="F190" s="41">
        <f t="shared" si="75"/>
        <v>5.3491945835517871</v>
      </c>
      <c r="G190" s="41">
        <f t="shared" si="75"/>
        <v>5.9650944469731453</v>
      </c>
      <c r="H190" s="41">
        <f t="shared" si="75"/>
        <v>6.2993357337968714</v>
      </c>
      <c r="I190" s="41">
        <f t="shared" si="75"/>
        <v>5.7549280737556785</v>
      </c>
      <c r="J190" s="81">
        <f t="shared" si="58"/>
        <v>-8.642302665666235E-2</v>
      </c>
      <c r="K190" s="41">
        <f t="shared" si="76"/>
        <v>-0.5444076600411929</v>
      </c>
      <c r="L190" s="81">
        <f t="shared" si="60"/>
        <v>-5.4375327080911418E-2</v>
      </c>
      <c r="M190" s="41">
        <f t="shared" si="77"/>
        <v>-0.33091997840073262</v>
      </c>
      <c r="N190" s="75"/>
    </row>
    <row r="191" spans="2:14" x14ac:dyDescent="0.25">
      <c r="B191" s="272"/>
      <c r="C191" s="278"/>
      <c r="D191" s="4" t="s">
        <v>48</v>
      </c>
      <c r="E191" s="41">
        <f t="shared" si="75"/>
        <v>6.9374830274806403</v>
      </c>
      <c r="F191" s="41">
        <f t="shared" si="75"/>
        <v>6.8485442911860428</v>
      </c>
      <c r="G191" s="41">
        <f t="shared" si="75"/>
        <v>5.5543189800228117</v>
      </c>
      <c r="H191" s="41">
        <f t="shared" si="75"/>
        <v>6.1281889542046537</v>
      </c>
      <c r="I191" s="41">
        <f t="shared" si="75"/>
        <v>6.4214324031645127</v>
      </c>
      <c r="J191" s="81">
        <f t="shared" si="58"/>
        <v>4.7851567755374136E-2</v>
      </c>
      <c r="K191" s="41">
        <f t="shared" si="76"/>
        <v>0.29324344895985899</v>
      </c>
      <c r="L191" s="81">
        <f t="shared" si="60"/>
        <v>-7.4385857561302338E-2</v>
      </c>
      <c r="M191" s="41">
        <f t="shared" si="77"/>
        <v>-0.51605062431612758</v>
      </c>
      <c r="N191" s="75"/>
    </row>
    <row r="192" spans="2:14" x14ac:dyDescent="0.25">
      <c r="B192" s="272"/>
      <c r="C192" s="278"/>
      <c r="D192" s="4" t="s">
        <v>49</v>
      </c>
      <c r="E192" s="41">
        <f t="shared" si="75"/>
        <v>2.4357363966575409</v>
      </c>
      <c r="F192" s="41">
        <f t="shared" si="75"/>
        <v>2.437843193922629</v>
      </c>
      <c r="G192" s="41">
        <f t="shared" si="75"/>
        <v>2.4937806482478173</v>
      </c>
      <c r="H192" s="41">
        <f t="shared" si="75"/>
        <v>2.6756725259784404</v>
      </c>
      <c r="I192" s="41">
        <f t="shared" si="75"/>
        <v>2.5505786061867015</v>
      </c>
      <c r="J192" s="81">
        <f t="shared" si="58"/>
        <v>-4.6752328088428774E-2</v>
      </c>
      <c r="K192" s="41">
        <f t="shared" si="76"/>
        <v>-0.12509391979173889</v>
      </c>
      <c r="L192" s="81">
        <f t="shared" si="60"/>
        <v>4.714886622655623E-2</v>
      </c>
      <c r="M192" s="41">
        <f t="shared" si="77"/>
        <v>0.11484220952916058</v>
      </c>
      <c r="N192" s="75"/>
    </row>
    <row r="193" spans="2:14" x14ac:dyDescent="0.25">
      <c r="B193" s="272"/>
      <c r="C193" s="278"/>
      <c r="D193" s="4" t="s">
        <v>50</v>
      </c>
      <c r="E193" s="41">
        <f t="shared" si="75"/>
        <v>7.3884367499177754</v>
      </c>
      <c r="F193" s="41">
        <f t="shared" si="75"/>
        <v>5.7058231246853497</v>
      </c>
      <c r="G193" s="41">
        <f t="shared" si="75"/>
        <v>6.9720730697289195</v>
      </c>
      <c r="H193" s="41">
        <f t="shared" si="75"/>
        <v>6.6176102336667117</v>
      </c>
      <c r="I193" s="41">
        <f t="shared" si="75"/>
        <v>5.729361648217651</v>
      </c>
      <c r="J193" s="81">
        <f t="shared" si="58"/>
        <v>-0.13422497761051977</v>
      </c>
      <c r="K193" s="41">
        <f t="shared" si="76"/>
        <v>-0.88824858544906071</v>
      </c>
      <c r="L193" s="81">
        <f t="shared" si="60"/>
        <v>-0.22455022054815421</v>
      </c>
      <c r="M193" s="41">
        <f t="shared" si="77"/>
        <v>-1.6590751017001244</v>
      </c>
      <c r="N193" s="75"/>
    </row>
    <row r="194" spans="2:14" x14ac:dyDescent="0.25">
      <c r="B194" s="272"/>
      <c r="C194" s="278"/>
      <c r="D194" s="4" t="s">
        <v>51</v>
      </c>
      <c r="E194" s="41">
        <f t="shared" si="75"/>
        <v>2.2840414672322664</v>
      </c>
      <c r="F194" s="41">
        <f t="shared" si="75"/>
        <v>2.0931353607171839</v>
      </c>
      <c r="G194" s="41">
        <f t="shared" si="75"/>
        <v>2.1866149593931499</v>
      </c>
      <c r="H194" s="41">
        <f t="shared" si="75"/>
        <v>2.3720011696365835</v>
      </c>
      <c r="I194" s="41">
        <f t="shared" si="75"/>
        <v>2.410875374829053</v>
      </c>
      <c r="J194" s="81">
        <f t="shared" si="58"/>
        <v>1.6388779942476006E-2</v>
      </c>
      <c r="K194" s="41">
        <f t="shared" si="76"/>
        <v>3.8874205192469535E-2</v>
      </c>
      <c r="L194" s="81">
        <f t="shared" si="60"/>
        <v>5.5530475000736379E-2</v>
      </c>
      <c r="M194" s="41">
        <f t="shared" si="77"/>
        <v>0.12683390759678659</v>
      </c>
      <c r="N194" s="75"/>
    </row>
    <row r="195" spans="2:14" x14ac:dyDescent="0.25">
      <c r="B195" s="272"/>
      <c r="C195" s="278"/>
      <c r="D195" s="4" t="s">
        <v>52</v>
      </c>
      <c r="E195" s="41">
        <f t="shared" si="75"/>
        <v>7.4203753436920517</v>
      </c>
      <c r="F195" s="41">
        <f t="shared" si="75"/>
        <v>6.3173322576307651</v>
      </c>
      <c r="G195" s="41">
        <f t="shared" si="75"/>
        <v>5.5219885141008653</v>
      </c>
      <c r="H195" s="41">
        <f t="shared" si="75"/>
        <v>6.81836284648623</v>
      </c>
      <c r="I195" s="41">
        <f t="shared" si="75"/>
        <v>6.7723569064660403</v>
      </c>
      <c r="J195" s="31">
        <f t="shared" si="58"/>
        <v>-6.7473587217345976E-3</v>
      </c>
      <c r="K195" s="41">
        <f t="shared" si="76"/>
        <v>-4.6005940020189762E-2</v>
      </c>
      <c r="L195" s="31">
        <f t="shared" si="60"/>
        <v>-8.732960358627706E-2</v>
      </c>
      <c r="M195" s="41">
        <f t="shared" si="77"/>
        <v>-0.64801843722601138</v>
      </c>
      <c r="N195" s="42"/>
    </row>
    <row r="196" spans="2:14" x14ac:dyDescent="0.25">
      <c r="B196" s="272"/>
      <c r="C196" s="279"/>
      <c r="D196" s="32" t="s">
        <v>53</v>
      </c>
      <c r="E196" s="77">
        <f t="shared" si="75"/>
        <v>5.7197554263781054</v>
      </c>
      <c r="F196" s="77">
        <f t="shared" si="75"/>
        <v>5.4171790443293037</v>
      </c>
      <c r="G196" s="77">
        <f t="shared" si="75"/>
        <v>4.4508400617018022</v>
      </c>
      <c r="H196" s="77">
        <f t="shared" si="75"/>
        <v>5.585586474869209</v>
      </c>
      <c r="I196" s="77">
        <f t="shared" si="75"/>
        <v>6.340078572704102</v>
      </c>
      <c r="J196" s="72">
        <f t="shared" si="58"/>
        <v>0.13507840246132075</v>
      </c>
      <c r="K196" s="77">
        <f t="shared" si="76"/>
        <v>0.75449209783489302</v>
      </c>
      <c r="L196" s="72">
        <f t="shared" si="60"/>
        <v>0.10845273968624936</v>
      </c>
      <c r="M196" s="77">
        <f t="shared" si="77"/>
        <v>0.62032314632599661</v>
      </c>
      <c r="N196" s="55"/>
    </row>
    <row r="197" spans="2:14" x14ac:dyDescent="0.25">
      <c r="B197" s="272"/>
      <c r="C197" s="280" t="s">
        <v>34</v>
      </c>
      <c r="D197" s="63" t="s">
        <v>43</v>
      </c>
      <c r="E197" s="65">
        <v>0.70566445218302065</v>
      </c>
      <c r="F197" s="65">
        <v>0.42151592636549812</v>
      </c>
      <c r="G197" s="65">
        <v>0.46071549284573426</v>
      </c>
      <c r="H197" s="65">
        <v>0.69548218463868861</v>
      </c>
      <c r="I197" s="65">
        <v>0.75317428421984389</v>
      </c>
      <c r="J197" s="65">
        <f t="shared" si="58"/>
        <v>8.2952663426061779E-2</v>
      </c>
      <c r="K197" s="73">
        <f>(I197-H197)*100</f>
        <v>5.7692099581155283</v>
      </c>
      <c r="L197" s="65">
        <f t="shared" ref="L197" si="78">I197/F197-1</f>
        <v>0.78682283897088978</v>
      </c>
      <c r="M197" s="73">
        <f t="shared" ref="M197" si="79">I197-F197</f>
        <v>0.33165835785434578</v>
      </c>
      <c r="N197" s="65"/>
    </row>
    <row r="198" spans="2:14" x14ac:dyDescent="0.25">
      <c r="B198" s="272"/>
      <c r="C198" s="281"/>
      <c r="D198" s="15" t="s">
        <v>44</v>
      </c>
      <c r="E198" s="18">
        <v>0.76972196158821105</v>
      </c>
      <c r="F198" s="18">
        <v>0.49563348888170433</v>
      </c>
      <c r="G198" s="18">
        <v>0.53007392392769836</v>
      </c>
      <c r="H198" s="18">
        <v>0.78235212112064911</v>
      </c>
      <c r="I198" s="18">
        <v>0.81120905005064936</v>
      </c>
      <c r="J198" s="18">
        <f t="shared" si="58"/>
        <v>3.6884835039068253E-2</v>
      </c>
      <c r="K198" s="44">
        <f t="shared" ref="K198" si="80">(I198-H198)*100</f>
        <v>2.8856928930000247</v>
      </c>
      <c r="L198" s="18">
        <f t="shared" si="60"/>
        <v>5.3898797920271857E-2</v>
      </c>
      <c r="M198" s="44">
        <f t="shared" ref="M198" si="81">(I198-E198)*100</f>
        <v>4.1487088462438315</v>
      </c>
      <c r="N198" s="18"/>
    </row>
    <row r="199" spans="2:14" x14ac:dyDescent="0.25">
      <c r="B199" s="272"/>
      <c r="C199" s="281"/>
      <c r="D199" s="19" t="s">
        <v>45</v>
      </c>
      <c r="E199" s="68">
        <v>0.67192823926387557</v>
      </c>
      <c r="F199" s="68">
        <v>0.41641203353334449</v>
      </c>
      <c r="G199" s="68">
        <v>0.38237984856351559</v>
      </c>
      <c r="H199" s="68">
        <v>0.63514820255836268</v>
      </c>
      <c r="I199" s="68">
        <v>0.71202240207954559</v>
      </c>
      <c r="J199" s="68">
        <f t="shared" si="58"/>
        <v>0.12103348354216448</v>
      </c>
      <c r="K199" s="45">
        <f>(I199-H199)*100</f>
        <v>7.6874199521182902</v>
      </c>
      <c r="L199" s="68">
        <f t="shared" si="60"/>
        <v>5.96703047628937E-2</v>
      </c>
      <c r="M199" s="45">
        <f>(I199-E199)*100</f>
        <v>4.0094162815670025</v>
      </c>
      <c r="N199" s="68"/>
    </row>
    <row r="200" spans="2:14" x14ac:dyDescent="0.25">
      <c r="B200" s="272"/>
      <c r="C200" s="281"/>
      <c r="D200" s="19" t="s">
        <v>46</v>
      </c>
      <c r="E200" s="68">
        <v>0.57076491108653105</v>
      </c>
      <c r="F200" s="68">
        <v>0.42174668708366447</v>
      </c>
      <c r="G200" s="68">
        <v>0.40408330264719122</v>
      </c>
      <c r="H200" s="68">
        <v>0.53778304538949095</v>
      </c>
      <c r="I200" s="68">
        <v>0.55454348826086564</v>
      </c>
      <c r="J200" s="68">
        <f t="shared" si="58"/>
        <v>3.1165807503722665E-2</v>
      </c>
      <c r="K200" s="45">
        <f t="shared" ref="K200:K207" si="82">(I200-H200)*100</f>
        <v>1.6760442871374681</v>
      </c>
      <c r="L200" s="68">
        <f t="shared" si="60"/>
        <v>-2.8420497670022637E-2</v>
      </c>
      <c r="M200" s="45">
        <f t="shared" ref="M200:M207" si="83">(I200-E200)*100</f>
        <v>-1.622142282566541</v>
      </c>
      <c r="N200" s="68"/>
    </row>
    <row r="201" spans="2:14" x14ac:dyDescent="0.25">
      <c r="B201" s="272"/>
      <c r="C201" s="281"/>
      <c r="D201" s="19" t="s">
        <v>47</v>
      </c>
      <c r="E201" s="68">
        <v>0.56176365655817706</v>
      </c>
      <c r="F201" s="68">
        <v>0.31148476369141237</v>
      </c>
      <c r="G201" s="68">
        <v>0.28621210694206145</v>
      </c>
      <c r="H201" s="68">
        <v>0.60938004840462912</v>
      </c>
      <c r="I201" s="68">
        <v>0.6452598187198163</v>
      </c>
      <c r="J201" s="68">
        <f t="shared" si="58"/>
        <v>5.8879135293518736E-2</v>
      </c>
      <c r="K201" s="45">
        <f t="shared" si="82"/>
        <v>3.5879770315187187</v>
      </c>
      <c r="L201" s="68">
        <f t="shared" si="60"/>
        <v>0.14863218933244093</v>
      </c>
      <c r="M201" s="45">
        <f t="shared" si="83"/>
        <v>8.3496162161639234</v>
      </c>
      <c r="N201" s="68"/>
    </row>
    <row r="202" spans="2:14" x14ac:dyDescent="0.25">
      <c r="B202" s="272"/>
      <c r="C202" s="281"/>
      <c r="D202" s="19" t="s">
        <v>48</v>
      </c>
      <c r="E202" s="68">
        <v>0.70518161483742259</v>
      </c>
      <c r="F202" s="68">
        <v>0.48948502261743165</v>
      </c>
      <c r="G202" s="68">
        <v>0.48615455783025679</v>
      </c>
      <c r="H202" s="68">
        <v>0.6493275173640638</v>
      </c>
      <c r="I202" s="68">
        <v>0.73071425433679682</v>
      </c>
      <c r="J202" s="68">
        <f t="shared" si="58"/>
        <v>0.12534003995875831</v>
      </c>
      <c r="K202" s="45">
        <f t="shared" si="82"/>
        <v>8.1386736972733011</v>
      </c>
      <c r="L202" s="68">
        <f t="shared" si="60"/>
        <v>3.6207182606796451E-2</v>
      </c>
      <c r="M202" s="45">
        <f t="shared" si="83"/>
        <v>2.5532639499374232</v>
      </c>
      <c r="N202" s="68"/>
    </row>
    <row r="203" spans="2:14" x14ac:dyDescent="0.25">
      <c r="B203" s="272"/>
      <c r="C203" s="281"/>
      <c r="D203" s="19" t="s">
        <v>49</v>
      </c>
      <c r="E203" s="68">
        <v>0.52295410715246138</v>
      </c>
      <c r="F203" s="68">
        <v>0.5147906295498732</v>
      </c>
      <c r="G203" s="68">
        <v>0.42945341263098274</v>
      </c>
      <c r="H203" s="68">
        <v>0.57741590694750078</v>
      </c>
      <c r="I203" s="68">
        <v>0.61259601883208059</v>
      </c>
      <c r="J203" s="68">
        <f t="shared" si="58"/>
        <v>6.0926814556528042E-2</v>
      </c>
      <c r="K203" s="45">
        <f t="shared" si="82"/>
        <v>3.5180111884579812</v>
      </c>
      <c r="L203" s="68">
        <f t="shared" si="60"/>
        <v>0.17141449020780919</v>
      </c>
      <c r="M203" s="45">
        <f t="shared" si="83"/>
        <v>8.9641911679619213</v>
      </c>
      <c r="N203" s="68"/>
    </row>
    <row r="204" spans="2:14" x14ac:dyDescent="0.25">
      <c r="B204" s="272"/>
      <c r="C204" s="281"/>
      <c r="D204" s="19" t="s">
        <v>50</v>
      </c>
      <c r="E204" s="68">
        <v>0.70135878861553691</v>
      </c>
      <c r="F204" s="68">
        <v>0.60407891607923314</v>
      </c>
      <c r="G204" s="68">
        <v>0.70336128458075009</v>
      </c>
      <c r="H204" s="68">
        <v>0.8015089072176752</v>
      </c>
      <c r="I204" s="68">
        <v>0.82779844332469787</v>
      </c>
      <c r="J204" s="68">
        <f t="shared" si="58"/>
        <v>3.2800054834428494E-2</v>
      </c>
      <c r="K204" s="45">
        <f t="shared" si="82"/>
        <v>2.6289536107022671</v>
      </c>
      <c r="L204" s="68">
        <f t="shared" si="60"/>
        <v>0.18027813547292881</v>
      </c>
      <c r="M204" s="45">
        <f t="shared" si="83"/>
        <v>12.643965470916097</v>
      </c>
      <c r="N204" s="68"/>
    </row>
    <row r="205" spans="2:14" x14ac:dyDescent="0.25">
      <c r="B205" s="272"/>
      <c r="C205" s="281"/>
      <c r="D205" s="19" t="s">
        <v>51</v>
      </c>
      <c r="E205" s="68">
        <v>0.51296533102376651</v>
      </c>
      <c r="F205" s="68">
        <v>0.43917828766012645</v>
      </c>
      <c r="G205" s="68">
        <v>0.43287194104141685</v>
      </c>
      <c r="H205" s="68">
        <v>0.55540181632567553</v>
      </c>
      <c r="I205" s="68">
        <v>0.56942335787332776</v>
      </c>
      <c r="J205" s="68">
        <f t="shared" si="58"/>
        <v>2.5245761060727734E-2</v>
      </c>
      <c r="K205" s="45">
        <f t="shared" si="82"/>
        <v>1.4021541547652228</v>
      </c>
      <c r="L205" s="68">
        <f t="shared" si="60"/>
        <v>0.11006207132338441</v>
      </c>
      <c r="M205" s="45">
        <f t="shared" si="83"/>
        <v>5.6458026849561254</v>
      </c>
      <c r="N205" s="68"/>
    </row>
    <row r="206" spans="2:14" x14ac:dyDescent="0.25">
      <c r="B206" s="272"/>
      <c r="C206" s="281"/>
      <c r="D206" s="19" t="s">
        <v>52</v>
      </c>
      <c r="E206" s="68">
        <v>0.73831679821858165</v>
      </c>
      <c r="F206" s="68">
        <v>0.49125694136118242</v>
      </c>
      <c r="G206" s="68">
        <v>0.48201408869433904</v>
      </c>
      <c r="H206" s="68">
        <v>0.74892677369097149</v>
      </c>
      <c r="I206" s="68">
        <v>0.81331329152256404</v>
      </c>
      <c r="J206" s="68">
        <f t="shared" si="58"/>
        <v>8.5971713248110149E-2</v>
      </c>
      <c r="K206" s="45">
        <f t="shared" si="82"/>
        <v>6.4386517831592549</v>
      </c>
      <c r="L206" s="68">
        <f t="shared" si="60"/>
        <v>0.10157766081570219</v>
      </c>
      <c r="M206" s="45">
        <f t="shared" si="83"/>
        <v>7.4996493303982392</v>
      </c>
      <c r="N206" s="22"/>
    </row>
    <row r="207" spans="2:14" x14ac:dyDescent="0.25">
      <c r="B207" s="272"/>
      <c r="C207" s="282"/>
      <c r="D207" s="23" t="s">
        <v>53</v>
      </c>
      <c r="E207" s="68">
        <v>0.58427290328329673</v>
      </c>
      <c r="F207" s="68">
        <v>0.36139382757206262</v>
      </c>
      <c r="G207" s="68">
        <v>0.30640431884692987</v>
      </c>
      <c r="H207" s="68">
        <v>0.53127749995092155</v>
      </c>
      <c r="I207" s="68">
        <v>0.69652045193105105</v>
      </c>
      <c r="J207" s="68">
        <f t="shared" si="58"/>
        <v>0.31102945634888424</v>
      </c>
      <c r="K207" s="45">
        <f t="shared" si="82"/>
        <v>16.52429519801295</v>
      </c>
      <c r="L207" s="68">
        <f t="shared" si="60"/>
        <v>0.19211493125384393</v>
      </c>
      <c r="M207" s="45">
        <f t="shared" si="83"/>
        <v>11.224754864775432</v>
      </c>
      <c r="N207" s="46"/>
    </row>
    <row r="208" spans="2:14" x14ac:dyDescent="0.25">
      <c r="B208" s="272"/>
      <c r="C208" s="283" t="s">
        <v>57</v>
      </c>
      <c r="D208" s="63" t="s">
        <v>43</v>
      </c>
      <c r="E208" s="64">
        <v>132144</v>
      </c>
      <c r="F208" s="64">
        <v>66601</v>
      </c>
      <c r="G208" s="64">
        <v>82456</v>
      </c>
      <c r="H208" s="64">
        <v>123696</v>
      </c>
      <c r="I208" s="64">
        <v>125536</v>
      </c>
      <c r="J208" s="65">
        <f t="shared" si="58"/>
        <v>1.48751778553875E-2</v>
      </c>
      <c r="K208" s="64">
        <f t="shared" ref="K208:K209" si="84">I208-H208</f>
        <v>1840</v>
      </c>
      <c r="L208" s="65">
        <f t="shared" si="60"/>
        <v>-5.0006054001695111E-2</v>
      </c>
      <c r="M208" s="64">
        <f t="shared" ref="M208:M209" si="85">I208-E208</f>
        <v>-6608</v>
      </c>
      <c r="N208" s="65">
        <f t="shared" ref="N208:N218" si="86">I208/$I$208</f>
        <v>1</v>
      </c>
    </row>
    <row r="209" spans="2:14" x14ac:dyDescent="0.25">
      <c r="B209" s="272"/>
      <c r="C209" s="278"/>
      <c r="D209" s="26" t="s">
        <v>44</v>
      </c>
      <c r="E209" s="27">
        <v>46648</v>
      </c>
      <c r="F209" s="27">
        <v>23742</v>
      </c>
      <c r="G209" s="27">
        <v>29697</v>
      </c>
      <c r="H209" s="27">
        <v>44233</v>
      </c>
      <c r="I209" s="27">
        <v>45902</v>
      </c>
      <c r="J209" s="36">
        <f t="shared" si="58"/>
        <v>3.7732010037754726E-2</v>
      </c>
      <c r="K209" s="27">
        <f t="shared" si="84"/>
        <v>1669</v>
      </c>
      <c r="L209" s="36">
        <f t="shared" si="60"/>
        <v>-1.5992111130166298E-2</v>
      </c>
      <c r="M209" s="27">
        <f t="shared" si="85"/>
        <v>-746</v>
      </c>
      <c r="N209" s="38">
        <f t="shared" si="86"/>
        <v>0.36564810094315575</v>
      </c>
    </row>
    <row r="210" spans="2:14" x14ac:dyDescent="0.25">
      <c r="B210" s="272"/>
      <c r="C210" s="278"/>
      <c r="D210" s="4" t="s">
        <v>45</v>
      </c>
      <c r="E210" s="29">
        <v>41159</v>
      </c>
      <c r="F210" s="29">
        <v>20336</v>
      </c>
      <c r="G210" s="29">
        <v>24064</v>
      </c>
      <c r="H210" s="29">
        <v>38225</v>
      </c>
      <c r="I210" s="29">
        <v>37475</v>
      </c>
      <c r="J210" s="74">
        <f t="shared" si="58"/>
        <v>-1.962066710268151E-2</v>
      </c>
      <c r="K210" s="29">
        <f>I210-H210</f>
        <v>-750</v>
      </c>
      <c r="L210" s="74">
        <f t="shared" si="60"/>
        <v>-8.950654777812872E-2</v>
      </c>
      <c r="M210" s="29">
        <f>I210-E210</f>
        <v>-3684</v>
      </c>
      <c r="N210" s="75">
        <f t="shared" si="86"/>
        <v>0.29851994646953861</v>
      </c>
    </row>
    <row r="211" spans="2:14" x14ac:dyDescent="0.25">
      <c r="B211" s="272"/>
      <c r="C211" s="278"/>
      <c r="D211" s="4" t="s">
        <v>46</v>
      </c>
      <c r="E211" s="29">
        <v>1127</v>
      </c>
      <c r="F211" s="29">
        <v>437</v>
      </c>
      <c r="G211" s="29">
        <v>669</v>
      </c>
      <c r="H211" s="29">
        <v>857</v>
      </c>
      <c r="I211" s="29">
        <v>900</v>
      </c>
      <c r="J211" s="74">
        <f t="shared" si="58"/>
        <v>5.0175029171528607E-2</v>
      </c>
      <c r="K211" s="29">
        <f t="shared" ref="K211:K218" si="87">I211-H211</f>
        <v>43</v>
      </c>
      <c r="L211" s="74">
        <f t="shared" si="60"/>
        <v>-0.20141969831410822</v>
      </c>
      <c r="M211" s="29">
        <f t="shared" ref="M211:M218" si="88">I211-E211</f>
        <v>-227</v>
      </c>
      <c r="N211" s="75">
        <f t="shared" si="86"/>
        <v>7.1692582207494261E-3</v>
      </c>
    </row>
    <row r="212" spans="2:14" x14ac:dyDescent="0.25">
      <c r="B212" s="272"/>
      <c r="C212" s="278"/>
      <c r="D212" s="4" t="s">
        <v>47</v>
      </c>
      <c r="E212" s="29">
        <v>4070</v>
      </c>
      <c r="F212" s="29">
        <v>2900</v>
      </c>
      <c r="G212" s="29">
        <v>4012</v>
      </c>
      <c r="H212" s="29">
        <v>4562</v>
      </c>
      <c r="I212" s="29">
        <v>4395</v>
      </c>
      <c r="J212" s="74">
        <f t="shared" si="58"/>
        <v>-3.6606751424813733E-2</v>
      </c>
      <c r="K212" s="29">
        <f t="shared" si="87"/>
        <v>-167</v>
      </c>
      <c r="L212" s="74">
        <f t="shared" si="60"/>
        <v>7.9852579852579764E-2</v>
      </c>
      <c r="M212" s="29">
        <f t="shared" si="88"/>
        <v>325</v>
      </c>
      <c r="N212" s="75">
        <f t="shared" si="86"/>
        <v>3.5009877644659702E-2</v>
      </c>
    </row>
    <row r="213" spans="2:14" x14ac:dyDescent="0.25">
      <c r="B213" s="272"/>
      <c r="C213" s="278"/>
      <c r="D213" s="4" t="s">
        <v>48</v>
      </c>
      <c r="E213" s="29">
        <v>21340</v>
      </c>
      <c r="F213" s="29">
        <v>9244</v>
      </c>
      <c r="G213" s="29">
        <v>11050</v>
      </c>
      <c r="H213" s="29">
        <v>18364</v>
      </c>
      <c r="I213" s="29">
        <v>19209</v>
      </c>
      <c r="J213" s="74">
        <f t="shared" si="58"/>
        <v>4.6013940318013535E-2</v>
      </c>
      <c r="K213" s="29">
        <f t="shared" si="87"/>
        <v>845</v>
      </c>
      <c r="L213" s="74">
        <f t="shared" si="60"/>
        <v>-9.9859418931583899E-2</v>
      </c>
      <c r="M213" s="29">
        <f t="shared" si="88"/>
        <v>-2131</v>
      </c>
      <c r="N213" s="75">
        <f t="shared" si="86"/>
        <v>0.15301586795819525</v>
      </c>
    </row>
    <row r="214" spans="2:14" x14ac:dyDescent="0.25">
      <c r="B214" s="272"/>
      <c r="C214" s="278"/>
      <c r="D214" s="4" t="s">
        <v>49</v>
      </c>
      <c r="E214" s="29">
        <v>713</v>
      </c>
      <c r="F214" s="29">
        <v>339</v>
      </c>
      <c r="G214" s="29">
        <v>532</v>
      </c>
      <c r="H214" s="29">
        <v>654</v>
      </c>
      <c r="I214" s="29">
        <v>663</v>
      </c>
      <c r="J214" s="74">
        <f t="shared" si="58"/>
        <v>1.3761467889908285E-2</v>
      </c>
      <c r="K214" s="29">
        <f t="shared" si="87"/>
        <v>9</v>
      </c>
      <c r="L214" s="74">
        <f t="shared" si="60"/>
        <v>-7.0126227208976211E-2</v>
      </c>
      <c r="M214" s="29">
        <f t="shared" si="88"/>
        <v>-50</v>
      </c>
      <c r="N214" s="75">
        <f t="shared" si="86"/>
        <v>5.2813535559520777E-3</v>
      </c>
    </row>
    <row r="215" spans="2:14" x14ac:dyDescent="0.25">
      <c r="B215" s="272"/>
      <c r="C215" s="278"/>
      <c r="D215" s="4" t="s">
        <v>50</v>
      </c>
      <c r="E215" s="29">
        <v>4124</v>
      </c>
      <c r="F215" s="29">
        <v>2132</v>
      </c>
      <c r="G215" s="29">
        <v>2908</v>
      </c>
      <c r="H215" s="29">
        <v>4497</v>
      </c>
      <c r="I215" s="29">
        <v>4790</v>
      </c>
      <c r="J215" s="74">
        <f t="shared" si="58"/>
        <v>6.5154547476095281E-2</v>
      </c>
      <c r="K215" s="29">
        <f t="shared" si="87"/>
        <v>293</v>
      </c>
      <c r="L215" s="74">
        <f t="shared" si="60"/>
        <v>0.16149369544131909</v>
      </c>
      <c r="M215" s="29">
        <f t="shared" si="88"/>
        <v>666</v>
      </c>
      <c r="N215" s="75">
        <f t="shared" si="86"/>
        <v>3.8156385419321946E-2</v>
      </c>
    </row>
    <row r="216" spans="2:14" x14ac:dyDescent="0.25">
      <c r="B216" s="272"/>
      <c r="C216" s="278"/>
      <c r="D216" s="4" t="s">
        <v>51</v>
      </c>
      <c r="E216" s="29">
        <v>2690</v>
      </c>
      <c r="F216" s="29">
        <v>1526</v>
      </c>
      <c r="G216" s="29">
        <v>2270</v>
      </c>
      <c r="H216" s="29">
        <v>2680</v>
      </c>
      <c r="I216" s="29">
        <v>2774</v>
      </c>
      <c r="J216" s="74">
        <f t="shared" si="58"/>
        <v>3.5074626865671643E-2</v>
      </c>
      <c r="K216" s="29">
        <f t="shared" si="87"/>
        <v>94</v>
      </c>
      <c r="L216" s="74">
        <f t="shared" si="60"/>
        <v>3.1226765799256428E-2</v>
      </c>
      <c r="M216" s="29">
        <f t="shared" si="88"/>
        <v>84</v>
      </c>
      <c r="N216" s="75">
        <f t="shared" si="86"/>
        <v>2.2097247004843234E-2</v>
      </c>
    </row>
    <row r="217" spans="2:14" x14ac:dyDescent="0.25">
      <c r="B217" s="272"/>
      <c r="C217" s="278"/>
      <c r="D217" s="4" t="s">
        <v>52</v>
      </c>
      <c r="E217" s="29">
        <v>6890</v>
      </c>
      <c r="F217" s="29">
        <v>3786</v>
      </c>
      <c r="G217" s="29">
        <v>4393</v>
      </c>
      <c r="H217" s="29">
        <v>6413</v>
      </c>
      <c r="I217" s="29">
        <v>6356</v>
      </c>
      <c r="J217" s="40">
        <f t="shared" si="58"/>
        <v>-8.8881958521752624E-3</v>
      </c>
      <c r="K217" s="29">
        <f t="shared" si="87"/>
        <v>-57</v>
      </c>
      <c r="L217" s="40">
        <f t="shared" si="60"/>
        <v>-7.7503628447024631E-2</v>
      </c>
      <c r="M217" s="29">
        <f t="shared" si="88"/>
        <v>-534</v>
      </c>
      <c r="N217" s="42">
        <f t="shared" si="86"/>
        <v>5.0630894723425947E-2</v>
      </c>
    </row>
    <row r="218" spans="2:14" x14ac:dyDescent="0.25">
      <c r="B218" s="273"/>
      <c r="C218" s="279"/>
      <c r="D218" s="32" t="s">
        <v>53</v>
      </c>
      <c r="E218" s="71">
        <v>3382</v>
      </c>
      <c r="F218" s="71">
        <v>2158</v>
      </c>
      <c r="G218" s="71">
        <v>2862</v>
      </c>
      <c r="H218" s="71">
        <v>3212</v>
      </c>
      <c r="I218" s="71">
        <v>3072</v>
      </c>
      <c r="J218" s="61">
        <f t="shared" si="58"/>
        <v>-4.3586550435865457E-2</v>
      </c>
      <c r="K218" s="71">
        <f t="shared" si="87"/>
        <v>-140</v>
      </c>
      <c r="L218" s="61">
        <f t="shared" si="60"/>
        <v>-9.1661738616203414E-2</v>
      </c>
      <c r="M218" s="71">
        <f t="shared" si="88"/>
        <v>-310</v>
      </c>
      <c r="N218" s="55">
        <f t="shared" si="86"/>
        <v>2.4471068060158044E-2</v>
      </c>
    </row>
    <row r="219" spans="2:14" x14ac:dyDescent="0.25">
      <c r="B219" s="267"/>
      <c r="C219" s="267"/>
      <c r="D219" s="267"/>
      <c r="E219" s="267"/>
      <c r="F219" s="267"/>
      <c r="G219" s="267"/>
      <c r="H219" s="267"/>
      <c r="I219" s="267"/>
      <c r="J219" s="267"/>
      <c r="K219" s="267"/>
      <c r="L219" s="267"/>
      <c r="M219" s="267"/>
      <c r="N219" s="47"/>
    </row>
    <row r="220" spans="2:14" x14ac:dyDescent="0.25">
      <c r="B220" s="269" t="s">
        <v>55</v>
      </c>
      <c r="C220" s="269"/>
      <c r="D220" s="269"/>
      <c r="E220" s="269"/>
      <c r="F220" s="269"/>
      <c r="G220" s="269"/>
      <c r="H220" s="269"/>
      <c r="I220" s="269"/>
      <c r="J220" s="269"/>
      <c r="K220" s="269"/>
      <c r="L220" s="269"/>
      <c r="M220" s="269"/>
    </row>
  </sheetData>
  <mergeCells count="30">
    <mergeCell ref="D1:N2"/>
    <mergeCell ref="B7:B72"/>
    <mergeCell ref="C7:C17"/>
    <mergeCell ref="C18:C28"/>
    <mergeCell ref="C29:C39"/>
    <mergeCell ref="C40:C50"/>
    <mergeCell ref="C51:C61"/>
    <mergeCell ref="C62:C72"/>
    <mergeCell ref="B73:M73"/>
    <mergeCell ref="B74:M74"/>
    <mergeCell ref="B77:M77"/>
    <mergeCell ref="B80:B145"/>
    <mergeCell ref="C80:C90"/>
    <mergeCell ref="C91:C101"/>
    <mergeCell ref="C102:C112"/>
    <mergeCell ref="C113:C123"/>
    <mergeCell ref="C124:C134"/>
    <mergeCell ref="C135:C145"/>
    <mergeCell ref="B219:M219"/>
    <mergeCell ref="B220:M220"/>
    <mergeCell ref="B146:M146"/>
    <mergeCell ref="B147:M147"/>
    <mergeCell ref="B150:M150"/>
    <mergeCell ref="B153:B218"/>
    <mergeCell ref="C153:C163"/>
    <mergeCell ref="C164:C174"/>
    <mergeCell ref="C175:C185"/>
    <mergeCell ref="C186:C196"/>
    <mergeCell ref="C197:C207"/>
    <mergeCell ref="C208:C218"/>
  </mergeCells>
  <pageMargins left="0.7" right="0.7" top="0.75" bottom="0.75" header="0.3" footer="0.3"/>
  <pageSetup paperSize="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AD7FDE-313B-49C4-8F30-09EBC09E44CF}">
  <sheetPr>
    <tabColor theme="4" tint="0.79998168889431442"/>
  </sheetPr>
  <dimension ref="A1:P290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  <col min="15" max="15" width="11.140625" customWidth="1"/>
  </cols>
  <sheetData>
    <row r="1" spans="1:16" x14ac:dyDescent="0.25">
      <c r="D1" t="s">
        <v>229</v>
      </c>
      <c r="E1" t="s">
        <v>229</v>
      </c>
      <c r="G1" t="s">
        <v>229</v>
      </c>
    </row>
    <row r="4" spans="1:16" ht="48.75" customHeight="1" thickBot="1" x14ac:dyDescent="0.3">
      <c r="B4" s="270" t="s">
        <v>293</v>
      </c>
      <c r="C4" s="270"/>
      <c r="D4" s="270"/>
      <c r="E4" s="270"/>
      <c r="F4" s="270"/>
      <c r="G4" s="270"/>
      <c r="H4" s="270"/>
      <c r="I4" s="270"/>
      <c r="J4" s="270"/>
      <c r="K4" s="270"/>
      <c r="L4" s="270"/>
      <c r="M4" s="270"/>
      <c r="N4" s="270"/>
      <c r="O4" s="270"/>
      <c r="P4" s="1" t="s">
        <v>66</v>
      </c>
    </row>
    <row r="5" spans="1:16" ht="10.5" customHeight="1" thickBot="1" x14ac:dyDescent="0.3">
      <c r="B5" s="106"/>
      <c r="C5" s="107"/>
      <c r="D5" s="106"/>
      <c r="E5" s="106"/>
      <c r="F5" s="106"/>
      <c r="G5" s="106"/>
      <c r="H5" s="106"/>
      <c r="I5" s="106"/>
      <c r="J5" s="106"/>
      <c r="K5" s="106"/>
      <c r="L5" s="106"/>
      <c r="M5" s="4"/>
      <c r="N5" s="4"/>
      <c r="P5" s="1" t="s">
        <v>67</v>
      </c>
    </row>
    <row r="6" spans="1:16" ht="22.5" thickTop="1" thickBot="1" x14ac:dyDescent="0.3">
      <c r="B6" s="108" t="s">
        <v>30</v>
      </c>
      <c r="C6" s="292" t="s">
        <v>68</v>
      </c>
      <c r="D6" s="293"/>
      <c r="E6" s="293"/>
      <c r="F6" s="293"/>
      <c r="G6" s="293"/>
      <c r="H6" s="293"/>
      <c r="I6" s="293"/>
      <c r="J6" s="293"/>
      <c r="K6" s="293"/>
      <c r="L6" s="293"/>
      <c r="M6" s="293"/>
      <c r="N6" s="293"/>
      <c r="O6" s="294"/>
    </row>
    <row r="7" spans="1:16" ht="22.5" thickTop="1" thickBot="1" x14ac:dyDescent="0.3">
      <c r="B7" s="109"/>
      <c r="C7" s="295">
        <f>2019</f>
        <v>2019</v>
      </c>
      <c r="D7" s="296"/>
      <c r="E7" s="297">
        <v>2020</v>
      </c>
      <c r="F7" s="296"/>
      <c r="G7" s="297">
        <v>2021</v>
      </c>
      <c r="H7" s="296"/>
      <c r="I7" s="297">
        <v>2022</v>
      </c>
      <c r="J7" s="296"/>
      <c r="K7" s="297">
        <v>2023</v>
      </c>
      <c r="L7" s="296"/>
      <c r="M7" s="297">
        <v>2024</v>
      </c>
      <c r="N7" s="298"/>
      <c r="O7" s="299"/>
    </row>
    <row r="8" spans="1:16" ht="16.5" thickTop="1" thickBot="1" x14ac:dyDescent="0.3">
      <c r="B8" s="85"/>
      <c r="C8" s="111" t="s">
        <v>69</v>
      </c>
      <c r="D8" s="112" t="str">
        <f>CONCATENATE("dif ",RIGHT(2019,2),"/",RIGHT(2018,2))</f>
        <v>dif 19/18</v>
      </c>
      <c r="E8" s="113" t="s">
        <v>69</v>
      </c>
      <c r="F8" s="112" t="str">
        <f>CONCATENATE("dif ",RIGHT(E7,2),"/",RIGHT(C7,2))</f>
        <v>dif 20/19</v>
      </c>
      <c r="G8" s="113" t="s">
        <v>69</v>
      </c>
      <c r="H8" s="112" t="str">
        <f>CONCATENATE("dif ",RIGHT(G7,2),"/",RIGHT(E7,2))</f>
        <v>dif 21/20</v>
      </c>
      <c r="I8" s="113" t="s">
        <v>69</v>
      </c>
      <c r="J8" s="112" t="str">
        <f>CONCATENATE("dif ",RIGHT(I7,2),"/",RIGHT(G7,2))</f>
        <v>dif 22/21</v>
      </c>
      <c r="K8" s="113" t="s">
        <v>69</v>
      </c>
      <c r="L8" s="112" t="str">
        <f>CONCATENATE("dif ",RIGHT(K7,2),"/",RIGHT(I7,2))</f>
        <v>dif 23/22</v>
      </c>
      <c r="M8" s="113" t="s">
        <v>69</v>
      </c>
      <c r="N8" s="112" t="s">
        <v>323</v>
      </c>
      <c r="O8" s="112" t="s">
        <v>324</v>
      </c>
    </row>
    <row r="9" spans="1:16" x14ac:dyDescent="0.25">
      <c r="A9" s="1" t="s">
        <v>70</v>
      </c>
      <c r="B9" s="114" t="s">
        <v>71</v>
      </c>
      <c r="C9" s="184">
        <v>2.635496183206107</v>
      </c>
      <c r="D9" s="185">
        <v>-0.16128533113265942</v>
      </c>
      <c r="E9" s="184">
        <v>2.6174716182412929</v>
      </c>
      <c r="F9" s="185">
        <f t="shared" ref="F9:J21" si="0">IFERROR(E9-C9,"-")</f>
        <v>-1.8024564964814083E-2</v>
      </c>
      <c r="G9" s="184">
        <v>2.4109947643979059</v>
      </c>
      <c r="H9" s="185">
        <f t="shared" si="0"/>
        <v>-0.20647685384338699</v>
      </c>
      <c r="I9" s="184">
        <v>3.2322086759285513</v>
      </c>
      <c r="J9" s="185">
        <f t="shared" si="0"/>
        <v>0.82121391153064538</v>
      </c>
      <c r="K9" s="184">
        <v>2.6628942486085343</v>
      </c>
      <c r="L9" s="185">
        <f t="shared" ref="L9:L21" si="1">IFERROR(K9-I9,"-")</f>
        <v>-0.56931442732001702</v>
      </c>
      <c r="M9" s="184">
        <v>2.7949012842629863</v>
      </c>
      <c r="N9" s="185">
        <v>0.13200703565445204</v>
      </c>
      <c r="O9" s="185">
        <v>0.15940510105687933</v>
      </c>
    </row>
    <row r="10" spans="1:16" x14ac:dyDescent="0.25">
      <c r="A10" s="1" t="s">
        <v>72</v>
      </c>
      <c r="B10" s="114" t="s">
        <v>73</v>
      </c>
      <c r="C10" s="184">
        <v>2.7260385005065855</v>
      </c>
      <c r="D10" s="185">
        <v>1.3098287566372324E-2</v>
      </c>
      <c r="E10" s="184">
        <v>2.6762455682030231</v>
      </c>
      <c r="F10" s="185">
        <f t="shared" si="0"/>
        <v>-4.9792932303562409E-2</v>
      </c>
      <c r="G10" s="184">
        <v>2.2361010830324908</v>
      </c>
      <c r="H10" s="185">
        <f t="shared" si="0"/>
        <v>-0.44014448517053228</v>
      </c>
      <c r="I10" s="184">
        <v>2.7251615992338998</v>
      </c>
      <c r="J10" s="185">
        <f t="shared" si="0"/>
        <v>0.489060516201409</v>
      </c>
      <c r="K10" s="184">
        <v>2.7041745730550284</v>
      </c>
      <c r="L10" s="185">
        <f t="shared" si="1"/>
        <v>-2.0987026178871382E-2</v>
      </c>
      <c r="M10" s="184">
        <v>3.1517801374141161</v>
      </c>
      <c r="N10" s="185">
        <v>0.44760556435908772</v>
      </c>
      <c r="O10" s="185">
        <v>0.42574163690753064</v>
      </c>
    </row>
    <row r="11" spans="1:16" x14ac:dyDescent="0.25">
      <c r="A11" s="1" t="s">
        <v>74</v>
      </c>
      <c r="B11" s="114" t="s">
        <v>75</v>
      </c>
      <c r="C11" s="184">
        <v>2.7059052059052058</v>
      </c>
      <c r="D11" s="185">
        <v>-0.15258354625783976</v>
      </c>
      <c r="E11" s="184">
        <v>2.599636032757052</v>
      </c>
      <c r="F11" s="185">
        <f t="shared" si="0"/>
        <v>-0.10626917314815376</v>
      </c>
      <c r="G11" s="184">
        <v>2.167395104895105</v>
      </c>
      <c r="H11" s="185">
        <f t="shared" si="0"/>
        <v>-0.43224092786194701</v>
      </c>
      <c r="I11" s="184">
        <v>2.6814345991561179</v>
      </c>
      <c r="J11" s="185">
        <f t="shared" si="0"/>
        <v>0.51403949426101292</v>
      </c>
      <c r="K11" s="184">
        <v>2.7572009188902631</v>
      </c>
      <c r="L11" s="185">
        <f t="shared" si="1"/>
        <v>7.576631973414516E-2</v>
      </c>
      <c r="M11" s="184">
        <v>2.9589783281733748</v>
      </c>
      <c r="N11" s="185">
        <v>0.20177740928311172</v>
      </c>
      <c r="O11" s="185">
        <v>0.25307312226816903</v>
      </c>
    </row>
    <row r="12" spans="1:16" x14ac:dyDescent="0.25">
      <c r="A12" s="1" t="s">
        <v>76</v>
      </c>
      <c r="B12" s="114" t="s">
        <v>77</v>
      </c>
      <c r="C12" s="184">
        <v>2.924415832141154</v>
      </c>
      <c r="D12" s="185">
        <v>0.50867141785842263</v>
      </c>
      <c r="E12" s="184" t="s">
        <v>229</v>
      </c>
      <c r="F12" s="185" t="str">
        <f t="shared" si="0"/>
        <v>-</v>
      </c>
      <c r="G12" s="184">
        <v>2.2338797814207649</v>
      </c>
      <c r="H12" s="185" t="str">
        <f t="shared" si="0"/>
        <v>-</v>
      </c>
      <c r="I12" s="184">
        <v>2.9921472392638035</v>
      </c>
      <c r="J12" s="185">
        <f t="shared" si="0"/>
        <v>0.75826745784303862</v>
      </c>
      <c r="K12" s="184">
        <v>2.4570599613152804</v>
      </c>
      <c r="L12" s="185">
        <f t="shared" si="1"/>
        <v>-0.53508727794852318</v>
      </c>
      <c r="M12" s="184">
        <v>2.6590819153146024</v>
      </c>
      <c r="N12" s="185">
        <v>0.20202195399932199</v>
      </c>
      <c r="O12" s="185">
        <v>-0.26533391682655161</v>
      </c>
    </row>
    <row r="13" spans="1:16" x14ac:dyDescent="0.25">
      <c r="A13" s="1" t="s">
        <v>78</v>
      </c>
      <c r="B13" s="114" t="s">
        <v>79</v>
      </c>
      <c r="C13" s="184">
        <v>2.7901599015990159</v>
      </c>
      <c r="D13" s="185">
        <v>0.27636932312696327</v>
      </c>
      <c r="E13" s="184" t="s">
        <v>229</v>
      </c>
      <c r="F13" s="185" t="str">
        <f t="shared" si="0"/>
        <v>-</v>
      </c>
      <c r="G13" s="184">
        <v>2.1226024821361413</v>
      </c>
      <c r="H13" s="185" t="str">
        <f t="shared" si="0"/>
        <v>-</v>
      </c>
      <c r="I13" s="184">
        <v>2.77670704845815</v>
      </c>
      <c r="J13" s="185">
        <f t="shared" si="0"/>
        <v>0.65410456632200864</v>
      </c>
      <c r="K13" s="184">
        <v>2.5519648912826649</v>
      </c>
      <c r="L13" s="185">
        <f t="shared" si="1"/>
        <v>-0.22474215717548507</v>
      </c>
      <c r="M13" s="184">
        <v>2.5066105769230771</v>
      </c>
      <c r="N13" s="185">
        <v>-4.5354314359587811E-2</v>
      </c>
      <c r="O13" s="185">
        <v>-0.28354932467593885</v>
      </c>
    </row>
    <row r="14" spans="1:16" x14ac:dyDescent="0.25">
      <c r="A14" s="1" t="s">
        <v>80</v>
      </c>
      <c r="B14" s="114" t="s">
        <v>81</v>
      </c>
      <c r="C14" s="184">
        <v>2.1747448979591835</v>
      </c>
      <c r="D14" s="185">
        <v>-6.6557840752881514E-2</v>
      </c>
      <c r="E14" s="184" t="s">
        <v>229</v>
      </c>
      <c r="F14" s="185" t="str">
        <f t="shared" si="0"/>
        <v>-</v>
      </c>
      <c r="G14" s="184">
        <v>2.2000801924619084</v>
      </c>
      <c r="H14" s="185" t="str">
        <f t="shared" si="0"/>
        <v>-</v>
      </c>
      <c r="I14" s="184">
        <v>2.4949115044247789</v>
      </c>
      <c r="J14" s="185">
        <f t="shared" si="0"/>
        <v>0.29483131196287049</v>
      </c>
      <c r="K14" s="184">
        <v>2.4809854101889499</v>
      </c>
      <c r="L14" s="185">
        <f t="shared" si="1"/>
        <v>-1.3926094235829023E-2</v>
      </c>
      <c r="M14" s="184">
        <v>2.5517154389505552</v>
      </c>
      <c r="N14" s="185">
        <v>7.0730028761605279E-2</v>
      </c>
      <c r="O14" s="185">
        <v>0.37697054099137173</v>
      </c>
    </row>
    <row r="15" spans="1:16" x14ac:dyDescent="0.25">
      <c r="A15" s="1" t="s">
        <v>82</v>
      </c>
      <c r="B15" s="114" t="s">
        <v>83</v>
      </c>
      <c r="C15" s="184">
        <v>2.0936858901299291</v>
      </c>
      <c r="D15" s="185">
        <v>-9.2713916959533016E-2</v>
      </c>
      <c r="E15" s="184" t="s">
        <v>229</v>
      </c>
      <c r="F15" s="185" t="str">
        <f t="shared" si="0"/>
        <v>-</v>
      </c>
      <c r="G15" s="184">
        <v>2.3360790774299836</v>
      </c>
      <c r="H15" s="185" t="str">
        <f t="shared" si="0"/>
        <v>-</v>
      </c>
      <c r="I15" s="184">
        <v>2.5052631578947366</v>
      </c>
      <c r="J15" s="185">
        <f t="shared" si="0"/>
        <v>0.16918408046475308</v>
      </c>
      <c r="K15" s="184">
        <v>2.2105990783410139</v>
      </c>
      <c r="L15" s="185">
        <f t="shared" si="1"/>
        <v>-0.29466407955372276</v>
      </c>
      <c r="M15" s="184">
        <v>2.2077073807968648</v>
      </c>
      <c r="N15" s="185">
        <v>-2.8916975441490855E-3</v>
      </c>
      <c r="O15" s="185">
        <v>0.11402149066693568</v>
      </c>
    </row>
    <row r="16" spans="1:16" x14ac:dyDescent="0.25">
      <c r="A16" s="1" t="s">
        <v>84</v>
      </c>
      <c r="B16" s="114" t="s">
        <v>85</v>
      </c>
      <c r="C16" s="184">
        <v>2.1728628936774803</v>
      </c>
      <c r="D16" s="185">
        <v>-0.50416295587233106</v>
      </c>
      <c r="E16" s="184">
        <v>2.499459848757652</v>
      </c>
      <c r="F16" s="185">
        <f t="shared" si="0"/>
        <v>0.32659695508017172</v>
      </c>
      <c r="G16" s="184">
        <v>2.9317173096620008</v>
      </c>
      <c r="H16" s="185">
        <f t="shared" si="0"/>
        <v>0.4322574609043488</v>
      </c>
      <c r="I16" s="184">
        <v>2.6119023397761953</v>
      </c>
      <c r="J16" s="185">
        <f t="shared" si="0"/>
        <v>-0.31981496988580549</v>
      </c>
      <c r="K16" s="184">
        <v>2.5556512378902045</v>
      </c>
      <c r="L16" s="185">
        <f t="shared" si="1"/>
        <v>-5.6251101885990806E-2</v>
      </c>
      <c r="M16" s="184">
        <v>3.1938599517074855</v>
      </c>
      <c r="N16" s="185">
        <v>0.63820871381728095</v>
      </c>
      <c r="O16" s="185">
        <v>1.0209970580300052</v>
      </c>
    </row>
    <row r="17" spans="1:16" x14ac:dyDescent="0.25">
      <c r="A17" s="1" t="s">
        <v>86</v>
      </c>
      <c r="B17" s="114" t="s">
        <v>87</v>
      </c>
      <c r="C17" s="184">
        <v>2.0868318122555412</v>
      </c>
      <c r="D17" s="185">
        <v>-1.2575286162258705</v>
      </c>
      <c r="E17" s="184">
        <v>2.135487528344671</v>
      </c>
      <c r="F17" s="185">
        <f t="shared" si="0"/>
        <v>4.8655716089129886E-2</v>
      </c>
      <c r="G17" s="184">
        <v>2.452733776188043</v>
      </c>
      <c r="H17" s="185">
        <f t="shared" si="0"/>
        <v>0.31724624784337196</v>
      </c>
      <c r="I17" s="184">
        <v>2.3955875928352994</v>
      </c>
      <c r="J17" s="185">
        <f t="shared" si="0"/>
        <v>-5.7146183352743574E-2</v>
      </c>
      <c r="K17" s="184">
        <v>2.3459411634594116</v>
      </c>
      <c r="L17" s="185">
        <f t="shared" si="1"/>
        <v>-4.9646429375887813E-2</v>
      </c>
      <c r="M17" s="184">
        <v>2.2301946137212503</v>
      </c>
      <c r="N17" s="185">
        <v>-0.11574654973816134</v>
      </c>
      <c r="O17" s="185">
        <v>0.14336280146570912</v>
      </c>
    </row>
    <row r="18" spans="1:16" x14ac:dyDescent="0.25">
      <c r="A18" s="1" t="s">
        <v>88</v>
      </c>
      <c r="B18" s="114" t="s">
        <v>89</v>
      </c>
      <c r="C18" s="184">
        <v>2.2741073337609579</v>
      </c>
      <c r="D18" s="185">
        <v>-1.0836583409016054E-2</v>
      </c>
      <c r="E18" s="184">
        <v>2.0425170068027212</v>
      </c>
      <c r="F18" s="185">
        <f t="shared" si="0"/>
        <v>-0.23159032695823667</v>
      </c>
      <c r="G18" s="184">
        <v>2.9937869822485208</v>
      </c>
      <c r="H18" s="185">
        <f t="shared" si="0"/>
        <v>0.95126997544579961</v>
      </c>
      <c r="I18" s="184">
        <v>2.8807453416149067</v>
      </c>
      <c r="J18" s="185">
        <f t="shared" si="0"/>
        <v>-0.1130416406336141</v>
      </c>
      <c r="K18" s="184">
        <v>2.5134645847476804</v>
      </c>
      <c r="L18" s="185">
        <f t="shared" si="1"/>
        <v>-0.36728075686722628</v>
      </c>
      <c r="M18" s="184"/>
      <c r="N18" s="185" t="s">
        <v>229</v>
      </c>
      <c r="O18" s="185" t="s">
        <v>229</v>
      </c>
    </row>
    <row r="19" spans="1:16" x14ac:dyDescent="0.25">
      <c r="A19" s="1" t="s">
        <v>90</v>
      </c>
      <c r="B19" s="114" t="s">
        <v>91</v>
      </c>
      <c r="C19" s="184">
        <v>2.3524916943521594</v>
      </c>
      <c r="D19" s="185">
        <v>-0.26352781418282456</v>
      </c>
      <c r="E19" s="184">
        <v>2.0164492342597846</v>
      </c>
      <c r="F19" s="185">
        <f t="shared" si="0"/>
        <v>-0.33604246009237482</v>
      </c>
      <c r="G19" s="184">
        <v>2.7396582733812949</v>
      </c>
      <c r="H19" s="185">
        <f t="shared" si="0"/>
        <v>0.72320903912151024</v>
      </c>
      <c r="I19" s="184">
        <v>2.6980157089706491</v>
      </c>
      <c r="J19" s="185">
        <f t="shared" si="0"/>
        <v>-4.1642564410645733E-2</v>
      </c>
      <c r="K19" s="184">
        <v>2.6623690572119258</v>
      </c>
      <c r="L19" s="185">
        <f t="shared" si="1"/>
        <v>-3.564665175872328E-2</v>
      </c>
      <c r="M19" s="184"/>
      <c r="N19" s="185" t="s">
        <v>229</v>
      </c>
      <c r="O19" s="185" t="s">
        <v>229</v>
      </c>
    </row>
    <row r="20" spans="1:16" x14ac:dyDescent="0.25">
      <c r="A20" s="1" t="s">
        <v>92</v>
      </c>
      <c r="B20" s="114" t="s">
        <v>93</v>
      </c>
      <c r="C20" s="184">
        <v>2.2576729668805271</v>
      </c>
      <c r="D20" s="185">
        <v>-0.14240132732452482</v>
      </c>
      <c r="E20" s="184">
        <v>2.2569676700111483</v>
      </c>
      <c r="F20" s="185">
        <f t="shared" si="0"/>
        <v>-7.0529686937881308E-4</v>
      </c>
      <c r="G20" s="184">
        <v>2.4653312788906008</v>
      </c>
      <c r="H20" s="185">
        <f t="shared" si="0"/>
        <v>0.20836360887945249</v>
      </c>
      <c r="I20" s="184">
        <v>2.3449477351916377</v>
      </c>
      <c r="J20" s="185">
        <f t="shared" si="0"/>
        <v>-0.12038354369896309</v>
      </c>
      <c r="K20" s="184">
        <v>2.587568157033806</v>
      </c>
      <c r="L20" s="185">
        <f t="shared" si="1"/>
        <v>0.24262042184216837</v>
      </c>
      <c r="M20" s="184"/>
      <c r="N20" s="185" t="s">
        <v>229</v>
      </c>
      <c r="O20" s="185" t="s">
        <v>229</v>
      </c>
    </row>
    <row r="21" spans="1:16" ht="15.75" x14ac:dyDescent="0.25">
      <c r="A21" s="1" t="s">
        <v>0</v>
      </c>
      <c r="B21" s="117" t="s">
        <v>30</v>
      </c>
      <c r="C21" s="186">
        <v>2.4357363966575409</v>
      </c>
      <c r="D21" s="187">
        <v>-0.13872735320353424</v>
      </c>
      <c r="E21" s="186">
        <v>2.437843193922629</v>
      </c>
      <c r="F21" s="187">
        <f t="shared" si="0"/>
        <v>2.1067972650881117E-3</v>
      </c>
      <c r="G21" s="186">
        <v>2.4937806482478173</v>
      </c>
      <c r="H21" s="187">
        <f t="shared" si="0"/>
        <v>5.5937454325188263E-2</v>
      </c>
      <c r="I21" s="186">
        <v>2.6756725259784404</v>
      </c>
      <c r="J21" s="187">
        <f t="shared" si="0"/>
        <v>0.1818918777306231</v>
      </c>
      <c r="K21" s="186">
        <v>2.5505786061867015</v>
      </c>
      <c r="L21" s="187">
        <f t="shared" si="1"/>
        <v>-0.12509391979173889</v>
      </c>
      <c r="M21" s="186">
        <v>2.6766402566005216</v>
      </c>
      <c r="N21" s="187">
        <v>0.1387462105709667</v>
      </c>
      <c r="O21" s="187">
        <v>0.18296904943719072</v>
      </c>
    </row>
    <row r="22" spans="1:16" ht="6" customHeight="1" x14ac:dyDescent="0.25"/>
    <row r="23" spans="1:16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  <c r="O23" s="105"/>
    </row>
    <row r="24" spans="1:16" x14ac:dyDescent="0.25">
      <c r="E24" s="120"/>
      <c r="G24" s="120"/>
      <c r="I24" s="120"/>
      <c r="K24" s="120"/>
      <c r="N24" s="79"/>
    </row>
    <row r="26" spans="1:16" ht="59.25" customHeight="1" thickBot="1" x14ac:dyDescent="0.3">
      <c r="B26" s="270" t="s">
        <v>294</v>
      </c>
      <c r="C26" s="270"/>
      <c r="D26" s="270"/>
      <c r="E26" s="270"/>
      <c r="F26" s="270"/>
      <c r="G26" s="270"/>
      <c r="H26" s="270"/>
      <c r="I26" s="270"/>
      <c r="J26" s="270"/>
      <c r="K26" s="270"/>
      <c r="L26" s="270"/>
      <c r="M26" s="270"/>
      <c r="N26" s="270"/>
      <c r="O26" s="270"/>
      <c r="P26" s="1" t="s">
        <v>94</v>
      </c>
    </row>
    <row r="27" spans="1:16" ht="10.5" customHeight="1" thickBot="1" x14ac:dyDescent="0.3">
      <c r="B27" s="106"/>
      <c r="C27" s="107"/>
      <c r="D27" s="106"/>
      <c r="E27" s="106"/>
      <c r="F27" s="106"/>
      <c r="G27" s="106"/>
      <c r="H27" s="106"/>
      <c r="I27" s="106"/>
      <c r="J27" s="106"/>
      <c r="K27" s="106"/>
      <c r="L27" s="106"/>
      <c r="M27" s="4"/>
      <c r="N27" s="4"/>
      <c r="P27" s="1" t="s">
        <v>95</v>
      </c>
    </row>
    <row r="28" spans="1:16" ht="22.5" thickTop="1" thickBot="1" x14ac:dyDescent="0.3">
      <c r="B28" s="121" t="s">
        <v>96</v>
      </c>
      <c r="C28" s="292" t="s">
        <v>97</v>
      </c>
      <c r="D28" s="293"/>
      <c r="E28" s="293"/>
      <c r="F28" s="293"/>
      <c r="G28" s="293"/>
      <c r="H28" s="293"/>
      <c r="I28" s="293"/>
      <c r="J28" s="293"/>
      <c r="K28" s="293"/>
      <c r="L28" s="293"/>
      <c r="M28" s="293"/>
      <c r="N28" s="293"/>
      <c r="O28" s="294"/>
    </row>
    <row r="29" spans="1:16" ht="22.5" thickTop="1" thickBot="1" x14ac:dyDescent="0.3">
      <c r="B29" s="109"/>
      <c r="C29" s="295">
        <f>2019</f>
        <v>2019</v>
      </c>
      <c r="D29" s="296"/>
      <c r="E29" s="297">
        <v>2020</v>
      </c>
      <c r="F29" s="296"/>
      <c r="G29" s="297">
        <v>2021</v>
      </c>
      <c r="H29" s="296"/>
      <c r="I29" s="297">
        <v>2022</v>
      </c>
      <c r="J29" s="296"/>
      <c r="K29" s="297">
        <v>2023</v>
      </c>
      <c r="L29" s="296"/>
      <c r="M29" s="297">
        <v>2024</v>
      </c>
      <c r="N29" s="298"/>
      <c r="O29" s="299"/>
    </row>
    <row r="30" spans="1:16" ht="16.5" thickTop="1" thickBot="1" x14ac:dyDescent="0.3">
      <c r="B30" s="85"/>
      <c r="C30" s="111" t="s">
        <v>69</v>
      </c>
      <c r="D30" s="112" t="str">
        <f>CONCATENATE("dif ",RIGHT(2019,2),"/",RIGHT(2018,2))</f>
        <v>dif 19/18</v>
      </c>
      <c r="E30" s="113" t="s">
        <v>69</v>
      </c>
      <c r="F30" s="112" t="str">
        <f>CONCATENATE("dif ",RIGHT(E29,2),"/",RIGHT(C29,2))</f>
        <v>dif 20/19</v>
      </c>
      <c r="G30" s="113" t="s">
        <v>69</v>
      </c>
      <c r="H30" s="112" t="str">
        <f>CONCATENATE("dif ",RIGHT(G29,2),"/",RIGHT(E29,2))</f>
        <v>dif 21/20</v>
      </c>
      <c r="I30" s="113" t="s">
        <v>69</v>
      </c>
      <c r="J30" s="112" t="str">
        <f>CONCATENATE("dif ",RIGHT(I29,2),"/",RIGHT(G29,2))</f>
        <v>dif 22/21</v>
      </c>
      <c r="K30" s="113" t="s">
        <v>69</v>
      </c>
      <c r="L30" s="112" t="str">
        <f>CONCATENATE("dif ",RIGHT(K29,2),"/",RIGHT(I29,2))</f>
        <v>dif 23/22</v>
      </c>
      <c r="M30" s="113" t="s">
        <v>69</v>
      </c>
      <c r="N30" s="112" t="s">
        <v>323</v>
      </c>
      <c r="O30" s="112" t="s">
        <v>324</v>
      </c>
    </row>
    <row r="31" spans="1:16" x14ac:dyDescent="0.25">
      <c r="B31" s="114" t="s">
        <v>71</v>
      </c>
      <c r="C31" s="184">
        <v>1.9356746765249537</v>
      </c>
      <c r="D31" s="185">
        <v>-0.24473197781885392</v>
      </c>
      <c r="E31" s="184">
        <v>1.9042170644001308</v>
      </c>
      <c r="F31" s="185">
        <f t="shared" ref="F31:J43" si="2">IFERROR(E31-C31,"-")</f>
        <v>-3.1457612124822898E-2</v>
      </c>
      <c r="G31" s="184">
        <v>1.9158075601374571</v>
      </c>
      <c r="H31" s="185">
        <f t="shared" si="2"/>
        <v>1.159049573732629E-2</v>
      </c>
      <c r="I31" s="184">
        <v>2.7529610829103217</v>
      </c>
      <c r="J31" s="185">
        <f t="shared" si="2"/>
        <v>0.83715352277286459</v>
      </c>
      <c r="K31" s="184">
        <v>1.8540433925049309</v>
      </c>
      <c r="L31" s="185">
        <f t="shared" ref="L31:N43" si="3">IFERROR(K31-I31,"-")</f>
        <v>-0.89891769040539082</v>
      </c>
      <c r="M31" s="184">
        <v>1.7593017914561322</v>
      </c>
      <c r="N31" s="185">
        <v>-9.4741601048798696E-2</v>
      </c>
      <c r="O31" s="185">
        <v>-0.17637288506882154</v>
      </c>
    </row>
    <row r="32" spans="1:16" x14ac:dyDescent="0.25">
      <c r="B32" s="114" t="s">
        <v>73</v>
      </c>
      <c r="C32" s="184">
        <v>1.895208548776284</v>
      </c>
      <c r="D32" s="185">
        <v>-0.12358436773979853</v>
      </c>
      <c r="E32" s="184">
        <v>1.7546553413917021</v>
      </c>
      <c r="F32" s="185">
        <f t="shared" si="2"/>
        <v>-0.14055320738458188</v>
      </c>
      <c r="G32" s="184">
        <v>1.6583229036295368</v>
      </c>
      <c r="H32" s="185">
        <f t="shared" si="2"/>
        <v>-9.6332437762165268E-2</v>
      </c>
      <c r="I32" s="184">
        <v>1.9862405681313804</v>
      </c>
      <c r="J32" s="185">
        <f t="shared" si="2"/>
        <v>0.32791766450184356</v>
      </c>
      <c r="K32" s="184">
        <v>1.8500483714930667</v>
      </c>
      <c r="L32" s="185">
        <f t="shared" si="3"/>
        <v>-0.13619219663831372</v>
      </c>
      <c r="M32" s="184">
        <v>2.2994923857868019</v>
      </c>
      <c r="N32" s="185">
        <v>0.44944401429373526</v>
      </c>
      <c r="O32" s="185">
        <v>0.40428383701051795</v>
      </c>
    </row>
    <row r="33" spans="2:16" x14ac:dyDescent="0.25">
      <c r="B33" s="114" t="s">
        <v>75</v>
      </c>
      <c r="C33" s="184">
        <v>1.8823529411764706</v>
      </c>
      <c r="D33" s="185">
        <v>-0.20996489594848811</v>
      </c>
      <c r="E33" s="184">
        <v>1.6356821589205397</v>
      </c>
      <c r="F33" s="185">
        <f t="shared" si="2"/>
        <v>-0.24667078225593086</v>
      </c>
      <c r="G33" s="184">
        <v>1.814327485380117</v>
      </c>
      <c r="H33" s="185">
        <f t="shared" si="2"/>
        <v>0.17864532645957731</v>
      </c>
      <c r="I33" s="184">
        <v>2.0317519611505417</v>
      </c>
      <c r="J33" s="185">
        <f t="shared" si="2"/>
        <v>0.21742447577042467</v>
      </c>
      <c r="K33" s="184">
        <v>1.8848289973691903</v>
      </c>
      <c r="L33" s="185">
        <f t="shared" si="3"/>
        <v>-0.14692296378135139</v>
      </c>
      <c r="M33" s="184">
        <v>1.9806231003039514</v>
      </c>
      <c r="N33" s="185">
        <v>9.5794102934761094E-2</v>
      </c>
      <c r="O33" s="185">
        <v>9.8270159127480827E-2</v>
      </c>
    </row>
    <row r="34" spans="2:16" x14ac:dyDescent="0.25">
      <c r="B34" s="114" t="s">
        <v>77</v>
      </c>
      <c r="C34" s="184">
        <v>2.467058823529412</v>
      </c>
      <c r="D34" s="185">
        <v>0.69891366223908946</v>
      </c>
      <c r="E34" s="184" t="s">
        <v>229</v>
      </c>
      <c r="F34" s="185" t="str">
        <f>IFERROR(E34-C34,"-")</f>
        <v>-</v>
      </c>
      <c r="G34" s="184">
        <v>1.8201368523949168</v>
      </c>
      <c r="H34" s="185" t="str">
        <f>IFERROR(G34-E34,"-")</f>
        <v>-</v>
      </c>
      <c r="I34" s="184">
        <v>2.2582731076454925</v>
      </c>
      <c r="J34" s="185">
        <f>IFERROR(I34-G34,"-")</f>
        <v>0.43813625525057565</v>
      </c>
      <c r="K34" s="184">
        <v>1.7696677080374894</v>
      </c>
      <c r="L34" s="185">
        <f>IFERROR(K34-I34,"-")</f>
        <v>-0.48860539960800309</v>
      </c>
      <c r="M34" s="184">
        <v>1.8177655677655677</v>
      </c>
      <c r="N34" s="185">
        <v>4.809785972807834E-2</v>
      </c>
      <c r="O34" s="185">
        <v>-0.64929325576384422</v>
      </c>
    </row>
    <row r="35" spans="2:16" x14ac:dyDescent="0.25">
      <c r="B35" s="114" t="s">
        <v>79</v>
      </c>
      <c r="C35" s="184">
        <v>2.3830369357045145</v>
      </c>
      <c r="D35" s="185">
        <v>0.34431765052208707</v>
      </c>
      <c r="E35" s="184" t="s">
        <v>229</v>
      </c>
      <c r="F35" s="185" t="str">
        <f t="shared" si="2"/>
        <v>-</v>
      </c>
      <c r="G35" s="184">
        <v>1.8474870017331022</v>
      </c>
      <c r="H35" s="185" t="str">
        <f t="shared" si="2"/>
        <v>-</v>
      </c>
      <c r="I35" s="184">
        <v>2.1116956697693241</v>
      </c>
      <c r="J35" s="185">
        <f t="shared" si="2"/>
        <v>0.26420866803622189</v>
      </c>
      <c r="K35" s="184">
        <v>2.0239369191776966</v>
      </c>
      <c r="L35" s="185">
        <f t="shared" si="3"/>
        <v>-8.7758750591627521E-2</v>
      </c>
      <c r="M35" s="184">
        <v>1.8523102310231023</v>
      </c>
      <c r="N35" s="185">
        <v>-0.17162668815459425</v>
      </c>
      <c r="O35" s="185">
        <v>-0.53072670468141214</v>
      </c>
    </row>
    <row r="36" spans="2:16" x14ac:dyDescent="0.25">
      <c r="B36" s="114" t="s">
        <v>81</v>
      </c>
      <c r="C36" s="184">
        <v>2.0623509369676318</v>
      </c>
      <c r="D36" s="185">
        <v>0.1909900703461016</v>
      </c>
      <c r="E36" s="184" t="s">
        <v>229</v>
      </c>
      <c r="F36" s="185" t="str">
        <f t="shared" si="2"/>
        <v>-</v>
      </c>
      <c r="G36" s="184">
        <v>1.6966057441253264</v>
      </c>
      <c r="H36" s="185" t="str">
        <f t="shared" si="2"/>
        <v>-</v>
      </c>
      <c r="I36" s="184">
        <v>2.2217877094972067</v>
      </c>
      <c r="J36" s="185">
        <f t="shared" si="2"/>
        <v>0.52518196537188033</v>
      </c>
      <c r="K36" s="184">
        <v>1.9933008526187577</v>
      </c>
      <c r="L36" s="185">
        <f t="shared" si="3"/>
        <v>-0.22848685687844905</v>
      </c>
      <c r="M36" s="184">
        <v>2.0435505319148937</v>
      </c>
      <c r="N36" s="185">
        <v>5.0249679296135996E-2</v>
      </c>
      <c r="O36" s="185">
        <v>-1.8800405052738167E-2</v>
      </c>
    </row>
    <row r="37" spans="2:16" x14ac:dyDescent="0.25">
      <c r="B37" s="114" t="s">
        <v>83</v>
      </c>
      <c r="C37" s="184">
        <v>1.8733018310691081</v>
      </c>
      <c r="D37" s="185">
        <v>-0.22823073598070054</v>
      </c>
      <c r="E37" s="184" t="s">
        <v>229</v>
      </c>
      <c r="F37" s="185" t="str">
        <f t="shared" si="2"/>
        <v>-</v>
      </c>
      <c r="G37" s="184">
        <v>1.9532019704433496</v>
      </c>
      <c r="H37" s="185" t="str">
        <f t="shared" si="2"/>
        <v>-</v>
      </c>
      <c r="I37" s="184">
        <v>2.0493939393939393</v>
      </c>
      <c r="J37" s="185">
        <f t="shared" si="2"/>
        <v>9.6191968950589679E-2</v>
      </c>
      <c r="K37" s="184">
        <v>1.9799121155053359</v>
      </c>
      <c r="L37" s="185">
        <f t="shared" si="3"/>
        <v>-6.9481823888603467E-2</v>
      </c>
      <c r="M37" s="184">
        <v>1.9556135770234986</v>
      </c>
      <c r="N37" s="185">
        <v>-2.4298538481837273E-2</v>
      </c>
      <c r="O37" s="185">
        <v>8.2311745954390503E-2</v>
      </c>
    </row>
    <row r="38" spans="2:16" x14ac:dyDescent="0.25">
      <c r="B38" s="114" t="s">
        <v>85</v>
      </c>
      <c r="C38" s="184">
        <v>2.049430894308943</v>
      </c>
      <c r="D38" s="185">
        <v>-0.43600599889494029</v>
      </c>
      <c r="E38" s="184">
        <v>2.3508196721311476</v>
      </c>
      <c r="F38" s="185">
        <f t="shared" si="2"/>
        <v>0.30138877782220463</v>
      </c>
      <c r="G38" s="184">
        <v>2.4569536423841059</v>
      </c>
      <c r="H38" s="185">
        <f t="shared" si="2"/>
        <v>0.10613397025295823</v>
      </c>
      <c r="I38" s="184">
        <v>2.3296067848882034</v>
      </c>
      <c r="J38" s="185">
        <f t="shared" si="2"/>
        <v>-0.12734685749590247</v>
      </c>
      <c r="K38" s="184">
        <v>2.120403321470937</v>
      </c>
      <c r="L38" s="185">
        <f t="shared" si="3"/>
        <v>-0.20920346341726637</v>
      </c>
      <c r="M38" s="184">
        <v>2.7328288707799766</v>
      </c>
      <c r="N38" s="185">
        <v>0.61242554930903959</v>
      </c>
      <c r="O38" s="185">
        <v>0.68339797647103362</v>
      </c>
    </row>
    <row r="39" spans="2:16" x14ac:dyDescent="0.25">
      <c r="B39" s="114" t="s">
        <v>87</v>
      </c>
      <c r="C39" s="184">
        <v>1.8539365871036695</v>
      </c>
      <c r="D39" s="185">
        <v>-1.0408965176059783</v>
      </c>
      <c r="E39" s="184">
        <v>2.1324549237170598</v>
      </c>
      <c r="F39" s="185">
        <f t="shared" si="2"/>
        <v>0.27851833661339032</v>
      </c>
      <c r="G39" s="184">
        <v>2.1088917525773194</v>
      </c>
      <c r="H39" s="185">
        <f t="shared" si="2"/>
        <v>-2.356317113974038E-2</v>
      </c>
      <c r="I39" s="184">
        <v>1.9187802792818467</v>
      </c>
      <c r="J39" s="185">
        <f t="shared" si="2"/>
        <v>-0.19011147329547273</v>
      </c>
      <c r="K39" s="184">
        <v>1.8982850384387937</v>
      </c>
      <c r="L39" s="185">
        <f t="shared" si="3"/>
        <v>-2.0495240843052986E-2</v>
      </c>
      <c r="M39" s="184">
        <v>1.8101173020527859</v>
      </c>
      <c r="N39" s="185">
        <v>-8.8167736386007833E-2</v>
      </c>
      <c r="O39" s="185">
        <v>-4.3819285050883616E-2</v>
      </c>
    </row>
    <row r="40" spans="2:16" x14ac:dyDescent="0.25">
      <c r="B40" s="114" t="s">
        <v>89</v>
      </c>
      <c r="C40" s="184">
        <v>1.8910828025477706</v>
      </c>
      <c r="D40" s="185">
        <v>5.4737763338769563E-2</v>
      </c>
      <c r="E40" s="184">
        <v>2.0562546262028127</v>
      </c>
      <c r="F40" s="185">
        <f t="shared" si="2"/>
        <v>0.16517182365504213</v>
      </c>
      <c r="G40" s="184">
        <v>1.844381758345087</v>
      </c>
      <c r="H40" s="185">
        <f t="shared" si="2"/>
        <v>-0.21187286785772574</v>
      </c>
      <c r="I40" s="184">
        <v>2.1810207336523124</v>
      </c>
      <c r="J40" s="185">
        <f t="shared" si="2"/>
        <v>0.33663897530722542</v>
      </c>
      <c r="K40" s="184">
        <v>1.9529203539823008</v>
      </c>
      <c r="L40" s="185">
        <f t="shared" si="3"/>
        <v>-0.22810037967001162</v>
      </c>
      <c r="M40" s="184"/>
      <c r="N40" s="185" t="s">
        <v>229</v>
      </c>
      <c r="O40" s="185" t="s">
        <v>229</v>
      </c>
    </row>
    <row r="41" spans="2:16" x14ac:dyDescent="0.25">
      <c r="B41" s="114" t="s">
        <v>91</v>
      </c>
      <c r="C41" s="184">
        <v>1.7614213197969544</v>
      </c>
      <c r="D41" s="185">
        <v>-0.27511656579753496</v>
      </c>
      <c r="E41" s="184">
        <v>1.9450636942675159</v>
      </c>
      <c r="F41" s="185">
        <f t="shared" si="2"/>
        <v>0.18364237447056153</v>
      </c>
      <c r="G41" s="184">
        <v>1.8789903489235338</v>
      </c>
      <c r="H41" s="185">
        <f t="shared" si="2"/>
        <v>-6.6073345343982126E-2</v>
      </c>
      <c r="I41" s="184">
        <v>1.8751584283903675</v>
      </c>
      <c r="J41" s="185">
        <f t="shared" si="2"/>
        <v>-3.8319205331662776E-3</v>
      </c>
      <c r="K41" s="184">
        <v>1.8118126272912423</v>
      </c>
      <c r="L41" s="185">
        <f t="shared" si="3"/>
        <v>-6.3345801099125243E-2</v>
      </c>
      <c r="M41" s="184"/>
      <c r="N41" s="185" t="s">
        <v>229</v>
      </c>
      <c r="O41" s="185" t="s">
        <v>229</v>
      </c>
    </row>
    <row r="42" spans="2:16" x14ac:dyDescent="0.25">
      <c r="B42" s="114" t="s">
        <v>93</v>
      </c>
      <c r="C42" s="184">
        <v>1.7360482654600302</v>
      </c>
      <c r="D42" s="185">
        <v>-0.19464180717919488</v>
      </c>
      <c r="E42" s="184">
        <v>2.1720807726075506</v>
      </c>
      <c r="F42" s="185">
        <f t="shared" si="2"/>
        <v>0.4360325071475204</v>
      </c>
      <c r="G42" s="184">
        <v>1.9224517439891635</v>
      </c>
      <c r="H42" s="185">
        <f t="shared" si="2"/>
        <v>-0.24962902861838709</v>
      </c>
      <c r="I42" s="184">
        <v>1.8219708246501936</v>
      </c>
      <c r="J42" s="185">
        <f t="shared" si="2"/>
        <v>-0.10048091933896997</v>
      </c>
      <c r="K42" s="184">
        <v>1.8590240123934934</v>
      </c>
      <c r="L42" s="185">
        <f t="shared" si="3"/>
        <v>3.7053187743299798E-2</v>
      </c>
      <c r="M42" s="184"/>
      <c r="N42" s="185" t="s">
        <v>229</v>
      </c>
      <c r="O42" s="185" t="s">
        <v>229</v>
      </c>
    </row>
    <row r="43" spans="2:16" ht="15.75" x14ac:dyDescent="0.25">
      <c r="B43" s="117" t="s">
        <v>30</v>
      </c>
      <c r="C43" s="186">
        <v>1.9648158624962957</v>
      </c>
      <c r="D43" s="187">
        <v>-0.11225081972761175</v>
      </c>
      <c r="E43" s="186">
        <v>1.9846470698371093</v>
      </c>
      <c r="F43" s="187">
        <f t="shared" si="2"/>
        <v>1.9831207340813561E-2</v>
      </c>
      <c r="G43" s="186">
        <v>1.9355328547763666</v>
      </c>
      <c r="H43" s="187">
        <f t="shared" si="2"/>
        <v>-4.911421506074265E-2</v>
      </c>
      <c r="I43" s="186">
        <v>2.098583217486468</v>
      </c>
      <c r="J43" s="187">
        <f t="shared" si="2"/>
        <v>0.16305036271010143</v>
      </c>
      <c r="K43" s="186">
        <v>1.9201526960394464</v>
      </c>
      <c r="L43" s="187">
        <f t="shared" si="3"/>
        <v>-0.17843052144702165</v>
      </c>
      <c r="M43" s="186">
        <v>1.9770580812908654</v>
      </c>
      <c r="N43" s="187">
        <v>4.5812267493142711E-2</v>
      </c>
      <c r="O43" s="187">
        <v>-6.0225794099491692E-2</v>
      </c>
    </row>
    <row r="44" spans="2:16" ht="6" customHeight="1" x14ac:dyDescent="0.25"/>
    <row r="45" spans="2:16" x14ac:dyDescent="0.25">
      <c r="B45" s="105" t="s">
        <v>55</v>
      </c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  <c r="O45" s="105"/>
    </row>
    <row r="47" spans="2:16" x14ac:dyDescent="0.25">
      <c r="E47" s="120"/>
      <c r="G47" s="120"/>
      <c r="I47" s="120"/>
      <c r="K47" s="122"/>
    </row>
    <row r="48" spans="2:16" ht="48.75" customHeight="1" thickBot="1" x14ac:dyDescent="0.3">
      <c r="B48" s="270" t="s">
        <v>295</v>
      </c>
      <c r="C48" s="270"/>
      <c r="D48" s="270"/>
      <c r="E48" s="270"/>
      <c r="F48" s="270"/>
      <c r="G48" s="270"/>
      <c r="H48" s="270"/>
      <c r="I48" s="270"/>
      <c r="J48" s="270"/>
      <c r="K48" s="270"/>
      <c r="L48" s="270"/>
      <c r="M48" s="270"/>
      <c r="N48" s="270"/>
      <c r="O48" s="270"/>
      <c r="P48" s="1" t="s">
        <v>98</v>
      </c>
    </row>
    <row r="49" spans="1:16" ht="10.5" customHeight="1" thickBot="1" x14ac:dyDescent="0.3">
      <c r="B49" s="106"/>
      <c r="C49" s="107"/>
      <c r="D49" s="106"/>
      <c r="E49" s="106"/>
      <c r="F49" s="106"/>
      <c r="G49" s="106"/>
      <c r="H49" s="106"/>
      <c r="I49" s="106"/>
      <c r="J49" s="106"/>
      <c r="K49" s="106"/>
      <c r="L49" s="106"/>
      <c r="M49" s="4"/>
      <c r="N49" s="4"/>
      <c r="P49" s="1" t="s">
        <v>99</v>
      </c>
    </row>
    <row r="50" spans="1:16" ht="22.5" thickTop="1" thickBot="1" x14ac:dyDescent="0.3">
      <c r="B50" s="109"/>
      <c r="C50" s="292" t="s">
        <v>100</v>
      </c>
      <c r="D50" s="293"/>
      <c r="E50" s="293"/>
      <c r="F50" s="293"/>
      <c r="G50" s="293"/>
      <c r="H50" s="293"/>
      <c r="I50" s="293"/>
      <c r="J50" s="293"/>
      <c r="K50" s="293"/>
      <c r="L50" s="293"/>
      <c r="M50" s="293"/>
      <c r="N50" s="293"/>
      <c r="O50" s="294"/>
    </row>
    <row r="51" spans="1:16" ht="22.5" thickTop="1" thickBot="1" x14ac:dyDescent="0.3">
      <c r="B51" s="109"/>
      <c r="C51" s="295">
        <f>2019</f>
        <v>2019</v>
      </c>
      <c r="D51" s="296"/>
      <c r="E51" s="297">
        <v>2020</v>
      </c>
      <c r="F51" s="296"/>
      <c r="G51" s="297">
        <v>2021</v>
      </c>
      <c r="H51" s="296"/>
      <c r="I51" s="297">
        <v>2022</v>
      </c>
      <c r="J51" s="296"/>
      <c r="K51" s="297">
        <v>2023</v>
      </c>
      <c r="L51" s="296"/>
      <c r="M51" s="297">
        <v>2024</v>
      </c>
      <c r="N51" s="298"/>
      <c r="O51" s="299"/>
    </row>
    <row r="52" spans="1:16" ht="16.5" thickTop="1" thickBot="1" x14ac:dyDescent="0.3">
      <c r="B52" s="85"/>
      <c r="C52" s="111" t="s">
        <v>69</v>
      </c>
      <c r="D52" s="112" t="str">
        <f>CONCATENATE("dif ",RIGHT(2019,2),"/",RIGHT(2018,2))</f>
        <v>dif 19/18</v>
      </c>
      <c r="E52" s="113" t="s">
        <v>69</v>
      </c>
      <c r="F52" s="112" t="str">
        <f>CONCATENATE("dif ",RIGHT(E51,2),"/",RIGHT(C51,2))</f>
        <v>dif 20/19</v>
      </c>
      <c r="G52" s="113" t="s">
        <v>69</v>
      </c>
      <c r="H52" s="112" t="str">
        <f>CONCATENATE("dif ",RIGHT(G51,2),"/",RIGHT(E51,2))</f>
        <v>dif 21/20</v>
      </c>
      <c r="I52" s="113" t="s">
        <v>69</v>
      </c>
      <c r="J52" s="112" t="str">
        <f>CONCATENATE("dif ",RIGHT(I51,2),"/",RIGHT(G51,2))</f>
        <v>dif 22/21</v>
      </c>
      <c r="K52" s="113" t="s">
        <v>69</v>
      </c>
      <c r="L52" s="112" t="str">
        <f>CONCATENATE("dif ",RIGHT(K51,2),"/",RIGHT(I51,2))</f>
        <v>dif 23/22</v>
      </c>
      <c r="M52" s="113" t="s">
        <v>69</v>
      </c>
      <c r="N52" s="112" t="s">
        <v>323</v>
      </c>
      <c r="O52" s="112" t="s">
        <v>324</v>
      </c>
    </row>
    <row r="53" spans="1:16" x14ac:dyDescent="0.25">
      <c r="A53" s="1">
        <v>1</v>
      </c>
      <c r="B53" s="114" t="s">
        <v>71</v>
      </c>
      <c r="C53" s="184">
        <v>2.1795855717574826</v>
      </c>
      <c r="D53" s="185">
        <v>-0.46571357354166265</v>
      </c>
      <c r="E53" s="184">
        <v>2.4701986754966887</v>
      </c>
      <c r="F53" s="185">
        <f t="shared" ref="F53:J65" si="4">IFERROR(E53-C53,"-")</f>
        <v>0.29061310373920612</v>
      </c>
      <c r="G53" s="184">
        <v>1.8877887788778878</v>
      </c>
      <c r="H53" s="185">
        <f t="shared" si="4"/>
        <v>-0.58240989661880094</v>
      </c>
      <c r="I53" s="184">
        <v>2.7045235803657364</v>
      </c>
      <c r="J53" s="185">
        <f t="shared" si="4"/>
        <v>0.81673480148784861</v>
      </c>
      <c r="K53" s="184">
        <v>2.1779062299293512</v>
      </c>
      <c r="L53" s="185">
        <f t="shared" ref="L53:N65" si="5">IFERROR(K53-I53,"-")</f>
        <v>-0.52661735043638513</v>
      </c>
      <c r="M53" s="184">
        <v>1.8096885813148789</v>
      </c>
      <c r="N53" s="185">
        <v>-0.36821764861447237</v>
      </c>
      <c r="O53" s="185">
        <v>-0.36989699044260371</v>
      </c>
    </row>
    <row r="54" spans="1:16" x14ac:dyDescent="0.25">
      <c r="A54" s="1">
        <v>2</v>
      </c>
      <c r="B54" s="114" t="s">
        <v>73</v>
      </c>
      <c r="C54" s="184">
        <v>2.1743869209809263</v>
      </c>
      <c r="D54" s="185">
        <v>-0.14428696264559582</v>
      </c>
      <c r="E54" s="184">
        <v>2.0367700072098054</v>
      </c>
      <c r="F54" s="185">
        <f t="shared" si="4"/>
        <v>-0.13761691377112095</v>
      </c>
      <c r="G54" s="184">
        <v>1.7869822485207101</v>
      </c>
      <c r="H54" s="185">
        <f t="shared" si="4"/>
        <v>-0.24978775868909531</v>
      </c>
      <c r="I54" s="184">
        <v>2.3289124668435015</v>
      </c>
      <c r="J54" s="185">
        <f t="shared" si="4"/>
        <v>0.54193021832279142</v>
      </c>
      <c r="K54" s="184">
        <v>1.910030627871363</v>
      </c>
      <c r="L54" s="185">
        <f t="shared" si="5"/>
        <v>-0.41888183897213849</v>
      </c>
      <c r="M54" s="184">
        <v>2.0161987041036715</v>
      </c>
      <c r="N54" s="185">
        <v>0.10616807623230851</v>
      </c>
      <c r="O54" s="185">
        <v>-0.15818821687725482</v>
      </c>
    </row>
    <row r="55" spans="1:16" x14ac:dyDescent="0.25">
      <c r="A55" s="1">
        <v>3</v>
      </c>
      <c r="B55" s="114" t="s">
        <v>75</v>
      </c>
      <c r="C55" s="184">
        <v>2.0913126188966391</v>
      </c>
      <c r="D55" s="185">
        <v>-0.27146340633995392</v>
      </c>
      <c r="E55" s="184">
        <v>1.8451612903225807</v>
      </c>
      <c r="F55" s="185">
        <f t="shared" si="4"/>
        <v>-0.24615132857405841</v>
      </c>
      <c r="G55" s="184">
        <v>1.8140000000000001</v>
      </c>
      <c r="H55" s="185">
        <f t="shared" si="4"/>
        <v>-3.1161290322580637E-2</v>
      </c>
      <c r="I55" s="184">
        <v>2.0361816782140107</v>
      </c>
      <c r="J55" s="185">
        <f t="shared" si="4"/>
        <v>0.22218167821401069</v>
      </c>
      <c r="K55" s="184">
        <v>1.9119541875447388</v>
      </c>
      <c r="L55" s="185">
        <f t="shared" si="5"/>
        <v>-0.12422749066927197</v>
      </c>
      <c r="M55" s="184">
        <v>2.1184280403611258</v>
      </c>
      <c r="N55" s="185">
        <v>0.20647385281638697</v>
      </c>
      <c r="O55" s="185">
        <v>2.7115421464486644E-2</v>
      </c>
    </row>
    <row r="56" spans="1:16" x14ac:dyDescent="0.25">
      <c r="A56" s="1">
        <v>4</v>
      </c>
      <c r="B56" s="114" t="s">
        <v>77</v>
      </c>
      <c r="C56" s="184">
        <v>2.6987638256343525</v>
      </c>
      <c r="D56" s="185">
        <v>0.83363454541073256</v>
      </c>
      <c r="E56" s="184" t="s">
        <v>229</v>
      </c>
      <c r="F56" s="185" t="str">
        <f>IFERROR(E56-C56,"-")</f>
        <v>-</v>
      </c>
      <c r="G56" s="184">
        <v>1.8374760994263861</v>
      </c>
      <c r="H56" s="185" t="str">
        <f>IFERROR(G56-E56,"-")</f>
        <v>-</v>
      </c>
      <c r="I56" s="184">
        <v>2.7884615384615383</v>
      </c>
      <c r="J56" s="185">
        <f>IFERROR(I56-G56,"-")</f>
        <v>0.9509854390351522</v>
      </c>
      <c r="K56" s="184">
        <v>1.8283518360375748</v>
      </c>
      <c r="L56" s="185">
        <f>IFERROR(K56-I56,"-")</f>
        <v>-0.96010970242396354</v>
      </c>
      <c r="M56" s="184">
        <v>1.8955807587016034</v>
      </c>
      <c r="N56" s="185">
        <v>6.7228922664028579E-2</v>
      </c>
      <c r="O56" s="185">
        <v>-0.8031830669327491</v>
      </c>
    </row>
    <row r="57" spans="1:16" x14ac:dyDescent="0.25">
      <c r="A57" s="1">
        <v>5</v>
      </c>
      <c r="B57" s="114" t="s">
        <v>79</v>
      </c>
      <c r="C57" s="184">
        <v>2.7460815047021945</v>
      </c>
      <c r="D57" s="185">
        <v>0.54195632689280604</v>
      </c>
      <c r="E57" s="184" t="s">
        <v>229</v>
      </c>
      <c r="F57" s="185" t="str">
        <f t="shared" si="4"/>
        <v>-</v>
      </c>
      <c r="G57" s="184">
        <v>1.8921282798833818</v>
      </c>
      <c r="H57" s="185" t="str">
        <f t="shared" si="4"/>
        <v>-</v>
      </c>
      <c r="I57" s="184">
        <v>2.4585942936673626</v>
      </c>
      <c r="J57" s="185">
        <f t="shared" si="4"/>
        <v>0.56646601378398076</v>
      </c>
      <c r="K57" s="184">
        <v>2.3117593436645398</v>
      </c>
      <c r="L57" s="185">
        <f t="shared" si="5"/>
        <v>-0.14683495000282276</v>
      </c>
      <c r="M57" s="184">
        <v>2.032228778937812</v>
      </c>
      <c r="N57" s="185">
        <v>-0.27953056472672788</v>
      </c>
      <c r="O57" s="185">
        <v>-0.71385272576438252</v>
      </c>
    </row>
    <row r="58" spans="1:16" x14ac:dyDescent="0.25">
      <c r="A58" s="1">
        <v>6</v>
      </c>
      <c r="B58" s="114" t="s">
        <v>81</v>
      </c>
      <c r="C58" s="184">
        <v>2.2594631796283551</v>
      </c>
      <c r="D58" s="185">
        <v>0.18713613560319775</v>
      </c>
      <c r="E58" s="184" t="s">
        <v>229</v>
      </c>
      <c r="F58" s="185" t="str">
        <f t="shared" si="4"/>
        <v>-</v>
      </c>
      <c r="G58" s="184">
        <v>1.8134969325153374</v>
      </c>
      <c r="H58" s="185" t="str">
        <f t="shared" si="4"/>
        <v>-</v>
      </c>
      <c r="I58" s="184">
        <v>2.155002891844997</v>
      </c>
      <c r="J58" s="185">
        <f t="shared" si="4"/>
        <v>0.34150595932965966</v>
      </c>
      <c r="K58" s="184">
        <v>2.1816707218167073</v>
      </c>
      <c r="L58" s="185">
        <f t="shared" si="5"/>
        <v>2.6667829971710244E-2</v>
      </c>
      <c r="M58" s="184">
        <v>2.174083769633508</v>
      </c>
      <c r="N58" s="185">
        <v>-7.5869521831992692E-3</v>
      </c>
      <c r="O58" s="185">
        <v>-8.5379409994847055E-2</v>
      </c>
    </row>
    <row r="59" spans="1:16" x14ac:dyDescent="0.25">
      <c r="A59" s="1">
        <v>7</v>
      </c>
      <c r="B59" s="114" t="s">
        <v>83</v>
      </c>
      <c r="C59" s="184">
        <v>2.186840471756673</v>
      </c>
      <c r="D59" s="185">
        <v>-2.4915902181004146E-2</v>
      </c>
      <c r="E59" s="184" t="s">
        <v>229</v>
      </c>
      <c r="F59" s="185" t="str">
        <f t="shared" si="4"/>
        <v>-</v>
      </c>
      <c r="G59" s="184">
        <v>1.9929577464788732</v>
      </c>
      <c r="H59" s="185" t="str">
        <f t="shared" si="4"/>
        <v>-</v>
      </c>
      <c r="I59" s="184">
        <v>2.4557438794726929</v>
      </c>
      <c r="J59" s="185">
        <f t="shared" si="4"/>
        <v>0.46278613299381965</v>
      </c>
      <c r="K59" s="184">
        <v>2.1775417298937785</v>
      </c>
      <c r="L59" s="185">
        <f t="shared" si="5"/>
        <v>-0.27820214957891443</v>
      </c>
      <c r="M59" s="184">
        <v>2.2250136537411249</v>
      </c>
      <c r="N59" s="185">
        <v>4.7471923847346442E-2</v>
      </c>
      <c r="O59" s="185">
        <v>3.8173181984451965E-2</v>
      </c>
    </row>
    <row r="60" spans="1:16" x14ac:dyDescent="0.25">
      <c r="A60" s="1">
        <v>8</v>
      </c>
      <c r="B60" s="114" t="s">
        <v>85</v>
      </c>
      <c r="C60" s="184">
        <v>2.4192634560906514</v>
      </c>
      <c r="D60" s="185">
        <v>-0.20022806933307757</v>
      </c>
      <c r="E60" s="184">
        <v>2.4185218165627784</v>
      </c>
      <c r="F60" s="185">
        <f t="shared" si="4"/>
        <v>-7.4163952787298371E-4</v>
      </c>
      <c r="G60" s="184">
        <v>2.6215071972904318</v>
      </c>
      <c r="H60" s="185">
        <f t="shared" si="4"/>
        <v>0.20298538072765338</v>
      </c>
      <c r="I60" s="184">
        <v>2.5198487712665405</v>
      </c>
      <c r="J60" s="185">
        <f t="shared" si="4"/>
        <v>-0.1016584260238913</v>
      </c>
      <c r="K60" s="184">
        <v>2.29901707190895</v>
      </c>
      <c r="L60" s="185">
        <f t="shared" si="5"/>
        <v>-0.22083169935759051</v>
      </c>
      <c r="M60" s="184">
        <v>2.3365758754863815</v>
      </c>
      <c r="N60" s="185">
        <v>3.7558803577431465E-2</v>
      </c>
      <c r="O60" s="185">
        <v>-8.268758060426995E-2</v>
      </c>
    </row>
    <row r="61" spans="1:16" x14ac:dyDescent="0.25">
      <c r="A61" s="1">
        <v>9</v>
      </c>
      <c r="B61" s="114" t="s">
        <v>87</v>
      </c>
      <c r="C61" s="184">
        <v>2.0783045977011496</v>
      </c>
      <c r="D61" s="185">
        <v>-1.2707520060724353</v>
      </c>
      <c r="E61" s="184">
        <v>2.3158584534731324</v>
      </c>
      <c r="F61" s="185">
        <f t="shared" si="4"/>
        <v>0.23755385577198274</v>
      </c>
      <c r="G61" s="184">
        <v>2.1552369077306732</v>
      </c>
      <c r="H61" s="185">
        <f t="shared" si="4"/>
        <v>-0.16062154574245913</v>
      </c>
      <c r="I61" s="184">
        <v>2.1402838427947599</v>
      </c>
      <c r="J61" s="185">
        <f t="shared" si="4"/>
        <v>-1.4953064935913307E-2</v>
      </c>
      <c r="K61" s="184">
        <v>1.996734693877551</v>
      </c>
      <c r="L61" s="185">
        <f t="shared" si="5"/>
        <v>-0.14354914891720894</v>
      </c>
      <c r="M61" s="184">
        <v>2.0187553282182438</v>
      </c>
      <c r="N61" s="185">
        <v>2.2020634340692791E-2</v>
      </c>
      <c r="O61" s="185">
        <v>-5.9549269482905842E-2</v>
      </c>
    </row>
    <row r="62" spans="1:16" x14ac:dyDescent="0.25">
      <c r="A62" s="1">
        <v>10</v>
      </c>
      <c r="B62" s="114" t="s">
        <v>89</v>
      </c>
      <c r="C62" s="184">
        <v>1.955193482688391</v>
      </c>
      <c r="D62" s="185">
        <v>-3.5820637979131487E-2</v>
      </c>
      <c r="E62" s="184">
        <v>2.404040404040404</v>
      </c>
      <c r="F62" s="185">
        <f t="shared" si="4"/>
        <v>0.44884692135201298</v>
      </c>
      <c r="G62" s="184">
        <v>1.8752688172043011</v>
      </c>
      <c r="H62" s="185">
        <f t="shared" si="4"/>
        <v>-0.52877158683610292</v>
      </c>
      <c r="I62" s="184">
        <v>2.4211590296495955</v>
      </c>
      <c r="J62" s="185">
        <f t="shared" si="4"/>
        <v>0.54589021244529445</v>
      </c>
      <c r="K62" s="184">
        <v>2.0656192236598891</v>
      </c>
      <c r="L62" s="185">
        <f t="shared" si="5"/>
        <v>-0.35553980598970636</v>
      </c>
      <c r="M62" s="184"/>
      <c r="N62" s="185" t="s">
        <v>229</v>
      </c>
      <c r="O62" s="185" t="s">
        <v>229</v>
      </c>
    </row>
    <row r="63" spans="1:16" x14ac:dyDescent="0.25">
      <c r="A63" s="1">
        <v>11</v>
      </c>
      <c r="B63" s="114" t="s">
        <v>91</v>
      </c>
      <c r="C63" s="184">
        <v>1.8835341365461848</v>
      </c>
      <c r="D63" s="185">
        <v>-0.65971845860952461</v>
      </c>
      <c r="E63" s="184">
        <v>2.1905737704918034</v>
      </c>
      <c r="F63" s="185">
        <f t="shared" si="4"/>
        <v>0.30703963394561851</v>
      </c>
      <c r="G63" s="184">
        <v>1.9847826086956522</v>
      </c>
      <c r="H63" s="185">
        <f t="shared" si="4"/>
        <v>-0.2057911617961512</v>
      </c>
      <c r="I63" s="184">
        <v>2.0983709273182956</v>
      </c>
      <c r="J63" s="185">
        <f t="shared" si="4"/>
        <v>0.1135883186226434</v>
      </c>
      <c r="K63" s="184">
        <v>1.8906950672645739</v>
      </c>
      <c r="L63" s="185">
        <f t="shared" si="5"/>
        <v>-0.20767586005372163</v>
      </c>
      <c r="M63" s="184"/>
      <c r="N63" s="185" t="s">
        <v>229</v>
      </c>
      <c r="O63" s="185" t="s">
        <v>229</v>
      </c>
    </row>
    <row r="64" spans="1:16" x14ac:dyDescent="0.25">
      <c r="A64" s="1">
        <v>12</v>
      </c>
      <c r="B64" s="114" t="s">
        <v>93</v>
      </c>
      <c r="C64" s="184">
        <v>1.9921540656205421</v>
      </c>
      <c r="D64" s="185">
        <v>-0.27021427514377705</v>
      </c>
      <c r="E64" s="184">
        <v>1.8355795148247978</v>
      </c>
      <c r="F64" s="185">
        <f t="shared" si="4"/>
        <v>-0.15657455079574434</v>
      </c>
      <c r="G64" s="184">
        <v>2.1591062965470549</v>
      </c>
      <c r="H64" s="185">
        <f t="shared" si="4"/>
        <v>0.32352678172225713</v>
      </c>
      <c r="I64" s="184">
        <v>2.0200647249190937</v>
      </c>
      <c r="J64" s="185">
        <f t="shared" si="4"/>
        <v>-0.13904157162796116</v>
      </c>
      <c r="K64" s="184">
        <v>2.0252631578947367</v>
      </c>
      <c r="L64" s="185">
        <f t="shared" si="5"/>
        <v>5.1984329756429304E-3</v>
      </c>
      <c r="M64" s="184"/>
      <c r="N64" s="185" t="s">
        <v>229</v>
      </c>
      <c r="O64" s="185" t="s">
        <v>229</v>
      </c>
    </row>
    <row r="65" spans="1:16" ht="15.75" x14ac:dyDescent="0.25">
      <c r="B65" s="117" t="s">
        <v>30</v>
      </c>
      <c r="C65" s="186">
        <v>2.2224757875987979</v>
      </c>
      <c r="D65" s="187">
        <v>-0.11626151117960148</v>
      </c>
      <c r="E65" s="186">
        <v>2.2143343779806512</v>
      </c>
      <c r="F65" s="187">
        <f t="shared" si="4"/>
        <v>-8.1414096181466888E-3</v>
      </c>
      <c r="G65" s="186">
        <v>2.0525580095051721</v>
      </c>
      <c r="H65" s="187">
        <f t="shared" si="4"/>
        <v>-0.16177636847547916</v>
      </c>
      <c r="I65" s="186">
        <v>2.3243721461187214</v>
      </c>
      <c r="J65" s="187">
        <f t="shared" si="4"/>
        <v>0.27181413661354936</v>
      </c>
      <c r="K65" s="186">
        <v>2.0556463538018521</v>
      </c>
      <c r="L65" s="187">
        <f t="shared" si="5"/>
        <v>-0.26872579231686933</v>
      </c>
      <c r="M65" s="186">
        <v>2.0643975266001893</v>
      </c>
      <c r="N65" s="187">
        <v>-6.795585330929832E-3</v>
      </c>
      <c r="O65" s="187">
        <v>-0.25602500861107824</v>
      </c>
    </row>
    <row r="66" spans="1:16" ht="6" customHeight="1" x14ac:dyDescent="0.25"/>
    <row r="67" spans="1:16" x14ac:dyDescent="0.25">
      <c r="B67" s="105" t="s">
        <v>55</v>
      </c>
      <c r="C67" s="105"/>
      <c r="D67" s="105"/>
      <c r="E67" s="105"/>
      <c r="F67" s="105"/>
      <c r="G67" s="105"/>
      <c r="H67" s="105"/>
      <c r="I67" s="105"/>
      <c r="J67" s="105"/>
      <c r="K67" s="105"/>
      <c r="L67" s="105"/>
      <c r="M67" s="105"/>
      <c r="N67" s="105"/>
      <c r="O67" s="105"/>
    </row>
    <row r="70" spans="1:16" ht="48.75" customHeight="1" thickBot="1" x14ac:dyDescent="0.3">
      <c r="B70" s="270" t="s">
        <v>296</v>
      </c>
      <c r="C70" s="270"/>
      <c r="D70" s="270"/>
      <c r="E70" s="270"/>
      <c r="F70" s="270"/>
      <c r="G70" s="270"/>
      <c r="H70" s="270"/>
      <c r="I70" s="270"/>
      <c r="J70" s="270"/>
      <c r="K70" s="270"/>
      <c r="L70" s="270"/>
      <c r="M70" s="270"/>
      <c r="N70" s="270"/>
      <c r="O70" s="270"/>
      <c r="P70" s="1" t="s">
        <v>101</v>
      </c>
    </row>
    <row r="71" spans="1:16" ht="10.5" customHeight="1" thickBot="1" x14ac:dyDescent="0.3">
      <c r="B71" s="106"/>
      <c r="C71" s="107"/>
      <c r="D71" s="106"/>
      <c r="E71" s="106"/>
      <c r="F71" s="106"/>
      <c r="G71" s="106"/>
      <c r="H71" s="106"/>
      <c r="I71" s="106"/>
      <c r="J71" s="106"/>
      <c r="K71" s="106"/>
      <c r="L71" s="106"/>
      <c r="M71" s="4"/>
      <c r="N71" s="4"/>
      <c r="P71" s="1" t="s">
        <v>102</v>
      </c>
    </row>
    <row r="72" spans="1:16" ht="22.5" thickTop="1" thickBot="1" x14ac:dyDescent="0.3">
      <c r="B72" s="109"/>
      <c r="C72" s="292" t="s">
        <v>103</v>
      </c>
      <c r="D72" s="293"/>
      <c r="E72" s="293"/>
      <c r="F72" s="293"/>
      <c r="G72" s="293"/>
      <c r="H72" s="293"/>
      <c r="I72" s="293"/>
      <c r="J72" s="293"/>
      <c r="K72" s="293"/>
      <c r="L72" s="293"/>
      <c r="M72" s="293"/>
      <c r="N72" s="293"/>
      <c r="O72" s="294"/>
    </row>
    <row r="73" spans="1:16" ht="22.5" thickTop="1" thickBot="1" x14ac:dyDescent="0.3">
      <c r="B73" s="109"/>
      <c r="C73" s="295">
        <f>2019</f>
        <v>2019</v>
      </c>
      <c r="D73" s="296"/>
      <c r="E73" s="297">
        <v>2020</v>
      </c>
      <c r="F73" s="296"/>
      <c r="G73" s="297">
        <v>2021</v>
      </c>
      <c r="H73" s="296"/>
      <c r="I73" s="297">
        <v>2022</v>
      </c>
      <c r="J73" s="296"/>
      <c r="K73" s="297">
        <v>2023</v>
      </c>
      <c r="L73" s="296"/>
      <c r="M73" s="297">
        <v>2024</v>
      </c>
      <c r="N73" s="298"/>
      <c r="O73" s="299"/>
    </row>
    <row r="74" spans="1:16" ht="16.5" thickTop="1" thickBot="1" x14ac:dyDescent="0.3">
      <c r="B74" s="85"/>
      <c r="C74" s="111" t="s">
        <v>69</v>
      </c>
      <c r="D74" s="112" t="str">
        <f>CONCATENATE("dif ",RIGHT(2019,2),"/",RIGHT(2018,2))</f>
        <v>dif 19/18</v>
      </c>
      <c r="E74" s="113" t="s">
        <v>69</v>
      </c>
      <c r="F74" s="112" t="str">
        <f>CONCATENATE("dif ",RIGHT(E73,2),"/",RIGHT(C73,2))</f>
        <v>dif 20/19</v>
      </c>
      <c r="G74" s="113" t="s">
        <v>69</v>
      </c>
      <c r="H74" s="112" t="str">
        <f>CONCATENATE("dif ",RIGHT(G73,2),"/",RIGHT(E73,2))</f>
        <v>dif 21/20</v>
      </c>
      <c r="I74" s="113" t="s">
        <v>69</v>
      </c>
      <c r="J74" s="112" t="str">
        <f>CONCATENATE("dif ",RIGHT(I73,2),"/",RIGHT(G73,2))</f>
        <v>dif 22/21</v>
      </c>
      <c r="K74" s="113" t="s">
        <v>69</v>
      </c>
      <c r="L74" s="112" t="str">
        <f>CONCATENATE("dif ",RIGHT(K73,2),"/",RIGHT(I73,2))</f>
        <v>dif 23/22</v>
      </c>
      <c r="M74" s="113" t="s">
        <v>69</v>
      </c>
      <c r="N74" s="112" t="s">
        <v>323</v>
      </c>
      <c r="O74" s="112" t="s">
        <v>324</v>
      </c>
    </row>
    <row r="75" spans="1:16" x14ac:dyDescent="0.25">
      <c r="A75" s="1">
        <v>1</v>
      </c>
      <c r="B75" s="114" t="s">
        <v>71</v>
      </c>
      <c r="C75" s="184">
        <v>1.7089871611982881</v>
      </c>
      <c r="D75" s="185">
        <v>3.0278475571846819E-2</v>
      </c>
      <c r="E75" s="184">
        <v>1.5348460291734198</v>
      </c>
      <c r="F75" s="185">
        <f t="shared" ref="F75:J77" si="6">IFERROR(E75-C75,"-")</f>
        <v>-0.17414113202486825</v>
      </c>
      <c r="G75" s="184">
        <v>1.946236559139785</v>
      </c>
      <c r="H75" s="185">
        <f t="shared" si="6"/>
        <v>0.41139052996636516</v>
      </c>
      <c r="I75" s="184">
        <v>2.8215258855585832</v>
      </c>
      <c r="J75" s="185">
        <f t="shared" si="6"/>
        <v>0.8752893264187982</v>
      </c>
      <c r="K75" s="184">
        <v>1.5144781144781145</v>
      </c>
      <c r="L75" s="185">
        <f t="shared" ref="L75:L77" si="7">IFERROR(K75-I75,"-")</f>
        <v>-1.3070477710804687</v>
      </c>
      <c r="M75" s="184">
        <v>1.6598360655737705</v>
      </c>
      <c r="N75" s="185">
        <v>0.14535795109565597</v>
      </c>
      <c r="O75" s="185">
        <v>-4.9151095624517582E-2</v>
      </c>
    </row>
    <row r="76" spans="1:16" x14ac:dyDescent="0.25">
      <c r="A76" s="1">
        <v>2</v>
      </c>
      <c r="B76" s="114" t="s">
        <v>73</v>
      </c>
      <c r="C76" s="184">
        <v>1.6092114445219818</v>
      </c>
      <c r="D76" s="185">
        <v>-6.5730370838762875E-2</v>
      </c>
      <c r="E76" s="184">
        <v>1.5209080047789725</v>
      </c>
      <c r="F76" s="185">
        <f t="shared" si="6"/>
        <v>-8.830343974300936E-2</v>
      </c>
      <c r="G76" s="184">
        <v>1.5639913232104121</v>
      </c>
      <c r="H76" s="185">
        <f t="shared" si="6"/>
        <v>4.3083318431439643E-2</v>
      </c>
      <c r="I76" s="184">
        <v>1.6408199643493762</v>
      </c>
      <c r="J76" s="185">
        <f t="shared" si="6"/>
        <v>7.6828641138964038E-2</v>
      </c>
      <c r="K76" s="184">
        <v>1.5296523517382412</v>
      </c>
      <c r="L76" s="185">
        <f t="shared" si="7"/>
        <v>-0.11116761261113495</v>
      </c>
      <c r="M76" s="184">
        <v>3.9650793650793652</v>
      </c>
      <c r="N76" s="185">
        <v>2.435427013341124</v>
      </c>
      <c r="O76" s="185">
        <v>2.3558679205573831</v>
      </c>
    </row>
    <row r="77" spans="1:16" x14ac:dyDescent="0.25">
      <c r="A77" s="1">
        <v>3</v>
      </c>
      <c r="B77" s="114" t="s">
        <v>75</v>
      </c>
      <c r="C77" s="184">
        <v>1.6466380543633763</v>
      </c>
      <c r="D77" s="185">
        <v>-0.1496326638686678</v>
      </c>
      <c r="E77" s="184">
        <v>1.453781512605042</v>
      </c>
      <c r="F77" s="185">
        <f t="shared" si="6"/>
        <v>-0.19285654175833433</v>
      </c>
      <c r="G77" s="184">
        <v>1.814516129032258</v>
      </c>
      <c r="H77" s="185">
        <f t="shared" si="6"/>
        <v>0.36073461642721605</v>
      </c>
      <c r="I77" s="184">
        <v>2.0275761973875182</v>
      </c>
      <c r="J77" s="185">
        <f t="shared" si="6"/>
        <v>0.21306006835526015</v>
      </c>
      <c r="K77" s="184">
        <v>1.7639553429027113</v>
      </c>
      <c r="L77" s="185">
        <f t="shared" si="7"/>
        <v>-0.26362085448480688</v>
      </c>
      <c r="M77" s="184">
        <v>1.6341789052069426</v>
      </c>
      <c r="N77" s="185">
        <v>-0.12977643769576863</v>
      </c>
      <c r="O77" s="185">
        <v>-1.2459149156433647E-2</v>
      </c>
    </row>
    <row r="78" spans="1:16" x14ac:dyDescent="0.25">
      <c r="A78" s="1">
        <v>4</v>
      </c>
      <c r="B78" s="114" t="s">
        <v>77</v>
      </c>
      <c r="C78" s="184">
        <v>2.1154985192497531</v>
      </c>
      <c r="D78" s="185">
        <v>0.43718136714619327</v>
      </c>
      <c r="E78" s="184" t="s">
        <v>229</v>
      </c>
      <c r="F78" s="185" t="str">
        <f>IFERROR(E78-C78,"-")</f>
        <v>-</v>
      </c>
      <c r="G78" s="184">
        <v>1.802</v>
      </c>
      <c r="H78" s="185" t="str">
        <f>IFERROR(G78-E78,"-")</f>
        <v>-</v>
      </c>
      <c r="I78" s="184">
        <v>1.7791455467052861</v>
      </c>
      <c r="J78" s="185">
        <f>IFERROR(I78-G78,"-")</f>
        <v>-2.2854453294713917E-2</v>
      </c>
      <c r="K78" s="184">
        <v>1.6530958439355385</v>
      </c>
      <c r="L78" s="185">
        <f>IFERROR(K78-I78,"-")</f>
        <v>-0.12604970276974758</v>
      </c>
      <c r="M78" s="184">
        <v>1.5410292072322671</v>
      </c>
      <c r="N78" s="185">
        <v>-0.11206663670327144</v>
      </c>
      <c r="O78" s="185">
        <v>-0.57446931201748597</v>
      </c>
    </row>
    <row r="79" spans="1:16" x14ac:dyDescent="0.25">
      <c r="A79" s="1">
        <v>5</v>
      </c>
      <c r="B79" s="114" t="s">
        <v>79</v>
      </c>
      <c r="C79" s="184">
        <v>1.947328818660647</v>
      </c>
      <c r="D79" s="185">
        <v>9.0297568660647087E-2</v>
      </c>
      <c r="E79" s="184" t="s">
        <v>229</v>
      </c>
      <c r="F79" s="185" t="str">
        <f t="shared" ref="F79:J87" si="8">IFERROR(E79-C79,"-")</f>
        <v>-</v>
      </c>
      <c r="G79" s="184">
        <v>1.8181818181818181</v>
      </c>
      <c r="H79" s="185" t="str">
        <f t="shared" si="8"/>
        <v>-</v>
      </c>
      <c r="I79" s="184">
        <v>1.6295938104448742</v>
      </c>
      <c r="J79" s="185">
        <f t="shared" si="8"/>
        <v>-0.18858800773694395</v>
      </c>
      <c r="K79" s="184">
        <v>1.5585851142225498</v>
      </c>
      <c r="L79" s="185">
        <f t="shared" ref="L79:L87" si="9">IFERROR(K79-I79,"-")</f>
        <v>-7.1008696222324419E-2</v>
      </c>
      <c r="M79" s="184">
        <v>1.5757152826238661</v>
      </c>
      <c r="N79" s="185">
        <v>1.7130168401316315E-2</v>
      </c>
      <c r="O79" s="185">
        <v>-0.37161353603678093</v>
      </c>
    </row>
    <row r="80" spans="1:16" x14ac:dyDescent="0.25">
      <c r="A80" s="1">
        <v>6</v>
      </c>
      <c r="B80" s="114" t="s">
        <v>81</v>
      </c>
      <c r="C80" s="184">
        <v>1.8690958164642375</v>
      </c>
      <c r="D80" s="185">
        <v>0.23199904227068902</v>
      </c>
      <c r="E80" s="184" t="s">
        <v>229</v>
      </c>
      <c r="F80" s="185" t="str">
        <f t="shared" si="8"/>
        <v>-</v>
      </c>
      <c r="G80" s="184">
        <v>1.61</v>
      </c>
      <c r="H80" s="185" t="str">
        <f t="shared" si="8"/>
        <v>-</v>
      </c>
      <c r="I80" s="184">
        <v>2.284170718530524</v>
      </c>
      <c r="J80" s="185">
        <f t="shared" si="8"/>
        <v>0.6741707185305239</v>
      </c>
      <c r="K80" s="184">
        <v>1.4254278728606358</v>
      </c>
      <c r="L80" s="185">
        <f t="shared" si="9"/>
        <v>-0.85874284566988823</v>
      </c>
      <c r="M80" s="184">
        <v>1.6256983240223464</v>
      </c>
      <c r="N80" s="185">
        <v>0.20027045116171061</v>
      </c>
      <c r="O80" s="185">
        <v>-0.24339749244189113</v>
      </c>
    </row>
    <row r="81" spans="1:16" x14ac:dyDescent="0.25">
      <c r="A81" s="1">
        <v>7</v>
      </c>
      <c r="B81" s="114" t="s">
        <v>83</v>
      </c>
      <c r="C81" s="184">
        <v>1.5887323943661973</v>
      </c>
      <c r="D81" s="185">
        <v>-0.42231411726170975</v>
      </c>
      <c r="E81" s="184" t="s">
        <v>229</v>
      </c>
      <c r="F81" s="185" t="str">
        <f t="shared" si="8"/>
        <v>-</v>
      </c>
      <c r="G81" s="184">
        <v>1.8904761904761904</v>
      </c>
      <c r="H81" s="185" t="str">
        <f t="shared" si="8"/>
        <v>-</v>
      </c>
      <c r="I81" s="184">
        <v>1.6701816051552432</v>
      </c>
      <c r="J81" s="185">
        <f t="shared" si="8"/>
        <v>-0.22029458532094726</v>
      </c>
      <c r="K81" s="184">
        <v>1.6567411083540116</v>
      </c>
      <c r="L81" s="185">
        <f t="shared" si="9"/>
        <v>-1.3440496801231605E-2</v>
      </c>
      <c r="M81" s="184">
        <v>1.6503712871287128</v>
      </c>
      <c r="N81" s="185">
        <v>-6.3698212252987219E-3</v>
      </c>
      <c r="O81" s="185">
        <v>6.1638892762515551E-2</v>
      </c>
    </row>
    <row r="82" spans="1:16" x14ac:dyDescent="0.25">
      <c r="A82" s="1">
        <v>8</v>
      </c>
      <c r="B82" s="114" t="s">
        <v>85</v>
      </c>
      <c r="C82" s="184">
        <v>1.7354179194227299</v>
      </c>
      <c r="D82" s="185">
        <v>-0.60436108610213202</v>
      </c>
      <c r="E82" s="184">
        <v>2.2756916996047432</v>
      </c>
      <c r="F82" s="185">
        <f t="shared" si="8"/>
        <v>0.54027378018201322</v>
      </c>
      <c r="G82" s="184">
        <v>2.1489698890649764</v>
      </c>
      <c r="H82" s="185">
        <f t="shared" si="8"/>
        <v>-0.12672181053976672</v>
      </c>
      <c r="I82" s="184">
        <v>2.0297914597815292</v>
      </c>
      <c r="J82" s="185">
        <f t="shared" si="8"/>
        <v>-0.11917842928344724</v>
      </c>
      <c r="K82" s="184">
        <v>1.88047255038221</v>
      </c>
      <c r="L82" s="185">
        <f t="shared" si="9"/>
        <v>-0.14931890939931924</v>
      </c>
      <c r="M82" s="184">
        <v>6.2045454545454541</v>
      </c>
      <c r="N82" s="185">
        <v>4.324072904163244</v>
      </c>
      <c r="O82" s="185">
        <v>4.4691275351227242</v>
      </c>
    </row>
    <row r="83" spans="1:16" x14ac:dyDescent="0.25">
      <c r="A83" s="1">
        <v>9</v>
      </c>
      <c r="B83" s="114" t="s">
        <v>87</v>
      </c>
      <c r="C83" s="184">
        <v>1.6332155477031802</v>
      </c>
      <c r="D83" s="185">
        <v>-0.74288631321748588</v>
      </c>
      <c r="E83" s="184">
        <v>1.9263622974963182</v>
      </c>
      <c r="F83" s="185">
        <f t="shared" si="8"/>
        <v>0.29314674979313793</v>
      </c>
      <c r="G83" s="184">
        <v>2.0593333333333335</v>
      </c>
      <c r="H83" s="185">
        <f t="shared" si="8"/>
        <v>0.13297103583701531</v>
      </c>
      <c r="I83" s="184">
        <v>1.6768038163387</v>
      </c>
      <c r="J83" s="185">
        <f t="shared" si="8"/>
        <v>-0.38252951699463345</v>
      </c>
      <c r="K83" s="184">
        <v>1.6394849785407726</v>
      </c>
      <c r="L83" s="185">
        <f t="shared" si="9"/>
        <v>-3.731883779792744E-2</v>
      </c>
      <c r="M83" s="184">
        <v>1.5297823596792668</v>
      </c>
      <c r="N83" s="185">
        <v>-0.10970261886150579</v>
      </c>
      <c r="O83" s="185">
        <v>-0.10343318802391344</v>
      </c>
    </row>
    <row r="84" spans="1:16" x14ac:dyDescent="0.25">
      <c r="A84" s="1">
        <v>10</v>
      </c>
      <c r="B84" s="114" t="s">
        <v>89</v>
      </c>
      <c r="C84" s="184">
        <v>1.8344331133773246</v>
      </c>
      <c r="D84" s="185">
        <v>0.17334220428641545</v>
      </c>
      <c r="E84" s="184">
        <v>1.5635062611806798</v>
      </c>
      <c r="F84" s="185">
        <f t="shared" si="8"/>
        <v>-0.27092685219664481</v>
      </c>
      <c r="G84" s="184">
        <v>1.8203842940685047</v>
      </c>
      <c r="H84" s="185">
        <f t="shared" si="8"/>
        <v>0.25687803288782485</v>
      </c>
      <c r="I84" s="184">
        <v>1.8330078125</v>
      </c>
      <c r="J84" s="185">
        <f t="shared" si="8"/>
        <v>1.262351843149534E-2</v>
      </c>
      <c r="K84" s="184">
        <v>1.5839636913767019</v>
      </c>
      <c r="L84" s="185">
        <f t="shared" si="9"/>
        <v>-0.2490441211232981</v>
      </c>
      <c r="M84" s="184"/>
      <c r="N84" s="185" t="s">
        <v>229</v>
      </c>
      <c r="O84" s="185" t="s">
        <v>229</v>
      </c>
    </row>
    <row r="85" spans="1:16" x14ac:dyDescent="0.25">
      <c r="A85" s="1">
        <v>11</v>
      </c>
      <c r="B85" s="114" t="s">
        <v>91</v>
      </c>
      <c r="C85" s="184">
        <v>1.655</v>
      </c>
      <c r="D85" s="185">
        <v>0.16590342679127734</v>
      </c>
      <c r="E85" s="184">
        <v>1.7890625</v>
      </c>
      <c r="F85" s="185">
        <f t="shared" si="8"/>
        <v>0.13406249999999997</v>
      </c>
      <c r="G85" s="184">
        <v>1.7678843226788432</v>
      </c>
      <c r="H85" s="185">
        <f t="shared" si="8"/>
        <v>-2.1178177321156788E-2</v>
      </c>
      <c r="I85" s="184">
        <v>1.6467948717948717</v>
      </c>
      <c r="J85" s="185">
        <f t="shared" si="8"/>
        <v>-0.12108945088397149</v>
      </c>
      <c r="K85" s="184">
        <v>1.6020864381520119</v>
      </c>
      <c r="L85" s="185">
        <f t="shared" si="9"/>
        <v>-4.4708433642859813E-2</v>
      </c>
      <c r="M85" s="184"/>
      <c r="N85" s="185" t="s">
        <v>229</v>
      </c>
      <c r="O85" s="185" t="s">
        <v>229</v>
      </c>
    </row>
    <row r="86" spans="1:16" x14ac:dyDescent="0.25">
      <c r="A86" s="1">
        <v>12</v>
      </c>
      <c r="B86" s="114" t="s">
        <v>93</v>
      </c>
      <c r="C86" s="184">
        <v>1.5966614906832297</v>
      </c>
      <c r="D86" s="185">
        <v>-7.2745664739884308E-2</v>
      </c>
      <c r="E86" s="184">
        <v>2.3346354166666665</v>
      </c>
      <c r="F86" s="185">
        <f t="shared" si="8"/>
        <v>0.73797392598343681</v>
      </c>
      <c r="G86" s="184">
        <v>1.6856368563685638</v>
      </c>
      <c r="H86" s="185">
        <f t="shared" si="8"/>
        <v>-0.64899856029810277</v>
      </c>
      <c r="I86" s="184">
        <v>1.653252480705623</v>
      </c>
      <c r="J86" s="185">
        <f t="shared" si="8"/>
        <v>-3.2384375662940723E-2</v>
      </c>
      <c r="K86" s="184">
        <v>1.6542783059636992</v>
      </c>
      <c r="L86" s="185">
        <f t="shared" si="9"/>
        <v>1.0258252580761518E-3</v>
      </c>
      <c r="M86" s="184"/>
      <c r="N86" s="185" t="s">
        <v>229</v>
      </c>
      <c r="O86" s="185" t="s">
        <v>229</v>
      </c>
    </row>
    <row r="87" spans="1:16" ht="15.75" x14ac:dyDescent="0.25">
      <c r="B87" s="117" t="s">
        <v>30</v>
      </c>
      <c r="C87" s="186">
        <v>1.7231243147287632</v>
      </c>
      <c r="D87" s="187">
        <v>-8.0502504646087658E-2</v>
      </c>
      <c r="E87" s="186">
        <v>1.7905343159834177</v>
      </c>
      <c r="F87" s="187">
        <f t="shared" si="8"/>
        <v>6.7410001254654572E-2</v>
      </c>
      <c r="G87" s="186">
        <v>1.8213798745568586</v>
      </c>
      <c r="H87" s="187">
        <f t="shared" si="8"/>
        <v>3.0845558573440846E-2</v>
      </c>
      <c r="I87" s="186">
        <v>1.8557308613174535</v>
      </c>
      <c r="J87" s="187">
        <f t="shared" si="8"/>
        <v>3.4350986760594893E-2</v>
      </c>
      <c r="K87" s="186">
        <v>1.6305721889554226</v>
      </c>
      <c r="L87" s="187">
        <f t="shared" si="9"/>
        <v>-0.22515867236203091</v>
      </c>
      <c r="M87" s="186">
        <v>1.7859058766154596</v>
      </c>
      <c r="N87" s="187">
        <v>0.1529745708996757</v>
      </c>
      <c r="O87" s="187">
        <v>4.1366759651865426E-2</v>
      </c>
    </row>
    <row r="88" spans="1:16" ht="6" customHeight="1" x14ac:dyDescent="0.25"/>
    <row r="89" spans="1:16" x14ac:dyDescent="0.25">
      <c r="B89" s="105" t="s">
        <v>55</v>
      </c>
      <c r="C89" s="105"/>
      <c r="D89" s="105"/>
      <c r="E89" s="105"/>
      <c r="F89" s="105"/>
      <c r="G89" s="105"/>
      <c r="H89" s="105"/>
      <c r="I89" s="105"/>
      <c r="J89" s="105"/>
      <c r="K89" s="105"/>
      <c r="L89" s="105"/>
      <c r="M89" s="105"/>
      <c r="N89" s="105"/>
      <c r="O89" s="105"/>
    </row>
    <row r="92" spans="1:16" ht="48.75" customHeight="1" thickBot="1" x14ac:dyDescent="0.3">
      <c r="B92" s="270" t="s">
        <v>297</v>
      </c>
      <c r="C92" s="270"/>
      <c r="D92" s="270"/>
      <c r="E92" s="270"/>
      <c r="F92" s="270"/>
      <c r="G92" s="270"/>
      <c r="H92" s="270"/>
      <c r="I92" s="270"/>
      <c r="J92" s="270"/>
      <c r="K92" s="270"/>
      <c r="L92" s="270"/>
      <c r="M92" s="270"/>
      <c r="N92" s="270"/>
      <c r="O92" s="270"/>
      <c r="P92" s="1" t="s">
        <v>104</v>
      </c>
    </row>
    <row r="93" spans="1:16" ht="10.5" customHeight="1" thickBot="1" x14ac:dyDescent="0.3">
      <c r="B93" s="106"/>
      <c r="C93" s="107"/>
      <c r="D93" s="106"/>
      <c r="E93" s="106"/>
      <c r="F93" s="106"/>
      <c r="G93" s="106"/>
      <c r="H93" s="106"/>
      <c r="I93" s="106"/>
      <c r="J93" s="106"/>
      <c r="K93" s="106"/>
      <c r="L93" s="106"/>
      <c r="M93" s="4"/>
      <c r="N93" s="4"/>
      <c r="P93" s="1" t="s">
        <v>105</v>
      </c>
    </row>
    <row r="94" spans="1:16" ht="22.5" thickTop="1" thickBot="1" x14ac:dyDescent="0.3">
      <c r="B94" s="121" t="s">
        <v>106</v>
      </c>
      <c r="C94" s="292" t="s">
        <v>107</v>
      </c>
      <c r="D94" s="293"/>
      <c r="E94" s="293"/>
      <c r="F94" s="293"/>
      <c r="G94" s="293"/>
      <c r="H94" s="293"/>
      <c r="I94" s="293"/>
      <c r="J94" s="293"/>
      <c r="K94" s="293"/>
      <c r="L94" s="293"/>
      <c r="M94" s="293"/>
      <c r="N94" s="293"/>
      <c r="O94" s="294"/>
    </row>
    <row r="95" spans="1:16" ht="22.5" thickTop="1" thickBot="1" x14ac:dyDescent="0.3">
      <c r="B95" s="109"/>
      <c r="C95" s="295">
        <f>2019</f>
        <v>2019</v>
      </c>
      <c r="D95" s="296"/>
      <c r="E95" s="297">
        <v>2020</v>
      </c>
      <c r="F95" s="296"/>
      <c r="G95" s="297">
        <v>2021</v>
      </c>
      <c r="H95" s="296"/>
      <c r="I95" s="297">
        <v>2022</v>
      </c>
      <c r="J95" s="296"/>
      <c r="K95" s="297">
        <v>2023</v>
      </c>
      <c r="L95" s="296"/>
      <c r="M95" s="297">
        <v>2024</v>
      </c>
      <c r="N95" s="298"/>
      <c r="O95" s="299"/>
    </row>
    <row r="96" spans="1:16" ht="16.5" thickTop="1" thickBot="1" x14ac:dyDescent="0.3">
      <c r="B96" s="85"/>
      <c r="C96" s="111" t="s">
        <v>69</v>
      </c>
      <c r="D96" s="112" t="str">
        <f>CONCATENATE("dif ",RIGHT(2019,2),"/",RIGHT(2018,2))</f>
        <v>dif 19/18</v>
      </c>
      <c r="E96" s="113" t="s">
        <v>69</v>
      </c>
      <c r="F96" s="112" t="str">
        <f>CONCATENATE("dif ",RIGHT(E95,2),"/",RIGHT(C95,2))</f>
        <v>dif 20/19</v>
      </c>
      <c r="G96" s="113" t="s">
        <v>69</v>
      </c>
      <c r="H96" s="112" t="str">
        <f>CONCATENATE("dif ",RIGHT(G95,2),"/",RIGHT(E95,2))</f>
        <v>dif 21/20</v>
      </c>
      <c r="I96" s="113" t="s">
        <v>69</v>
      </c>
      <c r="J96" s="112" t="str">
        <f>CONCATENATE("dif ",RIGHT(I95,2),"/",RIGHT(G95,2))</f>
        <v>dif 22/21</v>
      </c>
      <c r="K96" s="113" t="s">
        <v>69</v>
      </c>
      <c r="L96" s="112" t="str">
        <f>CONCATENATE("dif ",RIGHT(K95,2),"/",RIGHT(I95,2))</f>
        <v>dif 23/22</v>
      </c>
      <c r="M96" s="113" t="s">
        <v>69</v>
      </c>
      <c r="N96" s="112" t="s">
        <v>323</v>
      </c>
      <c r="O96" s="112" t="s">
        <v>324</v>
      </c>
    </row>
    <row r="97" spans="2:15" x14ac:dyDescent="0.25">
      <c r="B97" s="114" t="s">
        <v>71</v>
      </c>
      <c r="C97" s="184">
        <v>3.5768274490303331</v>
      </c>
      <c r="D97" s="185">
        <v>1.6640503375224824E-3</v>
      </c>
      <c r="E97" s="184">
        <v>3.6379794200187092</v>
      </c>
      <c r="F97" s="185">
        <f t="shared" ref="F97:J99" si="10">IFERROR(E97-C97,"-")</f>
        <v>6.1151970988376103E-2</v>
      </c>
      <c r="G97" s="184">
        <v>2.9219858156028371</v>
      </c>
      <c r="H97" s="185">
        <f t="shared" si="10"/>
        <v>-0.71599360441587212</v>
      </c>
      <c r="I97" s="184">
        <v>3.7166476624857467</v>
      </c>
      <c r="J97" s="185">
        <f t="shared" si="10"/>
        <v>0.79466184688290964</v>
      </c>
      <c r="K97" s="184">
        <v>3.7108177172061327</v>
      </c>
      <c r="L97" s="185">
        <f t="shared" ref="L97:L99" si="11">IFERROR(K97-I97,"-")</f>
        <v>-5.8299452796140017E-3</v>
      </c>
      <c r="M97" s="184">
        <v>3.5365131578947366</v>
      </c>
      <c r="N97" s="185">
        <v>-0.1743045593113961</v>
      </c>
      <c r="O97" s="185">
        <v>-4.0314291135596481E-2</v>
      </c>
    </row>
    <row r="98" spans="2:15" x14ac:dyDescent="0.25">
      <c r="B98" s="114" t="s">
        <v>73</v>
      </c>
      <c r="C98" s="184">
        <v>3.9110127826941987</v>
      </c>
      <c r="D98" s="185">
        <v>0.29079549407823269</v>
      </c>
      <c r="E98" s="184">
        <v>3.9038294168842471</v>
      </c>
      <c r="F98" s="185">
        <f t="shared" si="10"/>
        <v>-7.1833658099516029E-3</v>
      </c>
      <c r="G98" s="184">
        <v>3.0238907849829353</v>
      </c>
      <c r="H98" s="185">
        <f t="shared" si="10"/>
        <v>-0.87993863190131183</v>
      </c>
      <c r="I98" s="184">
        <v>3.5904365904365902</v>
      </c>
      <c r="J98" s="185">
        <f t="shared" si="10"/>
        <v>0.56654580545365496</v>
      </c>
      <c r="K98" s="184">
        <v>3.9253112033195019</v>
      </c>
      <c r="L98" s="185">
        <f t="shared" si="11"/>
        <v>0.33487461288291165</v>
      </c>
      <c r="M98" s="184">
        <v>3.8524279210925645</v>
      </c>
      <c r="N98" s="185">
        <v>-7.2883282226937407E-2</v>
      </c>
      <c r="O98" s="185">
        <v>-5.8584861601634231E-2</v>
      </c>
    </row>
    <row r="99" spans="2:15" x14ac:dyDescent="0.25">
      <c r="B99" s="114" t="s">
        <v>75</v>
      </c>
      <c r="C99" s="184">
        <v>3.8334100322135298</v>
      </c>
      <c r="D99" s="185">
        <v>-9.6940521292005144E-2</v>
      </c>
      <c r="E99" s="184">
        <v>4.0879629629629628</v>
      </c>
      <c r="F99" s="185">
        <f t="shared" si="10"/>
        <v>0.25455293074943297</v>
      </c>
      <c r="G99" s="184">
        <v>2.6923913043478263</v>
      </c>
      <c r="H99" s="185">
        <f t="shared" si="10"/>
        <v>-1.3955716586151365</v>
      </c>
      <c r="I99" s="184">
        <v>3.5244789142026174</v>
      </c>
      <c r="J99" s="185">
        <f t="shared" si="10"/>
        <v>0.83208760985479113</v>
      </c>
      <c r="K99" s="184">
        <v>4.0907059874888292</v>
      </c>
      <c r="L99" s="185">
        <f t="shared" si="11"/>
        <v>0.5662270732862118</v>
      </c>
      <c r="M99" s="184">
        <v>3.9743690851735014</v>
      </c>
      <c r="N99" s="185">
        <v>-0.11633690231532778</v>
      </c>
      <c r="O99" s="185">
        <v>0.14095905295997158</v>
      </c>
    </row>
    <row r="100" spans="2:15" x14ac:dyDescent="0.25">
      <c r="B100" s="114" t="s">
        <v>77</v>
      </c>
      <c r="C100" s="184">
        <v>3.6338199513381997</v>
      </c>
      <c r="D100" s="185">
        <v>0.15505547257372099</v>
      </c>
      <c r="E100" s="184" t="s">
        <v>229</v>
      </c>
      <c r="F100" s="185" t="str">
        <f>IFERROR(E100-C100,"-")</f>
        <v>-</v>
      </c>
      <c r="G100" s="184">
        <v>2.7583643122676582</v>
      </c>
      <c r="H100" s="185" t="str">
        <f>IFERROR(G100-E100,"-")</f>
        <v>-</v>
      </c>
      <c r="I100" s="184">
        <v>4.3264177040110647</v>
      </c>
      <c r="J100" s="185">
        <f>IFERROR(I100-G100,"-")</f>
        <v>1.5680533917434065</v>
      </c>
      <c r="K100" s="184">
        <v>3.9248029108550635</v>
      </c>
      <c r="L100" s="185">
        <f>IFERROR(K100-I100,"-")</f>
        <v>-0.40161479315600124</v>
      </c>
      <c r="M100" s="184">
        <v>4.209223847019123</v>
      </c>
      <c r="N100" s="185">
        <v>0.2844209361640595</v>
      </c>
      <c r="O100" s="185">
        <v>0.57540389568092332</v>
      </c>
    </row>
    <row r="101" spans="2:15" x14ac:dyDescent="0.25">
      <c r="B101" s="114" t="s">
        <v>79</v>
      </c>
      <c r="C101" s="184">
        <v>3.8334794040315514</v>
      </c>
      <c r="D101" s="185">
        <v>0.41533624315274187</v>
      </c>
      <c r="E101" s="184" t="s">
        <v>229</v>
      </c>
      <c r="F101" s="185" t="str">
        <f t="shared" ref="F101:J109" si="12">IFERROR(E101-C101,"-")</f>
        <v>-</v>
      </c>
      <c r="G101" s="184">
        <v>2.6357758620689653</v>
      </c>
      <c r="H101" s="185" t="str">
        <f t="shared" si="12"/>
        <v>-</v>
      </c>
      <c r="I101" s="184">
        <v>4.19207579672696</v>
      </c>
      <c r="J101" s="185">
        <f t="shared" si="12"/>
        <v>1.5562999346579947</v>
      </c>
      <c r="K101" s="184">
        <v>3.8344733242134064</v>
      </c>
      <c r="L101" s="185">
        <f t="shared" ref="L101:L109" si="13">IFERROR(K101-I101,"-")</f>
        <v>-0.35760247251355359</v>
      </c>
      <c r="M101" s="184">
        <v>4.2610619469026547</v>
      </c>
      <c r="N101" s="185">
        <v>0.42658862268924835</v>
      </c>
      <c r="O101" s="185">
        <v>0.42758254287110331</v>
      </c>
    </row>
    <row r="102" spans="2:15" x14ac:dyDescent="0.25">
      <c r="B102" s="114" t="s">
        <v>81</v>
      </c>
      <c r="C102" s="184">
        <v>2.5096446700507613</v>
      </c>
      <c r="D102" s="185">
        <v>-0.72602411975815606</v>
      </c>
      <c r="E102" s="184" t="s">
        <v>229</v>
      </c>
      <c r="F102" s="185" t="str">
        <f t="shared" si="12"/>
        <v>-</v>
      </c>
      <c r="G102" s="184">
        <v>3.8652849740932642</v>
      </c>
      <c r="H102" s="185" t="str">
        <f t="shared" si="12"/>
        <v>-</v>
      </c>
      <c r="I102" s="184">
        <v>3.5351063829787233</v>
      </c>
      <c r="J102" s="185">
        <f t="shared" si="12"/>
        <v>-0.33017859111454095</v>
      </c>
      <c r="K102" s="184">
        <v>4.2664437012263097</v>
      </c>
      <c r="L102" s="185">
        <f t="shared" si="13"/>
        <v>0.73133731824758641</v>
      </c>
      <c r="M102" s="184">
        <v>4.1506276150627617</v>
      </c>
      <c r="N102" s="185">
        <v>-0.11581608616354799</v>
      </c>
      <c r="O102" s="185">
        <v>1.6409829450120004</v>
      </c>
    </row>
    <row r="103" spans="2:15" x14ac:dyDescent="0.25">
      <c r="B103" s="114" t="s">
        <v>83</v>
      </c>
      <c r="C103" s="184">
        <v>2.8391608391608392</v>
      </c>
      <c r="D103" s="185">
        <v>0.39088497709187386</v>
      </c>
      <c r="E103" s="184" t="s">
        <v>229</v>
      </c>
      <c r="F103" s="185" t="str">
        <f t="shared" si="12"/>
        <v>-</v>
      </c>
      <c r="G103" s="184">
        <v>3.1094527363184081</v>
      </c>
      <c r="H103" s="185" t="str">
        <f t="shared" si="12"/>
        <v>-</v>
      </c>
      <c r="I103" s="184">
        <v>4.0482051282051286</v>
      </c>
      <c r="J103" s="185">
        <f t="shared" si="12"/>
        <v>0.93875239188672044</v>
      </c>
      <c r="K103" s="184">
        <v>2.8474870017331022</v>
      </c>
      <c r="L103" s="185">
        <f t="shared" si="13"/>
        <v>-1.2007181264720264</v>
      </c>
      <c r="M103" s="184">
        <v>2.9659685863874348</v>
      </c>
      <c r="N103" s="185">
        <v>0.11848158465433256</v>
      </c>
      <c r="O103" s="185">
        <v>0.1268077472265956</v>
      </c>
    </row>
    <row r="104" spans="2:15" x14ac:dyDescent="0.25">
      <c r="B104" s="114" t="s">
        <v>85</v>
      </c>
      <c r="C104" s="184">
        <v>2.5034843205574915</v>
      </c>
      <c r="D104" s="185">
        <v>-0.54239503373307763</v>
      </c>
      <c r="E104" s="184">
        <v>2.9937694704049846</v>
      </c>
      <c r="F104" s="185">
        <f t="shared" si="12"/>
        <v>0.49028514984749316</v>
      </c>
      <c r="G104" s="184">
        <v>3.701880035810206</v>
      </c>
      <c r="H104" s="185">
        <f t="shared" si="12"/>
        <v>0.70811056540522133</v>
      </c>
      <c r="I104" s="184">
        <v>3.1591928251121075</v>
      </c>
      <c r="J104" s="185">
        <f t="shared" si="12"/>
        <v>-0.54268721069809844</v>
      </c>
      <c r="K104" s="184">
        <v>3.7085624509033779</v>
      </c>
      <c r="L104" s="185">
        <f t="shared" si="13"/>
        <v>0.54936962579127036</v>
      </c>
      <c r="M104" s="184">
        <v>3.8645215918712954</v>
      </c>
      <c r="N104" s="185">
        <v>0.15595914096791752</v>
      </c>
      <c r="O104" s="185">
        <v>1.3610372713138039</v>
      </c>
    </row>
    <row r="105" spans="2:15" x14ac:dyDescent="0.25">
      <c r="B105" s="114" t="s">
        <v>87</v>
      </c>
      <c r="C105" s="184">
        <v>2.722762645914397</v>
      </c>
      <c r="D105" s="185">
        <v>-1.6176628860004962</v>
      </c>
      <c r="E105" s="184">
        <v>2.1490683229813663</v>
      </c>
      <c r="F105" s="185">
        <f t="shared" si="12"/>
        <v>-0.57369432293303069</v>
      </c>
      <c r="G105" s="184">
        <v>3.7703703703703701</v>
      </c>
      <c r="H105" s="185">
        <f t="shared" si="12"/>
        <v>1.6213020473890039</v>
      </c>
      <c r="I105" s="184">
        <v>3.9607109448082318</v>
      </c>
      <c r="J105" s="185">
        <f t="shared" si="12"/>
        <v>0.19034057443786168</v>
      </c>
      <c r="K105" s="184">
        <v>3.6751536435469712</v>
      </c>
      <c r="L105" s="185">
        <f t="shared" si="13"/>
        <v>-0.28555730126126067</v>
      </c>
      <c r="M105" s="184">
        <v>3.9577889447236183</v>
      </c>
      <c r="N105" s="185">
        <v>0.28263530117664715</v>
      </c>
      <c r="O105" s="185">
        <v>1.2350262988092213</v>
      </c>
    </row>
    <row r="106" spans="2:15" x14ac:dyDescent="0.25">
      <c r="B106" s="114" t="s">
        <v>89</v>
      </c>
      <c r="C106" s="184">
        <v>3.0566037735849059</v>
      </c>
      <c r="D106" s="185">
        <v>-9.4173434228128627E-4</v>
      </c>
      <c r="E106" s="184">
        <v>1.9975786924939467</v>
      </c>
      <c r="F106" s="185">
        <f t="shared" si="12"/>
        <v>-1.0590250810909592</v>
      </c>
      <c r="G106" s="184">
        <v>4.9449321628092582</v>
      </c>
      <c r="H106" s="185">
        <f t="shared" si="12"/>
        <v>2.9473534703153117</v>
      </c>
      <c r="I106" s="184">
        <v>4.0375741595253789</v>
      </c>
      <c r="J106" s="185">
        <f t="shared" si="12"/>
        <v>-0.90735800328387928</v>
      </c>
      <c r="K106" s="184">
        <v>3.5069008782936009</v>
      </c>
      <c r="L106" s="185">
        <f t="shared" si="13"/>
        <v>-0.53067328123177804</v>
      </c>
      <c r="M106" s="184"/>
      <c r="N106" s="185" t="s">
        <v>229</v>
      </c>
      <c r="O106" s="185" t="s">
        <v>229</v>
      </c>
    </row>
    <row r="107" spans="2:15" x14ac:dyDescent="0.25">
      <c r="B107" s="114" t="s">
        <v>91</v>
      </c>
      <c r="C107" s="184">
        <v>3.3241106719367588</v>
      </c>
      <c r="D107" s="185">
        <v>-0.26323872565360285</v>
      </c>
      <c r="E107" s="184">
        <v>2.193293885601578</v>
      </c>
      <c r="F107" s="185">
        <f t="shared" si="12"/>
        <v>-1.1308167863351808</v>
      </c>
      <c r="G107" s="184">
        <v>4.0615735461801599</v>
      </c>
      <c r="H107" s="185">
        <f t="shared" si="12"/>
        <v>1.8682796605785819</v>
      </c>
      <c r="I107" s="184">
        <v>4.2419738406658736</v>
      </c>
      <c r="J107" s="185">
        <f t="shared" si="12"/>
        <v>0.18040029448571371</v>
      </c>
      <c r="K107" s="184">
        <v>3.4946193702670385</v>
      </c>
      <c r="L107" s="185">
        <f t="shared" si="13"/>
        <v>-0.74735447039883507</v>
      </c>
      <c r="M107" s="184"/>
      <c r="N107" s="185" t="s">
        <v>229</v>
      </c>
      <c r="O107" s="185" t="s">
        <v>229</v>
      </c>
    </row>
    <row r="108" spans="2:15" x14ac:dyDescent="0.25">
      <c r="B108" s="114" t="s">
        <v>93</v>
      </c>
      <c r="C108" s="184">
        <v>3.4175517048630519</v>
      </c>
      <c r="D108" s="185">
        <v>0.27187862793997519</v>
      </c>
      <c r="E108" s="184">
        <v>2.4045801526717558</v>
      </c>
      <c r="F108" s="185">
        <f t="shared" si="12"/>
        <v>-1.0129715521912961</v>
      </c>
      <c r="G108" s="184">
        <v>3.4735849056603771</v>
      </c>
      <c r="H108" s="185">
        <f t="shared" si="12"/>
        <v>1.0690047529886213</v>
      </c>
      <c r="I108" s="184">
        <v>3.3171001660210293</v>
      </c>
      <c r="J108" s="185">
        <f t="shared" si="12"/>
        <v>-0.15648473963934784</v>
      </c>
      <c r="K108" s="184">
        <v>3.5267099350973541</v>
      </c>
      <c r="L108" s="185">
        <f t="shared" si="13"/>
        <v>0.20960976907632478</v>
      </c>
      <c r="M108" s="184"/>
      <c r="N108" s="185" t="s">
        <v>229</v>
      </c>
      <c r="O108" s="185" t="s">
        <v>229</v>
      </c>
    </row>
    <row r="109" spans="2:15" ht="15.75" x14ac:dyDescent="0.25">
      <c r="B109" s="117" t="s">
        <v>30</v>
      </c>
      <c r="C109" s="186">
        <v>3.3671142369991474</v>
      </c>
      <c r="D109" s="187">
        <v>-7.2745689919244683E-2</v>
      </c>
      <c r="E109" s="186">
        <v>3.3236155159795073</v>
      </c>
      <c r="F109" s="187">
        <f t="shared" si="12"/>
        <v>-4.349872101964003E-2</v>
      </c>
      <c r="G109" s="186">
        <v>3.5296277322404372</v>
      </c>
      <c r="H109" s="187">
        <f t="shared" si="12"/>
        <v>0.20601221626092991</v>
      </c>
      <c r="I109" s="186">
        <v>3.7794749943426114</v>
      </c>
      <c r="J109" s="187">
        <f t="shared" si="12"/>
        <v>0.24984726210217412</v>
      </c>
      <c r="K109" s="186">
        <v>3.714313677514069</v>
      </c>
      <c r="L109" s="187">
        <f t="shared" si="13"/>
        <v>-6.5161316828542315E-2</v>
      </c>
      <c r="M109" s="186">
        <v>3.8476702508960572</v>
      </c>
      <c r="N109" s="187">
        <v>4.5590552382553273E-2</v>
      </c>
      <c r="O109" s="187">
        <v>0.44372038382427581</v>
      </c>
    </row>
    <row r="110" spans="2:15" ht="6" customHeight="1" x14ac:dyDescent="0.25"/>
    <row r="111" spans="2:15" x14ac:dyDescent="0.25">
      <c r="B111" s="105" t="s">
        <v>55</v>
      </c>
      <c r="C111" s="105"/>
      <c r="D111" s="105"/>
      <c r="E111" s="105"/>
      <c r="F111" s="105"/>
      <c r="G111" s="105"/>
      <c r="H111" s="105"/>
      <c r="I111" s="105"/>
      <c r="J111" s="105"/>
      <c r="K111" s="105"/>
      <c r="L111" s="105"/>
      <c r="M111" s="105"/>
      <c r="N111" s="105"/>
      <c r="O111" s="105"/>
    </row>
    <row r="114" spans="1:16" ht="48.75" customHeight="1" thickBot="1" x14ac:dyDescent="0.3">
      <c r="B114" s="270" t="s">
        <v>298</v>
      </c>
      <c r="C114" s="270"/>
      <c r="D114" s="270"/>
      <c r="E114" s="270"/>
      <c r="F114" s="270"/>
      <c r="G114" s="270"/>
      <c r="H114" s="270"/>
      <c r="I114" s="270"/>
      <c r="J114" s="270"/>
      <c r="K114" s="270"/>
      <c r="L114" s="270"/>
      <c r="M114" s="270"/>
      <c r="N114" s="270"/>
      <c r="O114" s="270"/>
      <c r="P114" s="1" t="s">
        <v>108</v>
      </c>
    </row>
    <row r="115" spans="1:16" ht="10.5" customHeight="1" thickBot="1" x14ac:dyDescent="0.3">
      <c r="B115" s="106"/>
      <c r="C115" s="107"/>
      <c r="D115" s="106"/>
      <c r="E115" s="106"/>
      <c r="F115" s="106"/>
      <c r="G115" s="106"/>
      <c r="H115" s="106"/>
      <c r="I115" s="106"/>
      <c r="J115" s="106"/>
      <c r="K115" s="106"/>
      <c r="L115" s="106"/>
      <c r="M115" s="4"/>
      <c r="N115" s="4"/>
      <c r="P115" s="1" t="s">
        <v>109</v>
      </c>
    </row>
    <row r="116" spans="1:16" ht="22.5" thickTop="1" thickBot="1" x14ac:dyDescent="0.3">
      <c r="B116" s="121" t="str">
        <f>C116</f>
        <v>Reino Unido</v>
      </c>
      <c r="C116" s="292" t="s">
        <v>110</v>
      </c>
      <c r="D116" s="293"/>
      <c r="E116" s="293"/>
      <c r="F116" s="293"/>
      <c r="G116" s="293"/>
      <c r="H116" s="293"/>
      <c r="I116" s="293"/>
      <c r="J116" s="293"/>
      <c r="K116" s="293"/>
      <c r="L116" s="293"/>
      <c r="M116" s="293"/>
      <c r="N116" s="293"/>
      <c r="O116" s="294"/>
    </row>
    <row r="117" spans="1:16" ht="22.5" thickTop="1" thickBot="1" x14ac:dyDescent="0.3">
      <c r="B117" s="109"/>
      <c r="C117" s="295">
        <f>2019</f>
        <v>2019</v>
      </c>
      <c r="D117" s="296"/>
      <c r="E117" s="297">
        <v>2020</v>
      </c>
      <c r="F117" s="296"/>
      <c r="G117" s="297">
        <v>2021</v>
      </c>
      <c r="H117" s="296"/>
      <c r="I117" s="297">
        <v>2022</v>
      </c>
      <c r="J117" s="296"/>
      <c r="K117" s="297">
        <v>2023</v>
      </c>
      <c r="L117" s="296"/>
      <c r="M117" s="297">
        <v>2024</v>
      </c>
      <c r="N117" s="298"/>
      <c r="O117" s="299"/>
    </row>
    <row r="118" spans="1:16" ht="16.5" thickTop="1" thickBot="1" x14ac:dyDescent="0.3">
      <c r="B118" s="85"/>
      <c r="C118" s="111" t="s">
        <v>69</v>
      </c>
      <c r="D118" s="112" t="str">
        <f>CONCATENATE("dif ",RIGHT(2019,2),"/",RIGHT(2018,2))</f>
        <v>dif 19/18</v>
      </c>
      <c r="E118" s="113" t="s">
        <v>69</v>
      </c>
      <c r="F118" s="112" t="str">
        <f>CONCATENATE("dif ",RIGHT(E117,2),"/",RIGHT(C117,2))</f>
        <v>dif 20/19</v>
      </c>
      <c r="G118" s="113" t="s">
        <v>69</v>
      </c>
      <c r="H118" s="112" t="str">
        <f>CONCATENATE("dif ",RIGHT(G117,2),"/",RIGHT(E117,2))</f>
        <v>dif 21/20</v>
      </c>
      <c r="I118" s="113" t="s">
        <v>69</v>
      </c>
      <c r="J118" s="112" t="str">
        <f>CONCATENATE("dif ",RIGHT(I117,2),"/",RIGHT(G117,2))</f>
        <v>dif 22/21</v>
      </c>
      <c r="K118" s="113" t="s">
        <v>69</v>
      </c>
      <c r="L118" s="112" t="str">
        <f>CONCATENATE("dif ",RIGHT(K117,2),"/",RIGHT(I117,2))</f>
        <v>dif 23/22</v>
      </c>
      <c r="M118" s="113" t="s">
        <v>69</v>
      </c>
      <c r="N118" s="112" t="s">
        <v>323</v>
      </c>
      <c r="O118" s="112" t="s">
        <v>324</v>
      </c>
    </row>
    <row r="119" spans="1:16" x14ac:dyDescent="0.25">
      <c r="B119" s="114" t="s">
        <v>71</v>
      </c>
      <c r="C119" s="184">
        <v>4.0446428571428568</v>
      </c>
      <c r="D119" s="185">
        <v>1.0508928571428569</v>
      </c>
      <c r="E119" s="184">
        <v>4.0140056022408963</v>
      </c>
      <c r="F119" s="185">
        <f t="shared" ref="F119:J121" si="14">IFERROR(E119-C119,"-")</f>
        <v>-3.0637254901960453E-2</v>
      </c>
      <c r="G119" s="184">
        <v>1.6666666666666667</v>
      </c>
      <c r="H119" s="185">
        <f t="shared" si="14"/>
        <v>-2.3473389355742293</v>
      </c>
      <c r="I119" s="184">
        <v>3.9061371841155235</v>
      </c>
      <c r="J119" s="185">
        <f t="shared" si="14"/>
        <v>2.2394705174488569</v>
      </c>
      <c r="K119" s="184">
        <v>4.534391534391534</v>
      </c>
      <c r="L119" s="185">
        <f t="shared" ref="L119:L121" si="15">IFERROR(K119-I119,"-")</f>
        <v>0.62825435027601051</v>
      </c>
      <c r="M119" s="184">
        <v>3.3109619686800893</v>
      </c>
      <c r="N119" s="185">
        <v>-1.2234295657114447</v>
      </c>
      <c r="O119" s="185">
        <v>-0.73368088846276747</v>
      </c>
    </row>
    <row r="120" spans="1:16" x14ac:dyDescent="0.25">
      <c r="B120" s="114" t="s">
        <v>73</v>
      </c>
      <c r="C120" s="184">
        <v>4.2225130890052354</v>
      </c>
      <c r="D120" s="185">
        <v>1.1248699913621376</v>
      </c>
      <c r="E120" s="184">
        <v>4.5580952380952384</v>
      </c>
      <c r="F120" s="185">
        <f t="shared" si="14"/>
        <v>0.33558214909000306</v>
      </c>
      <c r="G120" s="184">
        <v>1.8</v>
      </c>
      <c r="H120" s="185">
        <f t="shared" si="14"/>
        <v>-2.7580952380952386</v>
      </c>
      <c r="I120" s="184">
        <v>3.7969696969696969</v>
      </c>
      <c r="J120" s="185">
        <f t="shared" si="14"/>
        <v>1.9969696969696968</v>
      </c>
      <c r="K120" s="184">
        <v>4.2433090024330902</v>
      </c>
      <c r="L120" s="185">
        <f t="shared" si="15"/>
        <v>0.44633930546339329</v>
      </c>
      <c r="M120" s="184">
        <v>4.3813559322033901</v>
      </c>
      <c r="N120" s="185">
        <v>0.13804692977029998</v>
      </c>
      <c r="O120" s="185">
        <v>0.15884284319815478</v>
      </c>
    </row>
    <row r="121" spans="1:16" x14ac:dyDescent="0.25">
      <c r="B121" s="114" t="s">
        <v>75</v>
      </c>
      <c r="C121" s="184">
        <v>3.7871621621621623</v>
      </c>
      <c r="D121" s="185">
        <v>5.5454845088991345E-2</v>
      </c>
      <c r="E121" s="184">
        <v>5.4910714285714288</v>
      </c>
      <c r="F121" s="185">
        <f t="shared" si="14"/>
        <v>1.7039092664092665</v>
      </c>
      <c r="G121" s="184">
        <v>1.2571428571428571</v>
      </c>
      <c r="H121" s="185">
        <f t="shared" si="14"/>
        <v>-4.2339285714285717</v>
      </c>
      <c r="I121" s="184">
        <v>3.5324675324675323</v>
      </c>
      <c r="J121" s="185">
        <f t="shared" si="14"/>
        <v>2.2753246753246752</v>
      </c>
      <c r="K121" s="184">
        <v>4.5290697674418601</v>
      </c>
      <c r="L121" s="185">
        <f t="shared" si="15"/>
        <v>0.99660223497432776</v>
      </c>
      <c r="M121" s="184">
        <v>4.2471910112359552</v>
      </c>
      <c r="N121" s="185">
        <v>-0.28187875620590486</v>
      </c>
      <c r="O121" s="185">
        <v>0.46002884907379293</v>
      </c>
    </row>
    <row r="122" spans="1:16" x14ac:dyDescent="0.25">
      <c r="B122" s="114" t="s">
        <v>77</v>
      </c>
      <c r="C122" s="184">
        <v>4.2482758620689651</v>
      </c>
      <c r="D122" s="185">
        <v>1.2265367316341824</v>
      </c>
      <c r="E122" s="184" t="s">
        <v>229</v>
      </c>
      <c r="F122" s="185" t="str">
        <f>IFERROR(E122-C122,"-")</f>
        <v>-</v>
      </c>
      <c r="G122" s="184">
        <v>3.2352941176470589</v>
      </c>
      <c r="H122" s="185" t="str">
        <f>IFERROR(G122-E122,"-")</f>
        <v>-</v>
      </c>
      <c r="I122" s="184">
        <v>4.1937984496124034</v>
      </c>
      <c r="J122" s="185">
        <f>IFERROR(I122-G122,"-")</f>
        <v>0.95850433196534457</v>
      </c>
      <c r="K122" s="184">
        <v>4.4000000000000004</v>
      </c>
      <c r="L122" s="185">
        <f>IFERROR(K122-I122,"-")</f>
        <v>0.20620155038759691</v>
      </c>
      <c r="M122" s="184">
        <v>5.560483870967742</v>
      </c>
      <c r="N122" s="185">
        <v>1.1604838709677416</v>
      </c>
      <c r="O122" s="185">
        <v>1.3122080088987769</v>
      </c>
    </row>
    <row r="123" spans="1:16" x14ac:dyDescent="0.25">
      <c r="B123" s="114" t="s">
        <v>79</v>
      </c>
      <c r="C123" s="184">
        <v>2.5149700598802394</v>
      </c>
      <c r="D123" s="185">
        <v>-1.2595397440413292</v>
      </c>
      <c r="E123" s="184" t="s">
        <v>229</v>
      </c>
      <c r="F123" s="185" t="str">
        <f t="shared" ref="F123:J131" si="16">IFERROR(E123-C123,"-")</f>
        <v>-</v>
      </c>
      <c r="G123" s="184">
        <v>2.3157894736842106</v>
      </c>
      <c r="H123" s="185" t="str">
        <f t="shared" si="16"/>
        <v>-</v>
      </c>
      <c r="I123" s="184">
        <v>3.6643356643356642</v>
      </c>
      <c r="J123" s="185">
        <f t="shared" si="16"/>
        <v>1.3485461906514535</v>
      </c>
      <c r="K123" s="184">
        <v>3.6912751677852347</v>
      </c>
      <c r="L123" s="185">
        <f t="shared" ref="L123:L131" si="17">IFERROR(K123-I123,"-")</f>
        <v>2.6939503449570523E-2</v>
      </c>
      <c r="M123" s="184">
        <v>5.503759398496241</v>
      </c>
      <c r="N123" s="185">
        <v>1.8124842307110063</v>
      </c>
      <c r="O123" s="185">
        <v>2.9887893386160016</v>
      </c>
    </row>
    <row r="124" spans="1:16" x14ac:dyDescent="0.25">
      <c r="B124" s="114" t="s">
        <v>81</v>
      </c>
      <c r="C124" s="184">
        <v>2.2758620689655173</v>
      </c>
      <c r="D124" s="185">
        <v>-0.50509031198686349</v>
      </c>
      <c r="E124" s="184" t="s">
        <v>229</v>
      </c>
      <c r="F124" s="185" t="str">
        <f t="shared" si="16"/>
        <v>-</v>
      </c>
      <c r="G124" s="184">
        <v>4.84</v>
      </c>
      <c r="H124" s="185" t="str">
        <f t="shared" si="16"/>
        <v>-</v>
      </c>
      <c r="I124" s="184">
        <v>4.416666666666667</v>
      </c>
      <c r="J124" s="185">
        <f t="shared" si="16"/>
        <v>-0.4233333333333329</v>
      </c>
      <c r="K124" s="184">
        <v>4.112903225806452</v>
      </c>
      <c r="L124" s="185">
        <f t="shared" si="17"/>
        <v>-0.30376344086021501</v>
      </c>
      <c r="M124" s="184">
        <v>4.71</v>
      </c>
      <c r="N124" s="185">
        <v>0.59709677419354801</v>
      </c>
      <c r="O124" s="185">
        <v>2.4341379310344826</v>
      </c>
    </row>
    <row r="125" spans="1:16" x14ac:dyDescent="0.25">
      <c r="B125" s="114" t="s">
        <v>83</v>
      </c>
      <c r="C125" s="184">
        <v>2.4921875</v>
      </c>
      <c r="D125" s="185">
        <v>-0.60458669354838701</v>
      </c>
      <c r="E125" s="184" t="s">
        <v>229</v>
      </c>
      <c r="F125" s="185" t="str">
        <f t="shared" si="16"/>
        <v>-</v>
      </c>
      <c r="G125" s="184">
        <v>3.7551020408163267</v>
      </c>
      <c r="H125" s="185" t="str">
        <f t="shared" si="16"/>
        <v>-</v>
      </c>
      <c r="I125" s="184">
        <v>5.5609756097560972</v>
      </c>
      <c r="J125" s="185">
        <f t="shared" si="16"/>
        <v>1.8058735689397705</v>
      </c>
      <c r="K125" s="184">
        <v>2.7749999999999999</v>
      </c>
      <c r="L125" s="185">
        <f t="shared" si="17"/>
        <v>-2.7859756097560973</v>
      </c>
      <c r="M125" s="184">
        <v>2.5705128205128207</v>
      </c>
      <c r="N125" s="185">
        <v>-0.2044871794871792</v>
      </c>
      <c r="O125" s="185">
        <v>7.8325320512820706E-2</v>
      </c>
    </row>
    <row r="126" spans="1:16" x14ac:dyDescent="0.25">
      <c r="B126" s="114" t="s">
        <v>85</v>
      </c>
      <c r="C126" s="184">
        <v>2.5930232558139537</v>
      </c>
      <c r="D126" s="185">
        <v>0.45302325581395353</v>
      </c>
      <c r="E126" s="184">
        <v>2.75</v>
      </c>
      <c r="F126" s="185">
        <f t="shared" si="16"/>
        <v>0.15697674418604635</v>
      </c>
      <c r="G126" s="184">
        <v>5.2531645569620249</v>
      </c>
      <c r="H126" s="185">
        <f t="shared" si="16"/>
        <v>2.5031645569620249</v>
      </c>
      <c r="I126" s="184">
        <v>4.4220183486238529</v>
      </c>
      <c r="J126" s="185">
        <f t="shared" si="16"/>
        <v>-0.83114620833817199</v>
      </c>
      <c r="K126" s="184">
        <v>3.7320261437908497</v>
      </c>
      <c r="L126" s="185">
        <f t="shared" si="17"/>
        <v>-0.68999220483300316</v>
      </c>
      <c r="M126" s="184">
        <v>4.6885245901639347</v>
      </c>
      <c r="N126" s="185">
        <v>0.95649844637308501</v>
      </c>
      <c r="O126" s="185">
        <v>2.0955013343499811</v>
      </c>
    </row>
    <row r="127" spans="1:16" x14ac:dyDescent="0.25">
      <c r="B127" s="114" t="s">
        <v>87</v>
      </c>
      <c r="C127" s="184">
        <v>2.6170212765957448</v>
      </c>
      <c r="D127" s="185">
        <v>-1.4050375469336673</v>
      </c>
      <c r="E127" s="184">
        <v>1.75</v>
      </c>
      <c r="F127" s="185">
        <f t="shared" si="16"/>
        <v>-0.86702127659574479</v>
      </c>
      <c r="G127" s="184">
        <v>3.7397260273972601</v>
      </c>
      <c r="H127" s="185">
        <f t="shared" si="16"/>
        <v>1.9897260273972601</v>
      </c>
      <c r="I127" s="184">
        <v>4.4294478527607364</v>
      </c>
      <c r="J127" s="185">
        <f t="shared" si="16"/>
        <v>0.68972182536347626</v>
      </c>
      <c r="K127" s="184">
        <v>4.6111111111111107</v>
      </c>
      <c r="L127" s="185">
        <f t="shared" si="17"/>
        <v>0.18166325835037433</v>
      </c>
      <c r="M127" s="184">
        <v>4.2195121951219514</v>
      </c>
      <c r="N127" s="185">
        <v>-0.3915989159891593</v>
      </c>
      <c r="O127" s="185">
        <v>1.6024909185262066</v>
      </c>
    </row>
    <row r="128" spans="1:16" x14ac:dyDescent="0.25">
      <c r="A128" s="120"/>
      <c r="B128" s="114" t="s">
        <v>89</v>
      </c>
      <c r="C128" s="184">
        <v>2.1818181818181817</v>
      </c>
      <c r="D128" s="185">
        <v>-0.4655806621124543</v>
      </c>
      <c r="E128" s="184">
        <v>1.8</v>
      </c>
      <c r="F128" s="185">
        <f t="shared" si="16"/>
        <v>-0.38181818181818161</v>
      </c>
      <c r="G128" s="184">
        <v>4.6441717791411046</v>
      </c>
      <c r="H128" s="185">
        <f t="shared" si="16"/>
        <v>2.8441717791411048</v>
      </c>
      <c r="I128" s="184">
        <v>3.862857142857143</v>
      </c>
      <c r="J128" s="185">
        <f t="shared" si="16"/>
        <v>-0.78131463628396158</v>
      </c>
      <c r="K128" s="184">
        <v>3.6555555555555554</v>
      </c>
      <c r="L128" s="185">
        <f t="shared" si="17"/>
        <v>-0.20730158730158754</v>
      </c>
      <c r="M128" s="184"/>
      <c r="N128" s="185" t="s">
        <v>229</v>
      </c>
      <c r="O128" s="185" t="s">
        <v>229</v>
      </c>
    </row>
    <row r="129" spans="2:16" x14ac:dyDescent="0.25">
      <c r="B129" s="114" t="s">
        <v>91</v>
      </c>
      <c r="C129" s="184">
        <v>2.7127659574468086</v>
      </c>
      <c r="D129" s="185">
        <v>-0.36130811662726536</v>
      </c>
      <c r="E129" s="184">
        <v>2.1458333333333335</v>
      </c>
      <c r="F129" s="185">
        <f t="shared" si="16"/>
        <v>-0.56693262411347511</v>
      </c>
      <c r="G129" s="184">
        <v>3.4688796680497926</v>
      </c>
      <c r="H129" s="185">
        <f t="shared" si="16"/>
        <v>1.3230463347164592</v>
      </c>
      <c r="I129" s="184">
        <v>3.5871212121212119</v>
      </c>
      <c r="J129" s="185">
        <f t="shared" si="16"/>
        <v>0.11824154407141929</v>
      </c>
      <c r="K129" s="184">
        <v>3.0539568345323742</v>
      </c>
      <c r="L129" s="185">
        <f t="shared" si="17"/>
        <v>-0.53316437758883772</v>
      </c>
      <c r="M129" s="184"/>
      <c r="N129" s="185" t="s">
        <v>229</v>
      </c>
      <c r="O129" s="185" t="s">
        <v>229</v>
      </c>
    </row>
    <row r="130" spans="2:16" x14ac:dyDescent="0.25">
      <c r="B130" s="114" t="s">
        <v>93</v>
      </c>
      <c r="C130" s="184">
        <v>3.3640350877192984</v>
      </c>
      <c r="D130" s="185">
        <v>0.26609694338940137</v>
      </c>
      <c r="E130" s="184">
        <v>1.8378378378378379</v>
      </c>
      <c r="F130" s="185">
        <f t="shared" si="16"/>
        <v>-1.5261972498814604</v>
      </c>
      <c r="G130" s="184">
        <v>3.9766081871345027</v>
      </c>
      <c r="H130" s="185">
        <f t="shared" si="16"/>
        <v>2.1387703492966645</v>
      </c>
      <c r="I130" s="184">
        <v>3.1287128712871288</v>
      </c>
      <c r="J130" s="185">
        <f t="shared" si="16"/>
        <v>-0.84789531584737388</v>
      </c>
      <c r="K130" s="184">
        <v>3.865203761755486</v>
      </c>
      <c r="L130" s="185">
        <f t="shared" si="17"/>
        <v>0.73649089046835714</v>
      </c>
      <c r="M130" s="184"/>
      <c r="N130" s="185" t="s">
        <v>229</v>
      </c>
      <c r="O130" s="185" t="s">
        <v>229</v>
      </c>
    </row>
    <row r="131" spans="2:16" ht="15.75" x14ac:dyDescent="0.25">
      <c r="B131" s="117" t="s">
        <v>30</v>
      </c>
      <c r="C131" s="186">
        <v>3.3382899628252787</v>
      </c>
      <c r="D131" s="187">
        <v>0.18906258975684587</v>
      </c>
      <c r="E131" s="186">
        <v>3.8967391304347827</v>
      </c>
      <c r="F131" s="187">
        <f t="shared" si="16"/>
        <v>0.55844916760950403</v>
      </c>
      <c r="G131" s="186">
        <v>3.7937024972855591</v>
      </c>
      <c r="H131" s="187">
        <f t="shared" si="16"/>
        <v>-0.10303663314922362</v>
      </c>
      <c r="I131" s="186">
        <v>3.8489388264669162</v>
      </c>
      <c r="J131" s="187">
        <f t="shared" si="16"/>
        <v>5.5236329181357124E-2</v>
      </c>
      <c r="K131" s="186">
        <v>3.9989266547406084</v>
      </c>
      <c r="L131" s="187">
        <f t="shared" si="17"/>
        <v>0.14998782827369217</v>
      </c>
      <c r="M131" s="186">
        <v>4.2350845948352625</v>
      </c>
      <c r="N131" s="187">
        <v>5.4212444191060527E-2</v>
      </c>
      <c r="O131" s="187">
        <v>0.70680405184883721</v>
      </c>
    </row>
    <row r="132" spans="2:16" ht="6" customHeight="1" x14ac:dyDescent="0.25"/>
    <row r="133" spans="2:16" x14ac:dyDescent="0.25">
      <c r="B133" s="105" t="s">
        <v>55</v>
      </c>
      <c r="C133" s="105"/>
      <c r="D133" s="105"/>
      <c r="E133" s="105"/>
      <c r="F133" s="105"/>
      <c r="G133" s="105"/>
      <c r="H133" s="105"/>
      <c r="I133" s="105"/>
      <c r="J133" s="105"/>
      <c r="K133" s="105"/>
      <c r="L133" s="105"/>
      <c r="M133" s="105"/>
      <c r="N133" s="105"/>
      <c r="O133" s="105"/>
    </row>
    <row r="134" spans="2:16" x14ac:dyDescent="0.25">
      <c r="K134" s="120"/>
      <c r="M134" s="120"/>
      <c r="N134" s="122"/>
    </row>
    <row r="136" spans="2:16" ht="48.75" customHeight="1" thickBot="1" x14ac:dyDescent="0.3">
      <c r="B136" s="270" t="s">
        <v>299</v>
      </c>
      <c r="C136" s="270"/>
      <c r="D136" s="270"/>
      <c r="E136" s="270"/>
      <c r="F136" s="270"/>
      <c r="G136" s="270"/>
      <c r="H136" s="270"/>
      <c r="I136" s="270"/>
      <c r="J136" s="270"/>
      <c r="K136" s="270"/>
      <c r="L136" s="270"/>
      <c r="M136" s="270"/>
      <c r="N136" s="270"/>
      <c r="O136" s="270"/>
      <c r="P136" s="1" t="s">
        <v>111</v>
      </c>
    </row>
    <row r="137" spans="2:16" ht="10.5" customHeight="1" thickBot="1" x14ac:dyDescent="0.3">
      <c r="B137" s="106"/>
      <c r="C137" s="107"/>
      <c r="D137" s="106"/>
      <c r="E137" s="106"/>
      <c r="F137" s="106"/>
      <c r="G137" s="106"/>
      <c r="H137" s="106"/>
      <c r="I137" s="106"/>
      <c r="J137" s="106"/>
      <c r="K137" s="106"/>
      <c r="L137" s="106"/>
      <c r="M137" s="4"/>
      <c r="N137" s="4"/>
      <c r="P137" s="1" t="s">
        <v>112</v>
      </c>
    </row>
    <row r="138" spans="2:16" ht="22.5" thickTop="1" thickBot="1" x14ac:dyDescent="0.3">
      <c r="B138" s="121" t="str">
        <f>C138</f>
        <v>Alemania</v>
      </c>
      <c r="C138" s="292" t="s">
        <v>113</v>
      </c>
      <c r="D138" s="293"/>
      <c r="E138" s="293"/>
      <c r="F138" s="293"/>
      <c r="G138" s="293"/>
      <c r="H138" s="293"/>
      <c r="I138" s="293"/>
      <c r="J138" s="293"/>
      <c r="K138" s="293"/>
      <c r="L138" s="293"/>
      <c r="M138" s="293"/>
      <c r="N138" s="293"/>
      <c r="O138" s="294"/>
    </row>
    <row r="139" spans="2:16" ht="22.5" thickTop="1" thickBot="1" x14ac:dyDescent="0.3">
      <c r="B139" s="109"/>
      <c r="C139" s="295">
        <f>2019</f>
        <v>2019</v>
      </c>
      <c r="D139" s="296"/>
      <c r="E139" s="297">
        <v>2020</v>
      </c>
      <c r="F139" s="296"/>
      <c r="G139" s="297">
        <v>2021</v>
      </c>
      <c r="H139" s="296"/>
      <c r="I139" s="297">
        <v>2022</v>
      </c>
      <c r="J139" s="296"/>
      <c r="K139" s="297">
        <v>2023</v>
      </c>
      <c r="L139" s="296"/>
      <c r="M139" s="297">
        <v>2024</v>
      </c>
      <c r="N139" s="298"/>
      <c r="O139" s="299"/>
    </row>
    <row r="140" spans="2:16" ht="16.5" thickTop="1" thickBot="1" x14ac:dyDescent="0.3">
      <c r="B140" s="85"/>
      <c r="C140" s="111" t="s">
        <v>69</v>
      </c>
      <c r="D140" s="112" t="str">
        <f>CONCATENATE("dif ",RIGHT(2019,2),"/",RIGHT(2018,2))</f>
        <v>dif 19/18</v>
      </c>
      <c r="E140" s="113" t="s">
        <v>69</v>
      </c>
      <c r="F140" s="112" t="str">
        <f>CONCATENATE("dif ",RIGHT(E139,2),"/",RIGHT(C139,2))</f>
        <v>dif 20/19</v>
      </c>
      <c r="G140" s="113" t="s">
        <v>69</v>
      </c>
      <c r="H140" s="112" t="str">
        <f>CONCATENATE("dif ",RIGHT(G139,2),"/",RIGHT(E139,2))</f>
        <v>dif 21/20</v>
      </c>
      <c r="I140" s="113" t="s">
        <v>69</v>
      </c>
      <c r="J140" s="112" t="str">
        <f>CONCATENATE("dif ",RIGHT(I139,2),"/",RIGHT(G139,2))</f>
        <v>dif 22/21</v>
      </c>
      <c r="K140" s="113" t="s">
        <v>69</v>
      </c>
      <c r="L140" s="112" t="str">
        <f>CONCATENATE("dif ",RIGHT(K139,2),"/",RIGHT(I139,2))</f>
        <v>dif 23/22</v>
      </c>
      <c r="M140" s="113" t="s">
        <v>69</v>
      </c>
      <c r="N140" s="112" t="s">
        <v>323</v>
      </c>
      <c r="O140" s="112" t="s">
        <v>324</v>
      </c>
    </row>
    <row r="141" spans="2:16" x14ac:dyDescent="0.25">
      <c r="B141" s="114" t="s">
        <v>71</v>
      </c>
      <c r="C141" s="184">
        <v>6.5210526315789474</v>
      </c>
      <c r="D141" s="185">
        <v>9.9890805852806075E-2</v>
      </c>
      <c r="E141" s="184">
        <v>5.9742388758782203</v>
      </c>
      <c r="F141" s="185">
        <f t="shared" ref="F141:J143" si="18">IFERROR(E141-C141,"-")</f>
        <v>-0.5468137557007271</v>
      </c>
      <c r="G141" s="184">
        <v>5.7640449438202248</v>
      </c>
      <c r="H141" s="185">
        <f t="shared" si="18"/>
        <v>-0.21019393205799553</v>
      </c>
      <c r="I141" s="184">
        <v>5.7216828478964405</v>
      </c>
      <c r="J141" s="185">
        <f t="shared" si="18"/>
        <v>-4.236209592378426E-2</v>
      </c>
      <c r="K141" s="184">
        <v>5.8413043478260871</v>
      </c>
      <c r="L141" s="185">
        <f t="shared" ref="L141:L143" si="19">IFERROR(K141-I141,"-")</f>
        <v>0.11962149992964655</v>
      </c>
      <c r="M141" s="184">
        <v>5.5225505443234839</v>
      </c>
      <c r="N141" s="185">
        <v>-0.31875380350260318</v>
      </c>
      <c r="O141" s="185">
        <v>-0.99850208725546352</v>
      </c>
    </row>
    <row r="142" spans="2:16" x14ac:dyDescent="0.25">
      <c r="B142" s="114" t="s">
        <v>73</v>
      </c>
      <c r="C142" s="184">
        <v>6.0083857442348005</v>
      </c>
      <c r="D142" s="185">
        <v>0.25278492957084975</v>
      </c>
      <c r="E142" s="184">
        <v>5.5458515283842793</v>
      </c>
      <c r="F142" s="185">
        <f t="shared" si="18"/>
        <v>-0.46253421585052124</v>
      </c>
      <c r="G142" s="184">
        <v>6.0217391304347823</v>
      </c>
      <c r="H142" s="185">
        <f t="shared" si="18"/>
        <v>0.47588760205050296</v>
      </c>
      <c r="I142" s="184">
        <v>6.0282051282051281</v>
      </c>
      <c r="J142" s="185">
        <f t="shared" si="18"/>
        <v>6.4659977703458438E-3</v>
      </c>
      <c r="K142" s="184">
        <v>6.4454545454545453</v>
      </c>
      <c r="L142" s="185">
        <f t="shared" si="19"/>
        <v>0.41724941724941722</v>
      </c>
      <c r="M142" s="184">
        <v>5.8026070763500934</v>
      </c>
      <c r="N142" s="185">
        <v>-0.6428474691044519</v>
      </c>
      <c r="O142" s="185">
        <v>-0.20577866788470711</v>
      </c>
    </row>
    <row r="143" spans="2:16" x14ac:dyDescent="0.25">
      <c r="B143" s="114" t="s">
        <v>75</v>
      </c>
      <c r="C143" s="184">
        <v>4.9601910828025479</v>
      </c>
      <c r="D143" s="185">
        <v>-0.6076055273669434</v>
      </c>
      <c r="E143" s="184">
        <v>7.397849462365591</v>
      </c>
      <c r="F143" s="185">
        <f t="shared" si="18"/>
        <v>2.4376583795630431</v>
      </c>
      <c r="G143" s="184">
        <v>4.9820359281437128</v>
      </c>
      <c r="H143" s="185">
        <f t="shared" si="18"/>
        <v>-2.4158135342218783</v>
      </c>
      <c r="I143" s="184">
        <v>5.8561484918793507</v>
      </c>
      <c r="J143" s="185">
        <f t="shared" si="18"/>
        <v>0.87411256373563795</v>
      </c>
      <c r="K143" s="184">
        <v>6.64</v>
      </c>
      <c r="L143" s="185">
        <f t="shared" si="19"/>
        <v>0.78385150812064897</v>
      </c>
      <c r="M143" s="184">
        <v>5.9575221238938054</v>
      </c>
      <c r="N143" s="185">
        <v>-0.68247787610619426</v>
      </c>
      <c r="O143" s="185">
        <v>0.99733104109125748</v>
      </c>
    </row>
    <row r="144" spans="2:16" x14ac:dyDescent="0.25">
      <c r="B144" s="114" t="s">
        <v>77</v>
      </c>
      <c r="C144" s="184">
        <v>5.7439024390243905</v>
      </c>
      <c r="D144" s="185">
        <v>-0.43552339829618347</v>
      </c>
      <c r="E144" s="184" t="s">
        <v>229</v>
      </c>
      <c r="F144" s="185" t="str">
        <f>IFERROR(E144-C144,"-")</f>
        <v>-</v>
      </c>
      <c r="G144" s="184">
        <v>6.3734939759036147</v>
      </c>
      <c r="H144" s="185" t="str">
        <f>IFERROR(G144-E144,"-")</f>
        <v>-</v>
      </c>
      <c r="I144" s="184">
        <v>6.5965909090909092</v>
      </c>
      <c r="J144" s="185">
        <f>IFERROR(I144-G144,"-")</f>
        <v>0.22309693318729451</v>
      </c>
      <c r="K144" s="184">
        <v>6.6480446927374306</v>
      </c>
      <c r="L144" s="185">
        <f>IFERROR(K144-I144,"-")</f>
        <v>5.1453783646521423E-2</v>
      </c>
      <c r="M144" s="184">
        <v>6.6465517241379306</v>
      </c>
      <c r="N144" s="185">
        <v>-1.4929685994999886E-3</v>
      </c>
      <c r="O144" s="185">
        <v>0.90264928511354015</v>
      </c>
    </row>
    <row r="145" spans="1:16" x14ac:dyDescent="0.25">
      <c r="B145" s="114" t="s">
        <v>79</v>
      </c>
      <c r="C145" s="184">
        <v>8.5589743589743588</v>
      </c>
      <c r="D145" s="185">
        <v>2.3808921671935366</v>
      </c>
      <c r="E145" s="184" t="s">
        <v>229</v>
      </c>
      <c r="F145" s="185" t="str">
        <f t="shared" ref="F145:J153" si="20">IFERROR(E145-C145,"-")</f>
        <v>-</v>
      </c>
      <c r="G145" s="184">
        <v>4.7459016393442619</v>
      </c>
      <c r="H145" s="185" t="str">
        <f t="shared" si="20"/>
        <v>-</v>
      </c>
      <c r="I145" s="184">
        <v>7.4578947368421051</v>
      </c>
      <c r="J145" s="185">
        <f t="shared" si="20"/>
        <v>2.7119930974978432</v>
      </c>
      <c r="K145" s="184">
        <v>6.7712765957446805</v>
      </c>
      <c r="L145" s="185">
        <f t="shared" ref="L145:L153" si="21">IFERROR(K145-I145,"-")</f>
        <v>-0.68661814109742458</v>
      </c>
      <c r="M145" s="184">
        <v>6.5785123966942152</v>
      </c>
      <c r="N145" s="185">
        <v>-0.19276419905046538</v>
      </c>
      <c r="O145" s="185">
        <v>-1.9804619622801436</v>
      </c>
    </row>
    <row r="146" spans="1:16" x14ac:dyDescent="0.25">
      <c r="B146" s="114" t="s">
        <v>81</v>
      </c>
      <c r="C146" s="184">
        <v>3.8020833333333335</v>
      </c>
      <c r="D146" s="185">
        <v>-3.1420791032148903</v>
      </c>
      <c r="E146" s="184" t="s">
        <v>229</v>
      </c>
      <c r="F146" s="185" t="str">
        <f t="shared" si="20"/>
        <v>-</v>
      </c>
      <c r="G146" s="184">
        <v>8.3490566037735849</v>
      </c>
      <c r="H146" s="185" t="str">
        <f t="shared" si="20"/>
        <v>-</v>
      </c>
      <c r="I146" s="184">
        <v>5.2280701754385968</v>
      </c>
      <c r="J146" s="185">
        <f t="shared" si="20"/>
        <v>-3.1209864283349882</v>
      </c>
      <c r="K146" s="184">
        <v>6.4921875</v>
      </c>
      <c r="L146" s="185">
        <f t="shared" si="21"/>
        <v>1.2641173245614032</v>
      </c>
      <c r="M146" s="184">
        <v>6.5649350649350646</v>
      </c>
      <c r="N146" s="185">
        <v>7.2747564935064624E-2</v>
      </c>
      <c r="O146" s="185">
        <v>2.7628517316017311</v>
      </c>
    </row>
    <row r="147" spans="1:16" x14ac:dyDescent="0.25">
      <c r="B147" s="114" t="s">
        <v>83</v>
      </c>
      <c r="C147" s="184">
        <v>2.6704545454545454</v>
      </c>
      <c r="D147" s="185">
        <v>-0.71664222873900307</v>
      </c>
      <c r="E147" s="184" t="s">
        <v>229</v>
      </c>
      <c r="F147" s="185" t="str">
        <f t="shared" si="20"/>
        <v>-</v>
      </c>
      <c r="G147" s="184">
        <v>7.1333333333333337</v>
      </c>
      <c r="H147" s="185" t="str">
        <f t="shared" si="20"/>
        <v>-</v>
      </c>
      <c r="I147" s="184">
        <v>6.9485294117647056</v>
      </c>
      <c r="J147" s="185">
        <f t="shared" si="20"/>
        <v>-0.18480392156862813</v>
      </c>
      <c r="K147" s="184">
        <v>3.9537037037037037</v>
      </c>
      <c r="L147" s="185">
        <f t="shared" si="21"/>
        <v>-2.9948257080610019</v>
      </c>
      <c r="M147" s="184">
        <v>3.661290322580645</v>
      </c>
      <c r="N147" s="185">
        <v>-0.2924133811230587</v>
      </c>
      <c r="O147" s="185">
        <v>0.9908357771260996</v>
      </c>
    </row>
    <row r="148" spans="1:16" x14ac:dyDescent="0.25">
      <c r="B148" s="114" t="s">
        <v>85</v>
      </c>
      <c r="C148" s="184">
        <v>3.9214285714285713</v>
      </c>
      <c r="D148" s="185">
        <v>-3.3557453416149072</v>
      </c>
      <c r="E148" s="184">
        <v>3.5697674418604652</v>
      </c>
      <c r="F148" s="185">
        <f t="shared" si="20"/>
        <v>-0.35166112956810602</v>
      </c>
      <c r="G148" s="184">
        <v>6.527093596059113</v>
      </c>
      <c r="H148" s="185">
        <f t="shared" si="20"/>
        <v>2.9573261541986477</v>
      </c>
      <c r="I148" s="184">
        <v>5.5595854922279795</v>
      </c>
      <c r="J148" s="185">
        <f t="shared" si="20"/>
        <v>-0.9675081038311335</v>
      </c>
      <c r="K148" s="184">
        <v>5.2212765957446807</v>
      </c>
      <c r="L148" s="185">
        <f t="shared" si="21"/>
        <v>-0.33830889648329876</v>
      </c>
      <c r="M148" s="184">
        <v>6.5260115606936413</v>
      </c>
      <c r="N148" s="185">
        <v>1.3047349649489606</v>
      </c>
      <c r="O148" s="185">
        <v>2.60458298926507</v>
      </c>
    </row>
    <row r="149" spans="1:16" x14ac:dyDescent="0.25">
      <c r="B149" s="114" t="s">
        <v>87</v>
      </c>
      <c r="C149" s="184">
        <v>3.3072625698324023</v>
      </c>
      <c r="D149" s="185">
        <v>-2.5552374301675975</v>
      </c>
      <c r="E149" s="184">
        <v>1.7142857142857142</v>
      </c>
      <c r="F149" s="185">
        <f t="shared" si="20"/>
        <v>-1.5929768555466881</v>
      </c>
      <c r="G149" s="184">
        <v>6.3711340206185563</v>
      </c>
      <c r="H149" s="185">
        <f t="shared" si="20"/>
        <v>4.6568483063328419</v>
      </c>
      <c r="I149" s="184">
        <v>6.1875</v>
      </c>
      <c r="J149" s="185">
        <f t="shared" si="20"/>
        <v>-0.18363402061855627</v>
      </c>
      <c r="K149" s="184">
        <v>5.801801801801802</v>
      </c>
      <c r="L149" s="185">
        <f t="shared" si="21"/>
        <v>-0.38569819819819795</v>
      </c>
      <c r="M149" s="184">
        <v>5.8526785714285712</v>
      </c>
      <c r="N149" s="185">
        <v>5.0876769626769125E-2</v>
      </c>
      <c r="O149" s="185">
        <v>2.5454160015961689</v>
      </c>
    </row>
    <row r="150" spans="1:16" x14ac:dyDescent="0.25">
      <c r="A150" s="120"/>
      <c r="B150" s="114" t="s">
        <v>89</v>
      </c>
      <c r="C150" s="184">
        <v>4.2342569269521411</v>
      </c>
      <c r="D150" s="185">
        <v>-0.35177798576606367</v>
      </c>
      <c r="E150" s="184">
        <v>3.05</v>
      </c>
      <c r="F150" s="185">
        <f t="shared" si="20"/>
        <v>-1.1842569269521412</v>
      </c>
      <c r="G150" s="184">
        <v>8.5621890547263675</v>
      </c>
      <c r="H150" s="185">
        <f t="shared" si="20"/>
        <v>5.5121890547263677</v>
      </c>
      <c r="I150" s="184">
        <v>6.6477987421383649</v>
      </c>
      <c r="J150" s="185">
        <f t="shared" si="20"/>
        <v>-1.9143903125880026</v>
      </c>
      <c r="K150" s="184">
        <v>5.7828947368421053</v>
      </c>
      <c r="L150" s="185">
        <f t="shared" si="21"/>
        <v>-0.86490400529625955</v>
      </c>
      <c r="M150" s="184"/>
      <c r="N150" s="185" t="s">
        <v>229</v>
      </c>
      <c r="O150" s="185" t="s">
        <v>229</v>
      </c>
    </row>
    <row r="151" spans="1:16" x14ac:dyDescent="0.25">
      <c r="B151" s="114" t="s">
        <v>91</v>
      </c>
      <c r="C151" s="184">
        <v>5.9776119402985071</v>
      </c>
      <c r="D151" s="185">
        <v>0.55185165407310421</v>
      </c>
      <c r="E151" s="184">
        <v>2.0388349514563107</v>
      </c>
      <c r="F151" s="185">
        <f t="shared" si="20"/>
        <v>-3.9387769888421964</v>
      </c>
      <c r="G151" s="184">
        <v>5.795309168443497</v>
      </c>
      <c r="H151" s="185">
        <f t="shared" si="20"/>
        <v>3.7564742169871863</v>
      </c>
      <c r="I151" s="184">
        <v>5.9533169533169534</v>
      </c>
      <c r="J151" s="185">
        <f t="shared" si="20"/>
        <v>0.15800778487345646</v>
      </c>
      <c r="K151" s="184">
        <v>5.8276553106212425</v>
      </c>
      <c r="L151" s="185">
        <f t="shared" si="21"/>
        <v>-0.1256616426957109</v>
      </c>
      <c r="M151" s="184"/>
      <c r="N151" s="185" t="s">
        <v>229</v>
      </c>
      <c r="O151" s="185" t="s">
        <v>229</v>
      </c>
    </row>
    <row r="152" spans="1:16" x14ac:dyDescent="0.25">
      <c r="B152" s="114" t="s">
        <v>93</v>
      </c>
      <c r="C152" s="184">
        <v>5.9551451187335092</v>
      </c>
      <c r="D152" s="185">
        <v>1.0806277442161347</v>
      </c>
      <c r="E152" s="184">
        <v>2.2873563218390807</v>
      </c>
      <c r="F152" s="185">
        <f t="shared" si="20"/>
        <v>-3.6677887968944285</v>
      </c>
      <c r="G152" s="184">
        <v>5.5287356321839081</v>
      </c>
      <c r="H152" s="185">
        <f t="shared" si="20"/>
        <v>3.2413793103448274</v>
      </c>
      <c r="I152" s="184">
        <v>5.0775623268698062</v>
      </c>
      <c r="J152" s="185">
        <f t="shared" si="20"/>
        <v>-0.45117330531410182</v>
      </c>
      <c r="K152" s="184">
        <v>4.8246445497630335</v>
      </c>
      <c r="L152" s="185">
        <f t="shared" si="21"/>
        <v>-0.25291777710677277</v>
      </c>
      <c r="M152" s="184"/>
      <c r="N152" s="185" t="s">
        <v>229</v>
      </c>
      <c r="O152" s="185" t="s">
        <v>229</v>
      </c>
    </row>
    <row r="153" spans="1:16" ht="15.75" x14ac:dyDescent="0.25">
      <c r="B153" s="117" t="s">
        <v>30</v>
      </c>
      <c r="C153" s="186">
        <v>5.4714468629961583</v>
      </c>
      <c r="D153" s="187">
        <v>-0.18991827948230444</v>
      </c>
      <c r="E153" s="186">
        <v>5.0459149223497635</v>
      </c>
      <c r="F153" s="187">
        <f t="shared" si="20"/>
        <v>-0.42553194064639488</v>
      </c>
      <c r="G153" s="186">
        <v>6.4271398747390398</v>
      </c>
      <c r="H153" s="187">
        <f t="shared" si="20"/>
        <v>1.3812249523892763</v>
      </c>
      <c r="I153" s="186">
        <v>6.0453762205628951</v>
      </c>
      <c r="J153" s="187">
        <f t="shared" si="20"/>
        <v>-0.38176365417614466</v>
      </c>
      <c r="K153" s="186">
        <v>5.9357629785002626</v>
      </c>
      <c r="L153" s="187">
        <f t="shared" si="21"/>
        <v>-0.10961324206263257</v>
      </c>
      <c r="M153" s="186">
        <v>5.9279069767441861</v>
      </c>
      <c r="N153" s="187">
        <v>-0.22775157868261964</v>
      </c>
      <c r="O153" s="187">
        <v>0.44236898985641115</v>
      </c>
    </row>
    <row r="154" spans="1:16" ht="6" customHeight="1" x14ac:dyDescent="0.25"/>
    <row r="155" spans="1:16" x14ac:dyDescent="0.25">
      <c r="B155" s="105" t="s">
        <v>55</v>
      </c>
      <c r="C155" s="105"/>
      <c r="D155" s="105"/>
      <c r="E155" s="105"/>
      <c r="F155" s="105"/>
      <c r="G155" s="105"/>
      <c r="H155" s="105"/>
      <c r="I155" s="105"/>
      <c r="J155" s="105"/>
      <c r="K155" s="105"/>
      <c r="L155" s="105"/>
      <c r="M155" s="105"/>
      <c r="N155" s="105"/>
      <c r="O155" s="105"/>
    </row>
    <row r="156" spans="1:16" x14ac:dyDescent="0.25">
      <c r="K156" s="120"/>
      <c r="N156" s="123"/>
    </row>
    <row r="157" spans="1:16" x14ac:dyDescent="0.25">
      <c r="O157" s="122"/>
    </row>
    <row r="158" spans="1:16" ht="48.75" customHeight="1" thickBot="1" x14ac:dyDescent="0.3">
      <c r="B158" s="270" t="s">
        <v>300</v>
      </c>
      <c r="C158" s="270"/>
      <c r="D158" s="270"/>
      <c r="E158" s="270"/>
      <c r="F158" s="270"/>
      <c r="G158" s="270"/>
      <c r="H158" s="270"/>
      <c r="I158" s="270"/>
      <c r="J158" s="270"/>
      <c r="K158" s="270"/>
      <c r="L158" s="270"/>
      <c r="M158" s="270"/>
      <c r="N158" s="270"/>
      <c r="O158" s="270"/>
      <c r="P158" s="1" t="s">
        <v>114</v>
      </c>
    </row>
    <row r="159" spans="1:16" ht="10.5" customHeight="1" thickBot="1" x14ac:dyDescent="0.3">
      <c r="B159" s="106"/>
      <c r="C159" s="107"/>
      <c r="D159" s="106"/>
      <c r="E159" s="106"/>
      <c r="F159" s="106"/>
      <c r="G159" s="106"/>
      <c r="H159" s="106"/>
      <c r="I159" s="106"/>
      <c r="J159" s="106"/>
      <c r="K159" s="106"/>
      <c r="L159" s="106"/>
      <c r="M159" s="4"/>
      <c r="N159" s="4"/>
      <c r="P159" s="1" t="s">
        <v>115</v>
      </c>
    </row>
    <row r="160" spans="1:16" ht="22.5" thickTop="1" thickBot="1" x14ac:dyDescent="0.3">
      <c r="B160" s="121" t="str">
        <f>C160</f>
        <v>Francia</v>
      </c>
      <c r="C160" s="292" t="s">
        <v>116</v>
      </c>
      <c r="D160" s="293"/>
      <c r="E160" s="293"/>
      <c r="F160" s="293"/>
      <c r="G160" s="293"/>
      <c r="H160" s="293"/>
      <c r="I160" s="293"/>
      <c r="J160" s="293"/>
      <c r="K160" s="293"/>
      <c r="L160" s="293"/>
      <c r="M160" s="293"/>
      <c r="N160" s="293"/>
      <c r="O160" s="294"/>
    </row>
    <row r="161" spans="2:15" ht="22.5" thickTop="1" thickBot="1" x14ac:dyDescent="0.3">
      <c r="B161" s="109"/>
      <c r="C161" s="295">
        <f>2019</f>
        <v>2019</v>
      </c>
      <c r="D161" s="296"/>
      <c r="E161" s="297">
        <v>2020</v>
      </c>
      <c r="F161" s="296"/>
      <c r="G161" s="297">
        <v>2021</v>
      </c>
      <c r="H161" s="296"/>
      <c r="I161" s="297">
        <v>2022</v>
      </c>
      <c r="J161" s="296"/>
      <c r="K161" s="297">
        <v>2023</v>
      </c>
      <c r="L161" s="296"/>
      <c r="M161" s="297">
        <v>2024</v>
      </c>
      <c r="N161" s="298"/>
      <c r="O161" s="299"/>
    </row>
    <row r="162" spans="2:15" ht="16.5" thickTop="1" thickBot="1" x14ac:dyDescent="0.3">
      <c r="B162" s="85"/>
      <c r="C162" s="111" t="s">
        <v>69</v>
      </c>
      <c r="D162" s="112" t="str">
        <f>CONCATENATE("dif ",RIGHT(2019,2),"/",RIGHT(2018,2))</f>
        <v>dif 19/18</v>
      </c>
      <c r="E162" s="113" t="s">
        <v>69</v>
      </c>
      <c r="F162" s="112" t="str">
        <f>CONCATENATE("dif ",RIGHT(E161,2),"/",RIGHT(C161,2))</f>
        <v>dif 20/19</v>
      </c>
      <c r="G162" s="113" t="s">
        <v>69</v>
      </c>
      <c r="H162" s="112" t="str">
        <f>CONCATENATE("dif ",RIGHT(G161,2),"/",RIGHT(E161,2))</f>
        <v>dif 21/20</v>
      </c>
      <c r="I162" s="113" t="s">
        <v>69</v>
      </c>
      <c r="J162" s="112" t="str">
        <f>CONCATENATE("dif ",RIGHT(I161,2),"/",RIGHT(G161,2))</f>
        <v>dif 22/21</v>
      </c>
      <c r="K162" s="113" t="s">
        <v>69</v>
      </c>
      <c r="L162" s="112" t="str">
        <f>CONCATENATE("dif ",RIGHT(K161,2),"/",RIGHT(I161,2))</f>
        <v>dif 23/22</v>
      </c>
      <c r="M162" s="113" t="s">
        <v>69</v>
      </c>
      <c r="N162" s="112" t="s">
        <v>323</v>
      </c>
      <c r="O162" s="112" t="s">
        <v>324</v>
      </c>
    </row>
    <row r="163" spans="2:15" x14ac:dyDescent="0.25">
      <c r="B163" s="114" t="s">
        <v>71</v>
      </c>
      <c r="C163" s="184">
        <v>1.9512195121951219</v>
      </c>
      <c r="D163" s="185">
        <v>-0.61900520690600169</v>
      </c>
      <c r="E163" s="184">
        <v>2.3308641975308642</v>
      </c>
      <c r="F163" s="185">
        <f t="shared" ref="F163:J165" si="22">IFERROR(E163-C163,"-")</f>
        <v>0.37964468533574225</v>
      </c>
      <c r="G163" s="184">
        <v>1.7464788732394365</v>
      </c>
      <c r="H163" s="185">
        <f t="shared" si="22"/>
        <v>-0.58438532429142764</v>
      </c>
      <c r="I163" s="184">
        <v>2.3723076923076922</v>
      </c>
      <c r="J163" s="185">
        <f t="shared" si="22"/>
        <v>0.62582881906825572</v>
      </c>
      <c r="K163" s="184">
        <v>2.0614754098360657</v>
      </c>
      <c r="L163" s="185">
        <f t="shared" ref="L163:L165" si="23">IFERROR(K163-I163,"-")</f>
        <v>-0.31083228247162653</v>
      </c>
      <c r="M163" s="184">
        <v>2.5740259740259739</v>
      </c>
      <c r="N163" s="185">
        <v>0.51255056418990819</v>
      </c>
      <c r="O163" s="185">
        <v>0.62280646183085198</v>
      </c>
    </row>
    <row r="164" spans="2:15" x14ac:dyDescent="0.25">
      <c r="B164" s="114" t="s">
        <v>73</v>
      </c>
      <c r="C164" s="184">
        <v>2.8468468468468466</v>
      </c>
      <c r="D164" s="185">
        <v>0.44684684684684672</v>
      </c>
      <c r="E164" s="184">
        <v>2.4140000000000001</v>
      </c>
      <c r="F164" s="185">
        <f t="shared" si="22"/>
        <v>-0.43284684684684649</v>
      </c>
      <c r="G164" s="184">
        <v>2.0147601476014758</v>
      </c>
      <c r="H164" s="185">
        <f t="shared" si="22"/>
        <v>-0.39923985239852433</v>
      </c>
      <c r="I164" s="184">
        <v>2.2242268041237114</v>
      </c>
      <c r="J164" s="185">
        <f t="shared" si="22"/>
        <v>0.20946665652223562</v>
      </c>
      <c r="K164" s="184">
        <v>2.5348258706467663</v>
      </c>
      <c r="L164" s="185">
        <f t="shared" si="23"/>
        <v>0.31059906652305491</v>
      </c>
      <c r="M164" s="184">
        <v>2.6754385964912282</v>
      </c>
      <c r="N164" s="185">
        <v>0.14061272584446183</v>
      </c>
      <c r="O164" s="185">
        <v>-0.17140825035561846</v>
      </c>
    </row>
    <row r="165" spans="2:15" x14ac:dyDescent="0.25">
      <c r="B165" s="114" t="s">
        <v>75</v>
      </c>
      <c r="C165" s="184">
        <v>2.3513513513513513</v>
      </c>
      <c r="D165" s="185">
        <v>-6.5522097780162269E-2</v>
      </c>
      <c r="E165" s="184">
        <v>1.97265625</v>
      </c>
      <c r="F165" s="185">
        <f t="shared" si="22"/>
        <v>-0.37869510135135132</v>
      </c>
      <c r="G165" s="184">
        <v>1.8691796008869179</v>
      </c>
      <c r="H165" s="185">
        <f t="shared" si="22"/>
        <v>-0.10347664911308208</v>
      </c>
      <c r="I165" s="184">
        <v>2.4673629242819843</v>
      </c>
      <c r="J165" s="185">
        <f t="shared" si="22"/>
        <v>0.59818332339506641</v>
      </c>
      <c r="K165" s="184">
        <v>2.4316239316239314</v>
      </c>
      <c r="L165" s="185">
        <f t="shared" si="23"/>
        <v>-3.5738992658052915E-2</v>
      </c>
      <c r="M165" s="184">
        <v>2.6632653061224492</v>
      </c>
      <c r="N165" s="185">
        <v>0.23164137449851774</v>
      </c>
      <c r="O165" s="185">
        <v>0.31191395477109785</v>
      </c>
    </row>
    <row r="166" spans="2:15" x14ac:dyDescent="0.25">
      <c r="B166" s="114" t="s">
        <v>77</v>
      </c>
      <c r="C166" s="184">
        <v>2.2630136986301368</v>
      </c>
      <c r="D166" s="185">
        <v>0.15748606043918212</v>
      </c>
      <c r="E166" s="184" t="s">
        <v>229</v>
      </c>
      <c r="F166" s="185" t="str">
        <f>IFERROR(E166-C166,"-")</f>
        <v>-</v>
      </c>
      <c r="G166" s="184">
        <v>1.9146005509641872</v>
      </c>
      <c r="H166" s="185" t="str">
        <f>IFERROR(G166-E166,"-")</f>
        <v>-</v>
      </c>
      <c r="I166" s="184">
        <v>2.6418439716312059</v>
      </c>
      <c r="J166" s="185">
        <f>IFERROR(I166-G166,"-")</f>
        <v>0.72724342066701864</v>
      </c>
      <c r="K166" s="184">
        <v>2.1666666666666665</v>
      </c>
      <c r="L166" s="185">
        <f>IFERROR(K166-I166,"-")</f>
        <v>-0.47517730496453936</v>
      </c>
      <c r="M166" s="184">
        <v>2.4542772861356932</v>
      </c>
      <c r="N166" s="185">
        <v>0.28761061946902666</v>
      </c>
      <c r="O166" s="185">
        <v>0.19126358750555639</v>
      </c>
    </row>
    <row r="167" spans="2:15" x14ac:dyDescent="0.25">
      <c r="B167" s="114" t="s">
        <v>79</v>
      </c>
      <c r="C167" s="184">
        <v>2.2274143302180685</v>
      </c>
      <c r="D167" s="185">
        <v>0.55094374198277429</v>
      </c>
      <c r="E167" s="184" t="s">
        <v>229</v>
      </c>
      <c r="F167" s="185" t="str">
        <f t="shared" ref="F167:J175" si="24">IFERROR(E167-C167,"-")</f>
        <v>-</v>
      </c>
      <c r="G167" s="184">
        <v>1.8443877551020409</v>
      </c>
      <c r="H167" s="185" t="str">
        <f t="shared" si="24"/>
        <v>-</v>
      </c>
      <c r="I167" s="184">
        <v>2.0501792114695339</v>
      </c>
      <c r="J167" s="185">
        <f t="shared" si="24"/>
        <v>0.20579145636749296</v>
      </c>
      <c r="K167" s="184">
        <v>2.3689320388349513</v>
      </c>
      <c r="L167" s="185">
        <f t="shared" ref="L167:L175" si="25">IFERROR(K167-I167,"-")</f>
        <v>0.31875282736541743</v>
      </c>
      <c r="M167" s="184">
        <v>2.9319727891156462</v>
      </c>
      <c r="N167" s="185">
        <v>0.56304075028069489</v>
      </c>
      <c r="O167" s="185">
        <v>0.70455845889757773</v>
      </c>
    </row>
    <row r="168" spans="2:15" x14ac:dyDescent="0.25">
      <c r="B168" s="114" t="s">
        <v>81</v>
      </c>
      <c r="C168" s="184">
        <v>2.3442622950819674</v>
      </c>
      <c r="D168" s="185">
        <v>0.65561760643727873</v>
      </c>
      <c r="E168" s="184" t="s">
        <v>229</v>
      </c>
      <c r="F168" s="185" t="str">
        <f t="shared" si="24"/>
        <v>-</v>
      </c>
      <c r="G168" s="184">
        <v>2.2037037037037037</v>
      </c>
      <c r="H168" s="185" t="str">
        <f t="shared" si="24"/>
        <v>-</v>
      </c>
      <c r="I168" s="184">
        <v>2.278688524590164</v>
      </c>
      <c r="J168" s="185">
        <f t="shared" si="24"/>
        <v>7.4984820886460302E-2</v>
      </c>
      <c r="K168" s="184">
        <v>2.4933333333333332</v>
      </c>
      <c r="L168" s="185">
        <f t="shared" si="25"/>
        <v>0.21464480874316916</v>
      </c>
      <c r="M168" s="184">
        <v>3.6101694915254239</v>
      </c>
      <c r="N168" s="185">
        <v>1.1168361581920907</v>
      </c>
      <c r="O168" s="185">
        <v>1.2659071964434565</v>
      </c>
    </row>
    <row r="169" spans="2:15" x14ac:dyDescent="0.25">
      <c r="B169" s="114" t="s">
        <v>83</v>
      </c>
      <c r="C169" s="184">
        <v>2.6995073891625614</v>
      </c>
      <c r="D169" s="185">
        <v>0.8967392230725959</v>
      </c>
      <c r="E169" s="184" t="s">
        <v>229</v>
      </c>
      <c r="F169" s="185" t="str">
        <f t="shared" si="24"/>
        <v>-</v>
      </c>
      <c r="G169" s="184">
        <v>1.9858490566037736</v>
      </c>
      <c r="H169" s="185" t="str">
        <f t="shared" si="24"/>
        <v>-</v>
      </c>
      <c r="I169" s="184">
        <v>2.9</v>
      </c>
      <c r="J169" s="185">
        <f t="shared" si="24"/>
        <v>0.91415094339622627</v>
      </c>
      <c r="K169" s="184">
        <v>2.0376344086021505</v>
      </c>
      <c r="L169" s="185">
        <f t="shared" si="25"/>
        <v>-0.86236559139784941</v>
      </c>
      <c r="M169" s="184">
        <v>3.2391304347826089</v>
      </c>
      <c r="N169" s="185">
        <v>1.2014960261804584</v>
      </c>
      <c r="O169" s="185">
        <v>0.53962304562004748</v>
      </c>
    </row>
    <row r="170" spans="2:15" x14ac:dyDescent="0.25">
      <c r="B170" s="114" t="s">
        <v>85</v>
      </c>
      <c r="C170" s="184">
        <v>1.9026315789473685</v>
      </c>
      <c r="D170" s="185">
        <v>0.22538290169869124</v>
      </c>
      <c r="E170" s="184">
        <v>3.2</v>
      </c>
      <c r="F170" s="185">
        <f t="shared" si="24"/>
        <v>1.2973684210526317</v>
      </c>
      <c r="G170" s="184">
        <v>2.2243436754176611</v>
      </c>
      <c r="H170" s="185">
        <f t="shared" si="24"/>
        <v>-0.97565632458233909</v>
      </c>
      <c r="I170" s="184">
        <v>2.0975609756097562</v>
      </c>
      <c r="J170" s="185">
        <f t="shared" si="24"/>
        <v>-0.12678269980790491</v>
      </c>
      <c r="K170" s="184">
        <v>2.2378048780487805</v>
      </c>
      <c r="L170" s="185">
        <f t="shared" si="25"/>
        <v>0.14024390243902429</v>
      </c>
      <c r="M170" s="184">
        <v>2.9610778443113772</v>
      </c>
      <c r="N170" s="185">
        <v>0.72327296626259674</v>
      </c>
      <c r="O170" s="185">
        <v>1.0584462653640088</v>
      </c>
    </row>
    <row r="171" spans="2:15" x14ac:dyDescent="0.25">
      <c r="B171" s="114" t="s">
        <v>87</v>
      </c>
      <c r="C171" s="184">
        <v>2.3886255924170614</v>
      </c>
      <c r="D171" s="185">
        <v>0.18210385328662682</v>
      </c>
      <c r="E171" s="184">
        <v>2.1666666666666665</v>
      </c>
      <c r="F171" s="185">
        <f t="shared" si="24"/>
        <v>-0.22195892575039489</v>
      </c>
      <c r="G171" s="184">
        <v>1.9833333333333334</v>
      </c>
      <c r="H171" s="185">
        <f t="shared" si="24"/>
        <v>-0.18333333333333313</v>
      </c>
      <c r="I171" s="184">
        <v>2.5324675324675323</v>
      </c>
      <c r="J171" s="185">
        <f t="shared" si="24"/>
        <v>0.54913419913419892</v>
      </c>
      <c r="K171" s="184">
        <v>2.3365384615384617</v>
      </c>
      <c r="L171" s="185">
        <f t="shared" si="25"/>
        <v>-0.19592907092907064</v>
      </c>
      <c r="M171" s="184">
        <v>2.7697368421052633</v>
      </c>
      <c r="N171" s="185">
        <v>0.4331983805668016</v>
      </c>
      <c r="O171" s="185">
        <v>0.38111124968820187</v>
      </c>
    </row>
    <row r="172" spans="2:15" x14ac:dyDescent="0.25">
      <c r="B172" s="114" t="s">
        <v>89</v>
      </c>
      <c r="C172" s="184">
        <v>1.9392097264437691</v>
      </c>
      <c r="D172" s="185">
        <v>-1.0676378339830039E-2</v>
      </c>
      <c r="E172" s="184">
        <v>1.7272727272727273</v>
      </c>
      <c r="F172" s="185">
        <f t="shared" si="24"/>
        <v>-0.21193699917104181</v>
      </c>
      <c r="G172" s="184">
        <v>1.9558823529411764</v>
      </c>
      <c r="H172" s="185">
        <f t="shared" si="24"/>
        <v>0.22860962566844911</v>
      </c>
      <c r="I172" s="184">
        <v>2.1704035874439462</v>
      </c>
      <c r="J172" s="185">
        <f t="shared" si="24"/>
        <v>0.21452123450276983</v>
      </c>
      <c r="K172" s="184">
        <v>1.9482758620689655</v>
      </c>
      <c r="L172" s="185">
        <f t="shared" si="25"/>
        <v>-0.22212772537498071</v>
      </c>
      <c r="M172" s="184"/>
      <c r="N172" s="185" t="s">
        <v>229</v>
      </c>
      <c r="O172" s="185" t="s">
        <v>229</v>
      </c>
    </row>
    <row r="173" spans="2:15" x14ac:dyDescent="0.25">
      <c r="B173" s="114" t="s">
        <v>91</v>
      </c>
      <c r="C173" s="184">
        <v>1.9232804232804233</v>
      </c>
      <c r="D173" s="185">
        <v>-2.6178060474089326E-2</v>
      </c>
      <c r="E173" s="184">
        <v>2.9183673469387754</v>
      </c>
      <c r="F173" s="185">
        <f t="shared" si="24"/>
        <v>0.99508692365835216</v>
      </c>
      <c r="G173" s="184">
        <v>2.2709677419354839</v>
      </c>
      <c r="H173" s="185">
        <f t="shared" si="24"/>
        <v>-0.64739960500329152</v>
      </c>
      <c r="I173" s="184">
        <v>2.3391003460207611</v>
      </c>
      <c r="J173" s="185">
        <f t="shared" si="24"/>
        <v>6.8132604085277215E-2</v>
      </c>
      <c r="K173" s="184">
        <v>2.5221238938053099</v>
      </c>
      <c r="L173" s="185">
        <f t="shared" si="25"/>
        <v>0.18302354778454877</v>
      </c>
      <c r="M173" s="184"/>
      <c r="N173" s="185" t="s">
        <v>229</v>
      </c>
      <c r="O173" s="185" t="s">
        <v>229</v>
      </c>
    </row>
    <row r="174" spans="2:15" x14ac:dyDescent="0.25">
      <c r="B174" s="114" t="s">
        <v>93</v>
      </c>
      <c r="C174" s="184">
        <v>2.470414201183432</v>
      </c>
      <c r="D174" s="185">
        <v>0.54220907297830379</v>
      </c>
      <c r="E174" s="184">
        <v>2.2029702970297032</v>
      </c>
      <c r="F174" s="185">
        <f t="shared" si="24"/>
        <v>-0.26744390415372887</v>
      </c>
      <c r="G174" s="184">
        <v>2.1950549450549453</v>
      </c>
      <c r="H174" s="185">
        <f t="shared" si="24"/>
        <v>-7.9153519747579004E-3</v>
      </c>
      <c r="I174" s="184">
        <v>2.0084033613445378</v>
      </c>
      <c r="J174" s="185">
        <f t="shared" si="24"/>
        <v>-0.18665158371040746</v>
      </c>
      <c r="K174" s="184">
        <v>2.2335526315789473</v>
      </c>
      <c r="L174" s="185">
        <f t="shared" si="25"/>
        <v>0.22514927023440956</v>
      </c>
      <c r="M174" s="184"/>
      <c r="N174" s="185" t="s">
        <v>229</v>
      </c>
      <c r="O174" s="185" t="s">
        <v>229</v>
      </c>
    </row>
    <row r="175" spans="2:15" ht="15.75" x14ac:dyDescent="0.25">
      <c r="B175" s="117" t="s">
        <v>30</v>
      </c>
      <c r="C175" s="186">
        <v>2.2462376751427087</v>
      </c>
      <c r="D175" s="187">
        <v>0.20173442760842919</v>
      </c>
      <c r="E175" s="186">
        <v>2.3596757852076999</v>
      </c>
      <c r="F175" s="187">
        <f t="shared" si="24"/>
        <v>0.11343811006499127</v>
      </c>
      <c r="G175" s="186">
        <v>2.0186388025981361</v>
      </c>
      <c r="H175" s="187">
        <f t="shared" si="24"/>
        <v>-0.34103698260956383</v>
      </c>
      <c r="I175" s="186">
        <v>2.3097889800703402</v>
      </c>
      <c r="J175" s="187">
        <f t="shared" si="24"/>
        <v>0.29115017747220406</v>
      </c>
      <c r="K175" s="186">
        <v>2.2913770913770914</v>
      </c>
      <c r="L175" s="187">
        <f t="shared" si="25"/>
        <v>-1.8411888693248724E-2</v>
      </c>
      <c r="M175" s="186">
        <v>2.776889534883721</v>
      </c>
      <c r="N175" s="187">
        <v>0.48101070430957504</v>
      </c>
      <c r="O175" s="187">
        <v>0.47820672961494193</v>
      </c>
    </row>
    <row r="176" spans="2:15" ht="6" customHeight="1" x14ac:dyDescent="0.25"/>
    <row r="177" spans="1:16" x14ac:dyDescent="0.25">
      <c r="B177" s="105" t="s">
        <v>55</v>
      </c>
      <c r="C177" s="105"/>
      <c r="D177" s="105"/>
      <c r="E177" s="105"/>
      <c r="F177" s="105"/>
      <c r="G177" s="105"/>
      <c r="H177" s="105"/>
      <c r="I177" s="105"/>
      <c r="J177" s="105"/>
      <c r="K177" s="124"/>
      <c r="L177" s="105"/>
      <c r="M177" s="105"/>
      <c r="N177" s="105"/>
      <c r="O177" s="105"/>
    </row>
    <row r="180" spans="1:16" ht="48.75" customHeight="1" thickBot="1" x14ac:dyDescent="0.3">
      <c r="B180" s="270" t="s">
        <v>301</v>
      </c>
      <c r="C180" s="270"/>
      <c r="D180" s="270"/>
      <c r="E180" s="270"/>
      <c r="F180" s="270"/>
      <c r="G180" s="270"/>
      <c r="H180" s="270"/>
      <c r="I180" s="270"/>
      <c r="J180" s="270"/>
      <c r="K180" s="270"/>
      <c r="L180" s="270"/>
      <c r="M180" s="270"/>
      <c r="N180" s="270"/>
      <c r="O180" s="270"/>
      <c r="P180" s="1" t="s">
        <v>117</v>
      </c>
    </row>
    <row r="181" spans="1:16" ht="10.5" customHeight="1" thickBot="1" x14ac:dyDescent="0.3">
      <c r="B181" s="106"/>
      <c r="C181" s="107"/>
      <c r="D181" s="106"/>
      <c r="E181" s="106"/>
      <c r="F181" s="106"/>
      <c r="G181" s="106"/>
      <c r="H181" s="106"/>
      <c r="I181" s="106"/>
      <c r="J181" s="106"/>
      <c r="K181" s="106"/>
      <c r="L181" s="106"/>
      <c r="M181" s="4"/>
      <c r="N181" s="4"/>
      <c r="P181" s="1" t="s">
        <v>118</v>
      </c>
    </row>
    <row r="182" spans="1:16" ht="22.5" thickTop="1" thickBot="1" x14ac:dyDescent="0.3">
      <c r="B182" s="121" t="str">
        <f>C182</f>
        <v>Bélgica</v>
      </c>
      <c r="C182" s="292" t="s">
        <v>119</v>
      </c>
      <c r="D182" s="293"/>
      <c r="E182" s="293"/>
      <c r="F182" s="293"/>
      <c r="G182" s="293"/>
      <c r="H182" s="293"/>
      <c r="I182" s="293"/>
      <c r="J182" s="293"/>
      <c r="K182" s="293"/>
      <c r="L182" s="293"/>
      <c r="M182" s="293"/>
      <c r="N182" s="293"/>
      <c r="O182" s="294"/>
    </row>
    <row r="183" spans="1:16" ht="22.5" thickTop="1" thickBot="1" x14ac:dyDescent="0.3">
      <c r="B183" s="109"/>
      <c r="C183" s="295">
        <f>2019</f>
        <v>2019</v>
      </c>
      <c r="D183" s="296"/>
      <c r="E183" s="297">
        <v>2020</v>
      </c>
      <c r="F183" s="296"/>
      <c r="G183" s="297">
        <v>2021</v>
      </c>
      <c r="H183" s="296"/>
      <c r="I183" s="297">
        <v>2022</v>
      </c>
      <c r="J183" s="296"/>
      <c r="K183" s="297">
        <v>2023</v>
      </c>
      <c r="L183" s="296"/>
      <c r="M183" s="297">
        <v>2024</v>
      </c>
      <c r="N183" s="298"/>
      <c r="O183" s="299"/>
    </row>
    <row r="184" spans="1:16" ht="16.5" thickTop="1" thickBot="1" x14ac:dyDescent="0.3">
      <c r="B184" s="85"/>
      <c r="C184" s="111" t="s">
        <v>69</v>
      </c>
      <c r="D184" s="112" t="str">
        <f>CONCATENATE("dif ",RIGHT(2019,2),"/",RIGHT(2018,2))</f>
        <v>dif 19/18</v>
      </c>
      <c r="E184" s="113" t="s">
        <v>69</v>
      </c>
      <c r="F184" s="112" t="str">
        <f>CONCATENATE("dif ",RIGHT(E183,2),"/",RIGHT(C183,2))</f>
        <v>dif 20/19</v>
      </c>
      <c r="G184" s="113" t="s">
        <v>69</v>
      </c>
      <c r="H184" s="112" t="str">
        <f>CONCATENATE("dif ",RIGHT(G183,2),"/",RIGHT(E183,2))</f>
        <v>dif 21/20</v>
      </c>
      <c r="I184" s="113" t="s">
        <v>69</v>
      </c>
      <c r="J184" s="112" t="str">
        <f>CONCATENATE("dif ",RIGHT(I183,2),"/",RIGHT(G183,2))</f>
        <v>dif 22/21</v>
      </c>
      <c r="K184" s="113" t="s">
        <v>69</v>
      </c>
      <c r="L184" s="112" t="str">
        <f>CONCATENATE("dif ",RIGHT(K183,2),"/",RIGHT(I183,2))</f>
        <v>dif 23/22</v>
      </c>
      <c r="M184" s="113" t="s">
        <v>69</v>
      </c>
      <c r="N184" s="112" t="s">
        <v>323</v>
      </c>
      <c r="O184" s="112" t="s">
        <v>324</v>
      </c>
    </row>
    <row r="185" spans="1:16" x14ac:dyDescent="0.25">
      <c r="A185" s="120"/>
      <c r="B185" s="114" t="s">
        <v>71</v>
      </c>
      <c r="C185" s="184">
        <v>2.5810810810810811</v>
      </c>
      <c r="D185" s="185">
        <v>3.1081081081081319E-2</v>
      </c>
      <c r="E185" s="184">
        <v>2.408450704225352</v>
      </c>
      <c r="F185" s="185">
        <f t="shared" ref="F185:J187" si="26">IFERROR(E185-C185,"-")</f>
        <v>-0.17263037685572913</v>
      </c>
      <c r="G185" s="184">
        <v>3.375</v>
      </c>
      <c r="H185" s="185">
        <f t="shared" si="26"/>
        <v>0.96654929577464799</v>
      </c>
      <c r="I185" s="184">
        <v>2.6404494382022472</v>
      </c>
      <c r="J185" s="185">
        <f t="shared" si="26"/>
        <v>-0.7345505617977528</v>
      </c>
      <c r="K185" s="184">
        <v>2.5185185185185186</v>
      </c>
      <c r="L185" s="185">
        <f t="shared" ref="L185:L187" si="27">IFERROR(K185-I185,"-")</f>
        <v>-0.1219309196837286</v>
      </c>
      <c r="M185" s="184">
        <v>2.2865497076023393</v>
      </c>
      <c r="N185" s="185">
        <v>-0.23196881091617927</v>
      </c>
      <c r="O185" s="185">
        <v>-0.29453137347874181</v>
      </c>
    </row>
    <row r="186" spans="1:16" x14ac:dyDescent="0.25">
      <c r="B186" s="114" t="s">
        <v>73</v>
      </c>
      <c r="C186" s="184">
        <v>3</v>
      </c>
      <c r="D186" s="185">
        <v>-0.64583333333333348</v>
      </c>
      <c r="E186" s="184">
        <v>2.7586206896551726</v>
      </c>
      <c r="F186" s="185">
        <f t="shared" si="26"/>
        <v>-0.2413793103448274</v>
      </c>
      <c r="G186" s="184">
        <v>4</v>
      </c>
      <c r="H186" s="185">
        <f t="shared" si="26"/>
        <v>1.2413793103448274</v>
      </c>
      <c r="I186" s="184">
        <v>2.925925925925926</v>
      </c>
      <c r="J186" s="185">
        <f t="shared" si="26"/>
        <v>-1.074074074074074</v>
      </c>
      <c r="K186" s="184">
        <v>3</v>
      </c>
      <c r="L186" s="185">
        <f t="shared" si="27"/>
        <v>7.4074074074073959E-2</v>
      </c>
      <c r="M186" s="184">
        <v>3.2736842105263158</v>
      </c>
      <c r="N186" s="185">
        <v>0.27368421052631575</v>
      </c>
      <c r="O186" s="185">
        <v>0.27368421052631575</v>
      </c>
    </row>
    <row r="187" spans="1:16" x14ac:dyDescent="0.25">
      <c r="B187" s="114" t="s">
        <v>75</v>
      </c>
      <c r="C187" s="184">
        <v>3.8360655737704916</v>
      </c>
      <c r="D187" s="185">
        <v>0.86309260079751882</v>
      </c>
      <c r="E187" s="184">
        <v>1.34375</v>
      </c>
      <c r="F187" s="185">
        <f t="shared" si="26"/>
        <v>-2.4923155737704916</v>
      </c>
      <c r="G187" s="184">
        <v>4.083333333333333</v>
      </c>
      <c r="H187" s="185">
        <f t="shared" si="26"/>
        <v>2.739583333333333</v>
      </c>
      <c r="I187" s="184">
        <v>3.3624999999999998</v>
      </c>
      <c r="J187" s="185">
        <f t="shared" si="26"/>
        <v>-0.72083333333333321</v>
      </c>
      <c r="K187" s="184">
        <v>4.253521126760563</v>
      </c>
      <c r="L187" s="185">
        <f t="shared" si="27"/>
        <v>0.89102112676056322</v>
      </c>
      <c r="M187" s="184">
        <v>3.043010752688172</v>
      </c>
      <c r="N187" s="185">
        <v>-1.210510374072391</v>
      </c>
      <c r="O187" s="185">
        <v>-0.79305482108231962</v>
      </c>
    </row>
    <row r="188" spans="1:16" x14ac:dyDescent="0.25">
      <c r="B188" s="114" t="s">
        <v>77</v>
      </c>
      <c r="C188" s="184">
        <v>2.5319148936170213</v>
      </c>
      <c r="D188" s="185">
        <v>-1.222802087515054</v>
      </c>
      <c r="E188" s="184" t="s">
        <v>229</v>
      </c>
      <c r="F188" s="185" t="str">
        <f>IFERROR(E188-C188,"-")</f>
        <v>-</v>
      </c>
      <c r="G188" s="184">
        <v>2.0857142857142859</v>
      </c>
      <c r="H188" s="185" t="str">
        <f>IFERROR(G188-E188,"-")</f>
        <v>-</v>
      </c>
      <c r="I188" s="184">
        <v>2.6166666666666667</v>
      </c>
      <c r="J188" s="185">
        <f>IFERROR(I188-G188,"-")</f>
        <v>0.53095238095238084</v>
      </c>
      <c r="K188" s="184">
        <v>2.5909090909090908</v>
      </c>
      <c r="L188" s="185">
        <f>IFERROR(K188-I188,"-")</f>
        <v>-2.5757575757575868E-2</v>
      </c>
      <c r="M188" s="184">
        <v>2.6896551724137931</v>
      </c>
      <c r="N188" s="185">
        <v>9.8746081504702321E-2</v>
      </c>
      <c r="O188" s="185">
        <v>0.15774027879677188</v>
      </c>
    </row>
    <row r="189" spans="1:16" x14ac:dyDescent="0.25">
      <c r="B189" s="114" t="s">
        <v>79</v>
      </c>
      <c r="C189" s="184">
        <v>4.2105263157894735</v>
      </c>
      <c r="D189" s="185">
        <v>-1.5894736842105264</v>
      </c>
      <c r="E189" s="184" t="s">
        <v>229</v>
      </c>
      <c r="F189" s="185" t="str">
        <f t="shared" ref="F189:J197" si="28">IFERROR(E189-C189,"-")</f>
        <v>-</v>
      </c>
      <c r="G189" s="184">
        <v>1.5454545454545454</v>
      </c>
      <c r="H189" s="185" t="str">
        <f t="shared" si="28"/>
        <v>-</v>
      </c>
      <c r="I189" s="184">
        <v>3.25</v>
      </c>
      <c r="J189" s="185">
        <f t="shared" si="28"/>
        <v>1.7045454545454546</v>
      </c>
      <c r="K189" s="184">
        <v>2.59375</v>
      </c>
      <c r="L189" s="185">
        <f t="shared" ref="L189:L197" si="29">IFERROR(K189-I189,"-")</f>
        <v>-0.65625</v>
      </c>
      <c r="M189" s="184">
        <v>1.346938775510204</v>
      </c>
      <c r="N189" s="185">
        <v>-1.246811224489796</v>
      </c>
      <c r="O189" s="185">
        <v>-2.8635875402792692</v>
      </c>
    </row>
    <row r="190" spans="1:16" x14ac:dyDescent="0.25">
      <c r="B190" s="114" t="s">
        <v>120</v>
      </c>
      <c r="C190" s="184">
        <v>1.9090909090909092</v>
      </c>
      <c r="D190" s="185">
        <v>-1.8803827751196169</v>
      </c>
      <c r="E190" s="184" t="s">
        <v>229</v>
      </c>
      <c r="F190" s="185" t="str">
        <f t="shared" si="28"/>
        <v>-</v>
      </c>
      <c r="G190" s="184">
        <v>3.36</v>
      </c>
      <c r="H190" s="185" t="str">
        <f t="shared" si="28"/>
        <v>-</v>
      </c>
      <c r="I190" s="184">
        <v>2.2580645161290325</v>
      </c>
      <c r="J190" s="185">
        <f t="shared" si="28"/>
        <v>-1.1019354838709674</v>
      </c>
      <c r="K190" s="184">
        <v>2.28125</v>
      </c>
      <c r="L190" s="185">
        <f t="shared" si="29"/>
        <v>2.3185483870967527E-2</v>
      </c>
      <c r="M190" s="184">
        <v>2.8947368421052633</v>
      </c>
      <c r="N190" s="185">
        <v>0.61348684210526327</v>
      </c>
      <c r="O190" s="185">
        <v>0.9856459330143541</v>
      </c>
    </row>
    <row r="191" spans="1:16" x14ac:dyDescent="0.25">
      <c r="B191" s="114" t="s">
        <v>83</v>
      </c>
      <c r="C191" s="184">
        <v>1.6538461538461537</v>
      </c>
      <c r="D191" s="185">
        <v>-1.3461538461538463</v>
      </c>
      <c r="E191" s="184" t="s">
        <v>229</v>
      </c>
      <c r="F191" s="185" t="str">
        <f t="shared" si="28"/>
        <v>-</v>
      </c>
      <c r="G191" s="184">
        <v>2.5116279069767442</v>
      </c>
      <c r="H191" s="185" t="str">
        <f t="shared" si="28"/>
        <v>-</v>
      </c>
      <c r="I191" s="184">
        <v>3.4262295081967213</v>
      </c>
      <c r="J191" s="185">
        <f t="shared" si="28"/>
        <v>0.91460160121997713</v>
      </c>
      <c r="K191" s="184">
        <v>2.5813953488372094</v>
      </c>
      <c r="L191" s="185">
        <f t="shared" si="29"/>
        <v>-0.84483415935951189</v>
      </c>
      <c r="M191" s="184">
        <v>2.36</v>
      </c>
      <c r="N191" s="185">
        <v>-0.22139534883720957</v>
      </c>
      <c r="O191" s="185">
        <v>0.70615384615384613</v>
      </c>
    </row>
    <row r="192" spans="1:16" x14ac:dyDescent="0.25">
      <c r="B192" s="114" t="s">
        <v>85</v>
      </c>
      <c r="C192" s="184">
        <v>1.8181818181818181</v>
      </c>
      <c r="D192" s="185">
        <v>-0.946524064171123</v>
      </c>
      <c r="E192" s="184">
        <v>2.6666666666666665</v>
      </c>
      <c r="F192" s="185">
        <f t="shared" si="28"/>
        <v>0.8484848484848484</v>
      </c>
      <c r="G192" s="184">
        <v>1.7179487179487178</v>
      </c>
      <c r="H192" s="185">
        <f t="shared" si="28"/>
        <v>-0.94871794871794868</v>
      </c>
      <c r="I192" s="184">
        <v>2.406779661016949</v>
      </c>
      <c r="J192" s="185">
        <f t="shared" si="28"/>
        <v>0.68883094306823112</v>
      </c>
      <c r="K192" s="184">
        <v>2.3877551020408165</v>
      </c>
      <c r="L192" s="185">
        <f t="shared" si="29"/>
        <v>-1.9024558976132422E-2</v>
      </c>
      <c r="M192" s="184">
        <v>2.3050847457627119</v>
      </c>
      <c r="N192" s="185">
        <v>-8.2670356278104595E-2</v>
      </c>
      <c r="O192" s="185">
        <v>0.48690292758089382</v>
      </c>
    </row>
    <row r="193" spans="2:16" x14ac:dyDescent="0.25">
      <c r="B193" s="114" t="s">
        <v>87</v>
      </c>
      <c r="C193" s="184">
        <v>1.5</v>
      </c>
      <c r="D193" s="185">
        <v>-1.6538461538461537</v>
      </c>
      <c r="E193" s="184">
        <v>2.15</v>
      </c>
      <c r="F193" s="185">
        <f t="shared" si="28"/>
        <v>0.64999999999999991</v>
      </c>
      <c r="G193" s="184">
        <v>2</v>
      </c>
      <c r="H193" s="185">
        <f t="shared" si="28"/>
        <v>-0.14999999999999991</v>
      </c>
      <c r="I193" s="184">
        <v>3.9</v>
      </c>
      <c r="J193" s="185">
        <f t="shared" si="28"/>
        <v>1.9</v>
      </c>
      <c r="K193" s="184">
        <v>2.9268292682926829</v>
      </c>
      <c r="L193" s="185">
        <f t="shared" si="29"/>
        <v>-0.97317073170731705</v>
      </c>
      <c r="M193" s="184">
        <v>3.8536585365853657</v>
      </c>
      <c r="N193" s="185">
        <v>0.92682926829268286</v>
      </c>
      <c r="O193" s="185">
        <v>2.3536585365853657</v>
      </c>
    </row>
    <row r="194" spans="2:16" x14ac:dyDescent="0.25">
      <c r="B194" s="114" t="s">
        <v>89</v>
      </c>
      <c r="C194" s="184">
        <v>2.074074074074074</v>
      </c>
      <c r="D194" s="185">
        <v>-0.21759259259259256</v>
      </c>
      <c r="E194" s="184">
        <v>1.8974358974358974</v>
      </c>
      <c r="F194" s="185">
        <f t="shared" si="28"/>
        <v>-0.1766381766381766</v>
      </c>
      <c r="G194" s="184">
        <v>2.7580645161290325</v>
      </c>
      <c r="H194" s="185">
        <f t="shared" si="28"/>
        <v>0.86062861869313512</v>
      </c>
      <c r="I194" s="184">
        <v>2.2432432432432434</v>
      </c>
      <c r="J194" s="185">
        <f t="shared" si="28"/>
        <v>-0.51482127288578905</v>
      </c>
      <c r="K194" s="184">
        <v>2.9</v>
      </c>
      <c r="L194" s="185">
        <f t="shared" si="29"/>
        <v>0.65675675675675649</v>
      </c>
      <c r="M194" s="184"/>
      <c r="N194" s="185" t="s">
        <v>229</v>
      </c>
      <c r="O194" s="185" t="s">
        <v>229</v>
      </c>
    </row>
    <row r="195" spans="2:16" x14ac:dyDescent="0.25">
      <c r="B195" s="114" t="s">
        <v>91</v>
      </c>
      <c r="C195" s="184">
        <v>1.5316455696202531</v>
      </c>
      <c r="D195" s="185">
        <v>-1.7004972875226041</v>
      </c>
      <c r="E195" s="184">
        <v>2.4509803921568629</v>
      </c>
      <c r="F195" s="185">
        <f t="shared" si="28"/>
        <v>0.91933482253660981</v>
      </c>
      <c r="G195" s="184">
        <v>3.0673076923076925</v>
      </c>
      <c r="H195" s="185">
        <f t="shared" si="28"/>
        <v>0.61632730015082959</v>
      </c>
      <c r="I195" s="184">
        <v>2.2428571428571429</v>
      </c>
      <c r="J195" s="185">
        <f t="shared" si="28"/>
        <v>-0.82445054945054963</v>
      </c>
      <c r="K195" s="184">
        <v>2.961904761904762</v>
      </c>
      <c r="L195" s="185">
        <f t="shared" si="29"/>
        <v>0.71904761904761916</v>
      </c>
      <c r="M195" s="184"/>
      <c r="N195" s="185" t="s">
        <v>229</v>
      </c>
      <c r="O195" s="185" t="s">
        <v>229</v>
      </c>
    </row>
    <row r="196" spans="2:16" x14ac:dyDescent="0.25">
      <c r="B196" s="114" t="s">
        <v>93</v>
      </c>
      <c r="C196" s="184">
        <v>2.85</v>
      </c>
      <c r="D196" s="185">
        <v>0.99141414141414153</v>
      </c>
      <c r="E196" s="184">
        <v>1.8</v>
      </c>
      <c r="F196" s="185">
        <f t="shared" si="28"/>
        <v>-1.05</v>
      </c>
      <c r="G196" s="184">
        <v>2.4202898550724639</v>
      </c>
      <c r="H196" s="185">
        <f t="shared" si="28"/>
        <v>0.62028985507246381</v>
      </c>
      <c r="I196" s="184">
        <v>2.1538461538461537</v>
      </c>
      <c r="J196" s="185">
        <f t="shared" si="28"/>
        <v>-0.26644370122631011</v>
      </c>
      <c r="K196" s="184">
        <v>2.0506329113924049</v>
      </c>
      <c r="L196" s="185">
        <f t="shared" si="29"/>
        <v>-0.10321324245374885</v>
      </c>
      <c r="M196" s="184"/>
      <c r="N196" s="185" t="s">
        <v>229</v>
      </c>
      <c r="O196" s="185" t="s">
        <v>229</v>
      </c>
    </row>
    <row r="197" spans="2:16" ht="15.75" x14ac:dyDescent="0.25">
      <c r="B197" s="117" t="s">
        <v>30</v>
      </c>
      <c r="C197" s="186">
        <v>2.5009633911368017</v>
      </c>
      <c r="D197" s="187">
        <v>-0.43349353770214982</v>
      </c>
      <c r="E197" s="186">
        <v>2.2450142450142452</v>
      </c>
      <c r="F197" s="187">
        <f t="shared" si="28"/>
        <v>-0.25594914612255648</v>
      </c>
      <c r="G197" s="186">
        <v>2.5936883629191323</v>
      </c>
      <c r="H197" s="187">
        <f t="shared" si="28"/>
        <v>0.34867411790488712</v>
      </c>
      <c r="I197" s="186">
        <v>2.774193548387097</v>
      </c>
      <c r="J197" s="187">
        <f t="shared" si="28"/>
        <v>0.18050518546796468</v>
      </c>
      <c r="K197" s="186">
        <v>2.7876923076923079</v>
      </c>
      <c r="L197" s="187">
        <f t="shared" si="29"/>
        <v>1.3498759305210939E-2</v>
      </c>
      <c r="M197" s="186">
        <v>2.6494522691705789</v>
      </c>
      <c r="N197" s="187">
        <v>-0.22143974960876367</v>
      </c>
      <c r="O197" s="187">
        <v>-5.0279634314675636E-2</v>
      </c>
    </row>
    <row r="198" spans="2:16" ht="6" customHeight="1" x14ac:dyDescent="0.25"/>
    <row r="199" spans="2:16" x14ac:dyDescent="0.25">
      <c r="B199" s="105" t="s">
        <v>55</v>
      </c>
      <c r="C199" s="105"/>
      <c r="D199" s="105"/>
      <c r="E199" s="105"/>
      <c r="F199" s="105"/>
      <c r="G199" s="105"/>
      <c r="H199" s="105"/>
      <c r="I199" s="105"/>
      <c r="J199" s="105"/>
      <c r="K199" s="105"/>
      <c r="L199" s="105"/>
      <c r="M199" s="105"/>
      <c r="N199" s="105"/>
      <c r="O199" s="105"/>
    </row>
    <row r="200" spans="2:16" x14ac:dyDescent="0.25">
      <c r="K200" s="120"/>
    </row>
    <row r="201" spans="2:16" x14ac:dyDescent="0.25">
      <c r="C201" s="79"/>
      <c r="D201" s="79"/>
      <c r="E201" s="79"/>
      <c r="F201" s="79"/>
      <c r="G201" s="79"/>
      <c r="H201" s="79"/>
      <c r="I201" s="79"/>
      <c r="J201" s="79"/>
      <c r="K201" s="79"/>
      <c r="L201" s="79"/>
      <c r="M201" s="79"/>
      <c r="N201" s="79"/>
      <c r="O201" s="79"/>
    </row>
    <row r="202" spans="2:16" ht="48.75" customHeight="1" thickBot="1" x14ac:dyDescent="0.3">
      <c r="B202" s="270" t="s">
        <v>302</v>
      </c>
      <c r="C202" s="270"/>
      <c r="D202" s="270"/>
      <c r="E202" s="270"/>
      <c r="F202" s="270"/>
      <c r="G202" s="270"/>
      <c r="H202" s="270"/>
      <c r="I202" s="270"/>
      <c r="J202" s="270"/>
      <c r="K202" s="270"/>
      <c r="L202" s="270"/>
      <c r="M202" s="270"/>
      <c r="N202" s="270"/>
      <c r="O202" s="270"/>
      <c r="P202" s="1" t="s">
        <v>121</v>
      </c>
    </row>
    <row r="203" spans="2:16" ht="10.5" customHeight="1" thickBot="1" x14ac:dyDescent="0.3">
      <c r="B203" s="106"/>
      <c r="C203" s="107"/>
      <c r="D203" s="106"/>
      <c r="E203" s="106"/>
      <c r="F203" s="106"/>
      <c r="G203" s="106"/>
      <c r="H203" s="106"/>
      <c r="I203" s="106"/>
      <c r="J203" s="106"/>
      <c r="K203" s="106"/>
      <c r="L203" s="106"/>
      <c r="M203" s="4"/>
      <c r="N203" s="4"/>
      <c r="P203" s="1" t="s">
        <v>122</v>
      </c>
    </row>
    <row r="204" spans="2:16" ht="22.5" thickTop="1" thickBot="1" x14ac:dyDescent="0.3">
      <c r="B204" s="121" t="str">
        <f>C204</f>
        <v>Países Bajos</v>
      </c>
      <c r="C204" s="292" t="s">
        <v>123</v>
      </c>
      <c r="D204" s="293"/>
      <c r="E204" s="293"/>
      <c r="F204" s="293"/>
      <c r="G204" s="293"/>
      <c r="H204" s="293"/>
      <c r="I204" s="293"/>
      <c r="J204" s="293"/>
      <c r="K204" s="293"/>
      <c r="L204" s="293"/>
      <c r="M204" s="293"/>
      <c r="N204" s="293"/>
      <c r="O204" s="294"/>
    </row>
    <row r="205" spans="2:16" ht="22.5" thickTop="1" thickBot="1" x14ac:dyDescent="0.3">
      <c r="B205" s="109"/>
      <c r="C205" s="295">
        <f>2019</f>
        <v>2019</v>
      </c>
      <c r="D205" s="296"/>
      <c r="E205" s="297">
        <v>2020</v>
      </c>
      <c r="F205" s="296"/>
      <c r="G205" s="297">
        <v>2021</v>
      </c>
      <c r="H205" s="296"/>
      <c r="I205" s="297">
        <v>2022</v>
      </c>
      <c r="J205" s="296"/>
      <c r="K205" s="297">
        <v>2023</v>
      </c>
      <c r="L205" s="296"/>
      <c r="M205" s="297">
        <v>2024</v>
      </c>
      <c r="N205" s="298"/>
      <c r="O205" s="299"/>
    </row>
    <row r="206" spans="2:16" ht="16.5" thickTop="1" thickBot="1" x14ac:dyDescent="0.3">
      <c r="B206" s="85"/>
      <c r="C206" s="111" t="s">
        <v>69</v>
      </c>
      <c r="D206" s="112" t="str">
        <f>CONCATENATE("dif ",RIGHT(2019,2),"/",RIGHT(2018,2))</f>
        <v>dif 19/18</v>
      </c>
      <c r="E206" s="113" t="s">
        <v>69</v>
      </c>
      <c r="F206" s="112" t="str">
        <f>CONCATENATE("dif ",RIGHT(E205,2),"/",RIGHT(C205,2))</f>
        <v>dif 20/19</v>
      </c>
      <c r="G206" s="113" t="s">
        <v>69</v>
      </c>
      <c r="H206" s="112" t="str">
        <f>CONCATENATE("dif ",RIGHT(G205,2),"/",RIGHT(E205,2))</f>
        <v>dif 21/20</v>
      </c>
      <c r="I206" s="113" t="s">
        <v>69</v>
      </c>
      <c r="J206" s="112" t="str">
        <f>CONCATENATE("dif ",RIGHT(I205,2),"/",RIGHT(G205,2))</f>
        <v>dif 22/21</v>
      </c>
      <c r="K206" s="113" t="s">
        <v>69</v>
      </c>
      <c r="L206" s="112" t="str">
        <f>CONCATENATE("dif ",RIGHT(K205,2),"/",RIGHT(I205,2))</f>
        <v>dif 23/22</v>
      </c>
      <c r="M206" s="113" t="s">
        <v>69</v>
      </c>
      <c r="N206" s="112" t="s">
        <v>323</v>
      </c>
      <c r="O206" s="112" t="s">
        <v>324</v>
      </c>
    </row>
    <row r="207" spans="2:16" x14ac:dyDescent="0.25">
      <c r="B207" s="114" t="s">
        <v>71</v>
      </c>
      <c r="C207" s="184">
        <v>3.4125000000000001</v>
      </c>
      <c r="D207" s="185">
        <v>-4.0988372093023084E-2</v>
      </c>
      <c r="E207" s="184">
        <v>2.3258426966292136</v>
      </c>
      <c r="F207" s="185">
        <f t="shared" ref="F207:J209" si="30">IFERROR(E207-C207,"-")</f>
        <v>-1.0866573033707865</v>
      </c>
      <c r="G207" s="184">
        <v>1.6</v>
      </c>
      <c r="H207" s="185">
        <f t="shared" si="30"/>
        <v>-0.72584269662921352</v>
      </c>
      <c r="I207" s="184">
        <v>3.8759689922480618</v>
      </c>
      <c r="J207" s="185">
        <f t="shared" si="30"/>
        <v>2.2759689922480617</v>
      </c>
      <c r="K207" s="184">
        <v>4.2846715328467155</v>
      </c>
      <c r="L207" s="185">
        <f t="shared" ref="L207:L209" si="31">IFERROR(K207-I207,"-")</f>
        <v>0.40870254059865374</v>
      </c>
      <c r="M207" s="184">
        <v>4.0129870129870131</v>
      </c>
      <c r="N207" s="185">
        <v>-0.27168451985970243</v>
      </c>
      <c r="O207" s="185">
        <v>0.60048701298701301</v>
      </c>
    </row>
    <row r="208" spans="2:16" x14ac:dyDescent="0.25">
      <c r="B208" s="114" t="s">
        <v>73</v>
      </c>
      <c r="C208" s="184">
        <v>4.395833333333333</v>
      </c>
      <c r="D208" s="185">
        <v>-1.2094298245614041</v>
      </c>
      <c r="E208" s="184">
        <v>3.5098039215686274</v>
      </c>
      <c r="F208" s="185">
        <f t="shared" si="30"/>
        <v>-0.88602941176470562</v>
      </c>
      <c r="G208" s="184">
        <v>1.7</v>
      </c>
      <c r="H208" s="185">
        <f t="shared" si="30"/>
        <v>-1.8098039215686275</v>
      </c>
      <c r="I208" s="184">
        <v>3.2136752136752138</v>
      </c>
      <c r="J208" s="185">
        <f t="shared" si="30"/>
        <v>1.5136752136752138</v>
      </c>
      <c r="K208" s="184">
        <v>4.5227272727272725</v>
      </c>
      <c r="L208" s="185">
        <f t="shared" si="31"/>
        <v>1.3090520590520587</v>
      </c>
      <c r="M208" s="184">
        <v>3.5890410958904111</v>
      </c>
      <c r="N208" s="185">
        <v>-0.93368617683686139</v>
      </c>
      <c r="O208" s="185">
        <v>-0.80679223744292194</v>
      </c>
    </row>
    <row r="209" spans="2:16" x14ac:dyDescent="0.25">
      <c r="B209" s="114" t="s">
        <v>75</v>
      </c>
      <c r="C209" s="184">
        <v>2.6666666666666665</v>
      </c>
      <c r="D209" s="185">
        <v>-3.6666666666666665</v>
      </c>
      <c r="E209" s="184">
        <v>4.1304347826086953</v>
      </c>
      <c r="F209" s="185">
        <f t="shared" si="30"/>
        <v>1.4637681159420288</v>
      </c>
      <c r="G209" s="184">
        <v>2.2272727272727271</v>
      </c>
      <c r="H209" s="185">
        <f t="shared" si="30"/>
        <v>-1.9031620553359683</v>
      </c>
      <c r="I209" s="184">
        <v>2.9935897435897436</v>
      </c>
      <c r="J209" s="185">
        <f t="shared" si="30"/>
        <v>0.76631701631701654</v>
      </c>
      <c r="K209" s="184">
        <v>3.8451612903225807</v>
      </c>
      <c r="L209" s="185">
        <f t="shared" si="31"/>
        <v>0.85157154673283708</v>
      </c>
      <c r="M209" s="184">
        <v>3.3227848101265822</v>
      </c>
      <c r="N209" s="185">
        <v>-0.52237648019599847</v>
      </c>
      <c r="O209" s="185">
        <v>0.6561181434599157</v>
      </c>
    </row>
    <row r="210" spans="2:16" x14ac:dyDescent="0.25">
      <c r="B210" s="114" t="s">
        <v>77</v>
      </c>
      <c r="C210" s="184">
        <v>4</v>
      </c>
      <c r="D210" s="185">
        <v>-1.4594594594594597</v>
      </c>
      <c r="E210" s="184" t="s">
        <v>229</v>
      </c>
      <c r="F210" s="185" t="str">
        <f>IFERROR(E210-C210,"-")</f>
        <v>-</v>
      </c>
      <c r="G210" s="184">
        <v>3.75</v>
      </c>
      <c r="H210" s="185" t="str">
        <f>IFERROR(G210-E210,"-")</f>
        <v>-</v>
      </c>
      <c r="I210" s="184">
        <v>3.8653846153846154</v>
      </c>
      <c r="J210" s="185">
        <f>IFERROR(I210-G210,"-")</f>
        <v>0.11538461538461542</v>
      </c>
      <c r="K210" s="184">
        <v>2.9874999999999998</v>
      </c>
      <c r="L210" s="185">
        <f>IFERROR(K210-I210,"-")</f>
        <v>-0.8778846153846156</v>
      </c>
      <c r="M210" s="184">
        <v>7.709677419354839</v>
      </c>
      <c r="N210" s="185">
        <v>4.7221774193548391</v>
      </c>
      <c r="O210" s="185">
        <v>3.709677419354839</v>
      </c>
    </row>
    <row r="211" spans="2:16" x14ac:dyDescent="0.25">
      <c r="B211" s="114" t="s">
        <v>79</v>
      </c>
      <c r="C211" s="184">
        <v>3.161290322580645</v>
      </c>
      <c r="D211" s="185">
        <v>-0.46370967741935498</v>
      </c>
      <c r="E211" s="184" t="s">
        <v>229</v>
      </c>
      <c r="F211" s="185" t="str">
        <f t="shared" ref="F211:J219" si="32">IFERROR(E211-C211,"-")</f>
        <v>-</v>
      </c>
      <c r="G211" s="184">
        <v>3.1666666666666665</v>
      </c>
      <c r="H211" s="185" t="str">
        <f t="shared" si="32"/>
        <v>-</v>
      </c>
      <c r="I211" s="184">
        <v>4.5925925925925926</v>
      </c>
      <c r="J211" s="185">
        <f t="shared" si="32"/>
        <v>1.425925925925926</v>
      </c>
      <c r="K211" s="184">
        <v>4.8780487804878048</v>
      </c>
      <c r="L211" s="185">
        <f t="shared" ref="L211:L219" si="33">IFERROR(K211-I211,"-")</f>
        <v>0.28545618789521221</v>
      </c>
      <c r="M211" s="184">
        <v>5.4523809523809526</v>
      </c>
      <c r="N211" s="185">
        <v>0.57433217189314778</v>
      </c>
      <c r="O211" s="185">
        <v>2.2910906298003075</v>
      </c>
    </row>
    <row r="212" spans="2:16" x14ac:dyDescent="0.25">
      <c r="B212" s="114" t="s">
        <v>81</v>
      </c>
      <c r="C212" s="184">
        <v>5.03125</v>
      </c>
      <c r="D212" s="185">
        <v>2.9479166666666665</v>
      </c>
      <c r="E212" s="184" t="s">
        <v>229</v>
      </c>
      <c r="F212" s="185" t="str">
        <f t="shared" si="32"/>
        <v>-</v>
      </c>
      <c r="G212" s="184">
        <v>3.0588235294117645</v>
      </c>
      <c r="H212" s="185" t="str">
        <f t="shared" si="32"/>
        <v>-</v>
      </c>
      <c r="I212" s="184">
        <v>5.2705882352941176</v>
      </c>
      <c r="J212" s="185">
        <f t="shared" si="32"/>
        <v>2.2117647058823531</v>
      </c>
      <c r="K212" s="184">
        <v>4.2333333333333334</v>
      </c>
      <c r="L212" s="185">
        <f t="shared" si="33"/>
        <v>-1.0372549019607842</v>
      </c>
      <c r="M212" s="184">
        <v>8.7222222222222214</v>
      </c>
      <c r="N212" s="185">
        <v>4.488888888888888</v>
      </c>
      <c r="O212" s="185">
        <v>3.6909722222222214</v>
      </c>
    </row>
    <row r="213" spans="2:16" x14ac:dyDescent="0.25">
      <c r="B213" s="114" t="s">
        <v>83</v>
      </c>
      <c r="C213" s="184">
        <v>3.6</v>
      </c>
      <c r="D213" s="185">
        <v>-0.39999999999999991</v>
      </c>
      <c r="E213" s="184" t="s">
        <v>229</v>
      </c>
      <c r="F213" s="185" t="str">
        <f t="shared" si="32"/>
        <v>-</v>
      </c>
      <c r="G213" s="184">
        <v>2.4666666666666668</v>
      </c>
      <c r="H213" s="185" t="str">
        <f t="shared" si="32"/>
        <v>-</v>
      </c>
      <c r="I213" s="184">
        <v>3.6904761904761907</v>
      </c>
      <c r="J213" s="185">
        <f t="shared" si="32"/>
        <v>1.2238095238095239</v>
      </c>
      <c r="K213" s="184">
        <v>4.6315789473684212</v>
      </c>
      <c r="L213" s="185">
        <f t="shared" si="33"/>
        <v>0.94110275689223055</v>
      </c>
      <c r="M213" s="184">
        <v>4.6206896551724137</v>
      </c>
      <c r="N213" s="185">
        <v>-1.0889292196007538E-2</v>
      </c>
      <c r="O213" s="185">
        <v>1.0206896551724136</v>
      </c>
    </row>
    <row r="214" spans="2:16" x14ac:dyDescent="0.25">
      <c r="B214" s="114" t="s">
        <v>85</v>
      </c>
      <c r="C214" s="184">
        <v>7.6578947368421053</v>
      </c>
      <c r="D214" s="185">
        <v>3.7546689303904923</v>
      </c>
      <c r="E214" s="184">
        <v>2.1111111111111112</v>
      </c>
      <c r="F214" s="185">
        <f t="shared" si="32"/>
        <v>-5.5467836257309937</v>
      </c>
      <c r="G214" s="184">
        <v>3.1666666666666665</v>
      </c>
      <c r="H214" s="185">
        <f t="shared" si="32"/>
        <v>1.0555555555555554</v>
      </c>
      <c r="I214" s="184">
        <v>3.6132075471698113</v>
      </c>
      <c r="J214" s="185">
        <f t="shared" si="32"/>
        <v>0.44654088050314478</v>
      </c>
      <c r="K214" s="184">
        <v>3.3260869565217392</v>
      </c>
      <c r="L214" s="185">
        <f t="shared" si="33"/>
        <v>-0.28712059064807205</v>
      </c>
      <c r="M214" s="184">
        <v>5.0930232558139537</v>
      </c>
      <c r="N214" s="185">
        <v>1.7669362992922144</v>
      </c>
      <c r="O214" s="185">
        <v>-2.5648714810281517</v>
      </c>
    </row>
    <row r="215" spans="2:16" x14ac:dyDescent="0.25">
      <c r="B215" s="114" t="s">
        <v>87</v>
      </c>
      <c r="C215" s="184">
        <v>4</v>
      </c>
      <c r="D215" s="185">
        <v>-4.6923076923076916</v>
      </c>
      <c r="E215" s="184">
        <v>1</v>
      </c>
      <c r="F215" s="185">
        <f t="shared" si="32"/>
        <v>-3</v>
      </c>
      <c r="G215" s="184">
        <v>6.2307692307692308</v>
      </c>
      <c r="H215" s="185">
        <f t="shared" si="32"/>
        <v>5.2307692307692308</v>
      </c>
      <c r="I215" s="184">
        <v>5.0454545454545459</v>
      </c>
      <c r="J215" s="185">
        <f t="shared" si="32"/>
        <v>-1.185314685314685</v>
      </c>
      <c r="K215" s="184">
        <v>6.258064516129032</v>
      </c>
      <c r="L215" s="185">
        <f t="shared" si="33"/>
        <v>1.2126099706744862</v>
      </c>
      <c r="M215" s="184">
        <v>3.903225806451613</v>
      </c>
      <c r="N215" s="185">
        <v>-2.354838709677419</v>
      </c>
      <c r="O215" s="185">
        <v>-9.6774193548387011E-2</v>
      </c>
    </row>
    <row r="216" spans="2:16" x14ac:dyDescent="0.25">
      <c r="B216" s="114" t="s">
        <v>89</v>
      </c>
      <c r="C216" s="184">
        <v>3.4225352112676055</v>
      </c>
      <c r="D216" s="185">
        <v>0.81539235412474831</v>
      </c>
      <c r="E216" s="184">
        <v>1.25</v>
      </c>
      <c r="F216" s="185">
        <f t="shared" si="32"/>
        <v>-2.1725352112676055</v>
      </c>
      <c r="G216" s="184">
        <v>2.9565217391304346</v>
      </c>
      <c r="H216" s="185">
        <f t="shared" si="32"/>
        <v>1.7065217391304346</v>
      </c>
      <c r="I216" s="184">
        <v>6.3611111111111107</v>
      </c>
      <c r="J216" s="185">
        <f t="shared" si="32"/>
        <v>3.4045893719806761</v>
      </c>
      <c r="K216" s="184">
        <v>4.092307692307692</v>
      </c>
      <c r="L216" s="185">
        <f t="shared" si="33"/>
        <v>-2.2688034188034187</v>
      </c>
      <c r="M216" s="184"/>
      <c r="N216" s="185" t="s">
        <v>229</v>
      </c>
      <c r="O216" s="185" t="s">
        <v>229</v>
      </c>
    </row>
    <row r="217" spans="2:16" x14ac:dyDescent="0.25">
      <c r="B217" s="114" t="s">
        <v>91</v>
      </c>
      <c r="C217" s="184">
        <v>2.0754716981132075</v>
      </c>
      <c r="D217" s="185">
        <v>-0.39622641509433976</v>
      </c>
      <c r="E217" s="184">
        <v>1.3333333333333333</v>
      </c>
      <c r="F217" s="185">
        <f t="shared" si="32"/>
        <v>-0.74213836477987427</v>
      </c>
      <c r="G217" s="184">
        <v>2.7094017094017095</v>
      </c>
      <c r="H217" s="185">
        <f t="shared" si="32"/>
        <v>1.3760683760683763</v>
      </c>
      <c r="I217" s="184">
        <v>7.666666666666667</v>
      </c>
      <c r="J217" s="185">
        <f t="shared" si="32"/>
        <v>4.9572649572649574</v>
      </c>
      <c r="K217" s="184">
        <v>2.8245614035087718</v>
      </c>
      <c r="L217" s="185">
        <f t="shared" si="33"/>
        <v>-4.8421052631578956</v>
      </c>
      <c r="M217" s="184"/>
      <c r="N217" s="185" t="s">
        <v>229</v>
      </c>
      <c r="O217" s="185" t="s">
        <v>229</v>
      </c>
    </row>
    <row r="218" spans="2:16" x14ac:dyDescent="0.25">
      <c r="B218" s="114" t="s">
        <v>93</v>
      </c>
      <c r="C218" s="184">
        <v>2.4624999999999999</v>
      </c>
      <c r="D218" s="185">
        <v>-5.3629032258064591E-2</v>
      </c>
      <c r="E218" s="184">
        <v>1</v>
      </c>
      <c r="F218" s="185">
        <f t="shared" si="32"/>
        <v>-1.4624999999999999</v>
      </c>
      <c r="G218" s="184">
        <v>3.2523364485981308</v>
      </c>
      <c r="H218" s="185">
        <f t="shared" si="32"/>
        <v>2.2523364485981308</v>
      </c>
      <c r="I218" s="184">
        <v>3.0909090909090908</v>
      </c>
      <c r="J218" s="185">
        <f t="shared" si="32"/>
        <v>-0.16142735768903993</v>
      </c>
      <c r="K218" s="184">
        <v>3.2300884955752212</v>
      </c>
      <c r="L218" s="185">
        <f t="shared" si="33"/>
        <v>0.13917940466613032</v>
      </c>
      <c r="M218" s="184"/>
      <c r="N218" s="185" t="s">
        <v>229</v>
      </c>
      <c r="O218" s="185" t="s">
        <v>229</v>
      </c>
    </row>
    <row r="219" spans="2:16" ht="15.75" x14ac:dyDescent="0.25">
      <c r="B219" s="117" t="s">
        <v>30</v>
      </c>
      <c r="C219" s="186">
        <v>3.4191702432045781</v>
      </c>
      <c r="D219" s="187">
        <v>-0.63316620539355251</v>
      </c>
      <c r="E219" s="186">
        <v>2.9102167182662537</v>
      </c>
      <c r="F219" s="187">
        <f t="shared" si="32"/>
        <v>-0.50895352493832435</v>
      </c>
      <c r="G219" s="186">
        <v>3.2060185185185186</v>
      </c>
      <c r="H219" s="187">
        <f t="shared" si="32"/>
        <v>0.29580180025226488</v>
      </c>
      <c r="I219" s="186">
        <v>4.25</v>
      </c>
      <c r="J219" s="187">
        <f t="shared" si="32"/>
        <v>1.0439814814814814</v>
      </c>
      <c r="K219" s="186">
        <v>3.8624733475479744</v>
      </c>
      <c r="L219" s="187">
        <f t="shared" si="33"/>
        <v>-0.38752665245202556</v>
      </c>
      <c r="M219" s="186">
        <v>4.5106990014265333</v>
      </c>
      <c r="N219" s="187">
        <v>0.37757206644201347</v>
      </c>
      <c r="O219" s="187">
        <v>0.59667185210526652</v>
      </c>
    </row>
    <row r="220" spans="2:16" ht="6" customHeight="1" x14ac:dyDescent="0.25"/>
    <row r="221" spans="2:16" x14ac:dyDescent="0.25">
      <c r="B221" s="105" t="s">
        <v>55</v>
      </c>
      <c r="C221" s="105"/>
      <c r="D221" s="105"/>
      <c r="E221" s="105"/>
      <c r="F221" s="105"/>
      <c r="G221" s="105"/>
      <c r="H221" s="105"/>
      <c r="I221" s="105"/>
      <c r="J221" s="105"/>
      <c r="K221" s="105"/>
      <c r="L221" s="105"/>
      <c r="M221" s="105"/>
      <c r="N221" s="105"/>
      <c r="O221" s="105"/>
    </row>
    <row r="222" spans="2:16" x14ac:dyDescent="0.25">
      <c r="K222" s="120"/>
      <c r="M222" s="122"/>
      <c r="O222" s="122"/>
    </row>
    <row r="224" spans="2:16" ht="48.75" customHeight="1" thickBot="1" x14ac:dyDescent="0.3">
      <c r="B224" s="270" t="s">
        <v>301</v>
      </c>
      <c r="C224" s="270"/>
      <c r="D224" s="270"/>
      <c r="E224" s="270"/>
      <c r="F224" s="270"/>
      <c r="G224" s="270"/>
      <c r="H224" s="270"/>
      <c r="I224" s="270"/>
      <c r="J224" s="270"/>
      <c r="K224" s="270"/>
      <c r="L224" s="270"/>
      <c r="M224" s="270"/>
      <c r="N224" s="270"/>
      <c r="O224" s="270"/>
      <c r="P224" s="1" t="s">
        <v>124</v>
      </c>
    </row>
    <row r="225" spans="2:16" ht="10.5" customHeight="1" thickBot="1" x14ac:dyDescent="0.3">
      <c r="B225" s="106"/>
      <c r="C225" s="107"/>
      <c r="D225" s="106"/>
      <c r="E225" s="106"/>
      <c r="F225" s="106"/>
      <c r="G225" s="106"/>
      <c r="H225" s="106"/>
      <c r="I225" s="106"/>
      <c r="J225" s="106"/>
      <c r="K225" s="106"/>
      <c r="L225" s="106"/>
      <c r="M225" s="4"/>
      <c r="N225" s="4"/>
      <c r="P225" s="1" t="s">
        <v>125</v>
      </c>
    </row>
    <row r="226" spans="2:16" ht="22.5" thickTop="1" thickBot="1" x14ac:dyDescent="0.3">
      <c r="B226" s="121" t="str">
        <f>C226</f>
        <v>Bélgica</v>
      </c>
      <c r="C226" s="292" t="s">
        <v>119</v>
      </c>
      <c r="D226" s="293"/>
      <c r="E226" s="293"/>
      <c r="F226" s="293"/>
      <c r="G226" s="293"/>
      <c r="H226" s="293"/>
      <c r="I226" s="293"/>
      <c r="J226" s="293"/>
      <c r="K226" s="293"/>
      <c r="L226" s="293"/>
      <c r="M226" s="293"/>
      <c r="N226" s="293"/>
      <c r="O226" s="294"/>
    </row>
    <row r="227" spans="2:16" ht="22.5" thickTop="1" thickBot="1" x14ac:dyDescent="0.3">
      <c r="B227" s="109"/>
      <c r="C227" s="295">
        <f>2019</f>
        <v>2019</v>
      </c>
      <c r="D227" s="296"/>
      <c r="E227" s="297">
        <v>2020</v>
      </c>
      <c r="F227" s="296"/>
      <c r="G227" s="297">
        <v>2021</v>
      </c>
      <c r="H227" s="296"/>
      <c r="I227" s="297">
        <v>2022</v>
      </c>
      <c r="J227" s="296"/>
      <c r="K227" s="297">
        <v>2023</v>
      </c>
      <c r="L227" s="296"/>
      <c r="M227" s="297">
        <v>2024</v>
      </c>
      <c r="N227" s="298"/>
      <c r="O227" s="299"/>
    </row>
    <row r="228" spans="2:16" ht="16.5" thickTop="1" thickBot="1" x14ac:dyDescent="0.3">
      <c r="B228" s="85"/>
      <c r="C228" s="111" t="s">
        <v>69</v>
      </c>
      <c r="D228" s="112" t="str">
        <f>CONCATENATE("dif ",RIGHT(2019,2),"/",RIGHT(2018,2))</f>
        <v>dif 19/18</v>
      </c>
      <c r="E228" s="113" t="s">
        <v>69</v>
      </c>
      <c r="F228" s="112" t="str">
        <f>CONCATENATE("dif ",RIGHT(E227,2),"/",RIGHT(C227,2))</f>
        <v>dif 20/19</v>
      </c>
      <c r="G228" s="113" t="s">
        <v>69</v>
      </c>
      <c r="H228" s="112" t="str">
        <f>CONCATENATE("dif ",RIGHT(G227,2),"/",RIGHT(E227,2))</f>
        <v>dif 21/20</v>
      </c>
      <c r="I228" s="113" t="s">
        <v>69</v>
      </c>
      <c r="J228" s="112" t="str">
        <f>CONCATENATE("dif ",RIGHT(I227,2),"/",RIGHT(G227,2))</f>
        <v>dif 22/21</v>
      </c>
      <c r="K228" s="113" t="s">
        <v>69</v>
      </c>
      <c r="L228" s="112" t="str">
        <f>CONCATENATE("dif ",RIGHT(K227,2),"/",RIGHT(I227,2))</f>
        <v>dif 23/22</v>
      </c>
      <c r="M228" s="113" t="s">
        <v>69</v>
      </c>
      <c r="N228" s="112" t="s">
        <v>323</v>
      </c>
      <c r="O228" s="112" t="s">
        <v>324</v>
      </c>
    </row>
    <row r="229" spans="2:16" x14ac:dyDescent="0.25">
      <c r="B229" s="114" t="s">
        <v>71</v>
      </c>
      <c r="C229" s="184">
        <v>2.5810810810810811</v>
      </c>
      <c r="D229" s="185">
        <v>3.1081081081081319E-2</v>
      </c>
      <c r="E229" s="184">
        <v>2.408450704225352</v>
      </c>
      <c r="F229" s="185">
        <f t="shared" ref="F229:J231" si="34">IFERROR(E229-C229,"-")</f>
        <v>-0.17263037685572913</v>
      </c>
      <c r="G229" s="184">
        <v>3.375</v>
      </c>
      <c r="H229" s="185">
        <f t="shared" si="34"/>
        <v>0.96654929577464799</v>
      </c>
      <c r="I229" s="184">
        <v>2.6404494382022472</v>
      </c>
      <c r="J229" s="185">
        <f t="shared" si="34"/>
        <v>-0.7345505617977528</v>
      </c>
      <c r="K229" s="184">
        <v>2.5185185185185186</v>
      </c>
      <c r="L229" s="185">
        <f t="shared" ref="L229:L231" si="35">IFERROR(K229-I229,"-")</f>
        <v>-0.1219309196837286</v>
      </c>
      <c r="M229" s="184">
        <v>2.2865497076023393</v>
      </c>
      <c r="N229" s="185">
        <v>-0.23196881091617927</v>
      </c>
      <c r="O229" s="185">
        <v>-0.29453137347874181</v>
      </c>
    </row>
    <row r="230" spans="2:16" x14ac:dyDescent="0.25">
      <c r="B230" s="114" t="s">
        <v>73</v>
      </c>
      <c r="C230" s="184">
        <v>3</v>
      </c>
      <c r="D230" s="185">
        <v>-0.64583333333333348</v>
      </c>
      <c r="E230" s="184">
        <v>2.7586206896551726</v>
      </c>
      <c r="F230" s="185">
        <f t="shared" si="34"/>
        <v>-0.2413793103448274</v>
      </c>
      <c r="G230" s="184">
        <v>4</v>
      </c>
      <c r="H230" s="185">
        <f t="shared" si="34"/>
        <v>1.2413793103448274</v>
      </c>
      <c r="I230" s="184">
        <v>2.925925925925926</v>
      </c>
      <c r="J230" s="185">
        <f t="shared" si="34"/>
        <v>-1.074074074074074</v>
      </c>
      <c r="K230" s="184">
        <v>3</v>
      </c>
      <c r="L230" s="185">
        <f t="shared" si="35"/>
        <v>7.4074074074073959E-2</v>
      </c>
      <c r="M230" s="184">
        <v>3.2736842105263158</v>
      </c>
      <c r="N230" s="185">
        <v>0.27368421052631575</v>
      </c>
      <c r="O230" s="185">
        <v>0.27368421052631575</v>
      </c>
    </row>
    <row r="231" spans="2:16" x14ac:dyDescent="0.25">
      <c r="B231" s="114" t="s">
        <v>75</v>
      </c>
      <c r="C231" s="184">
        <v>3.8360655737704916</v>
      </c>
      <c r="D231" s="185">
        <v>0.86309260079751882</v>
      </c>
      <c r="E231" s="184">
        <v>1.34375</v>
      </c>
      <c r="F231" s="185">
        <f t="shared" si="34"/>
        <v>-2.4923155737704916</v>
      </c>
      <c r="G231" s="184">
        <v>4.083333333333333</v>
      </c>
      <c r="H231" s="185">
        <f t="shared" si="34"/>
        <v>2.739583333333333</v>
      </c>
      <c r="I231" s="184">
        <v>3.3624999999999998</v>
      </c>
      <c r="J231" s="185">
        <f t="shared" si="34"/>
        <v>-0.72083333333333321</v>
      </c>
      <c r="K231" s="184">
        <v>4.253521126760563</v>
      </c>
      <c r="L231" s="185">
        <f t="shared" si="35"/>
        <v>0.89102112676056322</v>
      </c>
      <c r="M231" s="184">
        <v>3.043010752688172</v>
      </c>
      <c r="N231" s="185">
        <v>-1.210510374072391</v>
      </c>
      <c r="O231" s="185">
        <v>-0.79305482108231962</v>
      </c>
    </row>
    <row r="232" spans="2:16" x14ac:dyDescent="0.25">
      <c r="B232" s="114" t="s">
        <v>77</v>
      </c>
      <c r="C232" s="184">
        <v>2.5319148936170213</v>
      </c>
      <c r="D232" s="185">
        <v>-1.222802087515054</v>
      </c>
      <c r="E232" s="184" t="s">
        <v>229</v>
      </c>
      <c r="F232" s="185" t="str">
        <f>IFERROR(E232-C232,"-")</f>
        <v>-</v>
      </c>
      <c r="G232" s="184">
        <v>2.0857142857142859</v>
      </c>
      <c r="H232" s="185" t="str">
        <f>IFERROR(G232-E232,"-")</f>
        <v>-</v>
      </c>
      <c r="I232" s="184">
        <v>2.6166666666666667</v>
      </c>
      <c r="J232" s="185">
        <f>IFERROR(I232-G232,"-")</f>
        <v>0.53095238095238084</v>
      </c>
      <c r="K232" s="184">
        <v>2.5909090909090908</v>
      </c>
      <c r="L232" s="185">
        <f>IFERROR(K232-I232,"-")</f>
        <v>-2.5757575757575868E-2</v>
      </c>
      <c r="M232" s="184">
        <v>2.6896551724137931</v>
      </c>
      <c r="N232" s="185">
        <v>9.8746081504702321E-2</v>
      </c>
      <c r="O232" s="185">
        <v>0.15774027879677188</v>
      </c>
    </row>
    <row r="233" spans="2:16" x14ac:dyDescent="0.25">
      <c r="B233" s="114" t="s">
        <v>79</v>
      </c>
      <c r="C233" s="184">
        <v>4.2105263157894735</v>
      </c>
      <c r="D233" s="185">
        <v>-1.5894736842105264</v>
      </c>
      <c r="E233" s="184" t="s">
        <v>229</v>
      </c>
      <c r="F233" s="185" t="str">
        <f t="shared" ref="F233:J241" si="36">IFERROR(E233-C233,"-")</f>
        <v>-</v>
      </c>
      <c r="G233" s="184">
        <v>1.5454545454545454</v>
      </c>
      <c r="H233" s="185" t="str">
        <f t="shared" si="36"/>
        <v>-</v>
      </c>
      <c r="I233" s="184">
        <v>3.25</v>
      </c>
      <c r="J233" s="185">
        <f t="shared" si="36"/>
        <v>1.7045454545454546</v>
      </c>
      <c r="K233" s="184">
        <v>2.59375</v>
      </c>
      <c r="L233" s="185">
        <f t="shared" ref="L233:L241" si="37">IFERROR(K233-I233,"-")</f>
        <v>-0.65625</v>
      </c>
      <c r="M233" s="184">
        <v>1.346938775510204</v>
      </c>
      <c r="N233" s="185">
        <v>-1.246811224489796</v>
      </c>
      <c r="O233" s="185">
        <v>-2.8635875402792692</v>
      </c>
    </row>
    <row r="234" spans="2:16" x14ac:dyDescent="0.25">
      <c r="B234" s="114" t="s">
        <v>81</v>
      </c>
      <c r="C234" s="184">
        <v>1.9090909090909092</v>
      </c>
      <c r="D234" s="185">
        <v>-1.8803827751196169</v>
      </c>
      <c r="E234" s="184" t="s">
        <v>229</v>
      </c>
      <c r="F234" s="185" t="str">
        <f t="shared" si="36"/>
        <v>-</v>
      </c>
      <c r="G234" s="184">
        <v>3.36</v>
      </c>
      <c r="H234" s="185" t="str">
        <f t="shared" si="36"/>
        <v>-</v>
      </c>
      <c r="I234" s="184">
        <v>2.2580645161290325</v>
      </c>
      <c r="J234" s="185">
        <f t="shared" si="36"/>
        <v>-1.1019354838709674</v>
      </c>
      <c r="K234" s="184">
        <v>2.28125</v>
      </c>
      <c r="L234" s="185">
        <f t="shared" si="37"/>
        <v>2.3185483870967527E-2</v>
      </c>
      <c r="M234" s="184">
        <v>2.8947368421052633</v>
      </c>
      <c r="N234" s="185">
        <v>0.61348684210526327</v>
      </c>
      <c r="O234" s="185">
        <v>0.9856459330143541</v>
      </c>
    </row>
    <row r="235" spans="2:16" x14ac:dyDescent="0.25">
      <c r="B235" s="114" t="s">
        <v>83</v>
      </c>
      <c r="C235" s="184">
        <v>1.6538461538461537</v>
      </c>
      <c r="D235" s="185">
        <v>-1.3461538461538463</v>
      </c>
      <c r="E235" s="184" t="s">
        <v>229</v>
      </c>
      <c r="F235" s="185" t="str">
        <f t="shared" si="36"/>
        <v>-</v>
      </c>
      <c r="G235" s="184">
        <v>2.5116279069767442</v>
      </c>
      <c r="H235" s="185" t="str">
        <f t="shared" si="36"/>
        <v>-</v>
      </c>
      <c r="I235" s="184">
        <v>3.4262295081967213</v>
      </c>
      <c r="J235" s="185">
        <f t="shared" si="36"/>
        <v>0.91460160121997713</v>
      </c>
      <c r="K235" s="184">
        <v>2.5813953488372094</v>
      </c>
      <c r="L235" s="185">
        <f t="shared" si="37"/>
        <v>-0.84483415935951189</v>
      </c>
      <c r="M235" s="184">
        <v>2.36</v>
      </c>
      <c r="N235" s="185">
        <v>-0.22139534883720957</v>
      </c>
      <c r="O235" s="185">
        <v>0.70615384615384613</v>
      </c>
    </row>
    <row r="236" spans="2:16" x14ac:dyDescent="0.25">
      <c r="B236" s="114" t="s">
        <v>85</v>
      </c>
      <c r="C236" s="184">
        <v>1.8181818181818181</v>
      </c>
      <c r="D236" s="185">
        <v>-0.946524064171123</v>
      </c>
      <c r="E236" s="184">
        <v>2.6666666666666665</v>
      </c>
      <c r="F236" s="185">
        <f t="shared" si="36"/>
        <v>0.8484848484848484</v>
      </c>
      <c r="G236" s="184">
        <v>1.7179487179487178</v>
      </c>
      <c r="H236" s="185">
        <f t="shared" si="36"/>
        <v>-0.94871794871794868</v>
      </c>
      <c r="I236" s="184">
        <v>2.406779661016949</v>
      </c>
      <c r="J236" s="185">
        <f t="shared" si="36"/>
        <v>0.68883094306823112</v>
      </c>
      <c r="K236" s="184">
        <v>2.3877551020408165</v>
      </c>
      <c r="L236" s="185">
        <f t="shared" si="37"/>
        <v>-1.9024558976132422E-2</v>
      </c>
      <c r="M236" s="184">
        <v>2.3050847457627119</v>
      </c>
      <c r="N236" s="185">
        <v>-8.2670356278104595E-2</v>
      </c>
      <c r="O236" s="185">
        <v>0.48690292758089382</v>
      </c>
    </row>
    <row r="237" spans="2:16" x14ac:dyDescent="0.25">
      <c r="B237" s="114" t="s">
        <v>87</v>
      </c>
      <c r="C237" s="184">
        <v>1.5</v>
      </c>
      <c r="D237" s="185">
        <v>-1.6538461538461537</v>
      </c>
      <c r="E237" s="184">
        <v>2.15</v>
      </c>
      <c r="F237" s="185">
        <f t="shared" si="36"/>
        <v>0.64999999999999991</v>
      </c>
      <c r="G237" s="184">
        <v>2</v>
      </c>
      <c r="H237" s="185">
        <f t="shared" si="36"/>
        <v>-0.14999999999999991</v>
      </c>
      <c r="I237" s="184">
        <v>3.9</v>
      </c>
      <c r="J237" s="185">
        <f t="shared" si="36"/>
        <v>1.9</v>
      </c>
      <c r="K237" s="184">
        <v>2.9268292682926829</v>
      </c>
      <c r="L237" s="185">
        <f t="shared" si="37"/>
        <v>-0.97317073170731705</v>
      </c>
      <c r="M237" s="184">
        <v>3.8536585365853657</v>
      </c>
      <c r="N237" s="185">
        <v>0.92682926829268286</v>
      </c>
      <c r="O237" s="185">
        <v>2.3536585365853657</v>
      </c>
    </row>
    <row r="238" spans="2:16" x14ac:dyDescent="0.25">
      <c r="B238" s="114" t="s">
        <v>89</v>
      </c>
      <c r="C238" s="184">
        <v>2.074074074074074</v>
      </c>
      <c r="D238" s="185">
        <v>-0.21759259259259256</v>
      </c>
      <c r="E238" s="184">
        <v>1.8974358974358974</v>
      </c>
      <c r="F238" s="185">
        <f t="shared" si="36"/>
        <v>-0.1766381766381766</v>
      </c>
      <c r="G238" s="184">
        <v>2.7580645161290325</v>
      </c>
      <c r="H238" s="185">
        <f t="shared" si="36"/>
        <v>0.86062861869313512</v>
      </c>
      <c r="I238" s="184">
        <v>2.2432432432432434</v>
      </c>
      <c r="J238" s="185">
        <f t="shared" si="36"/>
        <v>-0.51482127288578905</v>
      </c>
      <c r="K238" s="184">
        <v>2.9</v>
      </c>
      <c r="L238" s="185">
        <f t="shared" si="37"/>
        <v>0.65675675675675649</v>
      </c>
      <c r="M238" s="184"/>
      <c r="N238" s="185" t="s">
        <v>229</v>
      </c>
      <c r="O238" s="185" t="s">
        <v>229</v>
      </c>
    </row>
    <row r="239" spans="2:16" x14ac:dyDescent="0.25">
      <c r="B239" s="114" t="s">
        <v>91</v>
      </c>
      <c r="C239" s="184">
        <v>1.5316455696202531</v>
      </c>
      <c r="D239" s="185">
        <v>-1.7004972875226041</v>
      </c>
      <c r="E239" s="184">
        <v>2.4509803921568629</v>
      </c>
      <c r="F239" s="185">
        <f t="shared" si="36"/>
        <v>0.91933482253660981</v>
      </c>
      <c r="G239" s="184">
        <v>3.0673076923076925</v>
      </c>
      <c r="H239" s="185">
        <f t="shared" si="36"/>
        <v>0.61632730015082959</v>
      </c>
      <c r="I239" s="184">
        <v>2.2428571428571429</v>
      </c>
      <c r="J239" s="185">
        <f t="shared" si="36"/>
        <v>-0.82445054945054963</v>
      </c>
      <c r="K239" s="184">
        <v>2.961904761904762</v>
      </c>
      <c r="L239" s="185">
        <f t="shared" si="37"/>
        <v>0.71904761904761916</v>
      </c>
      <c r="M239" s="184"/>
      <c r="N239" s="185" t="s">
        <v>229</v>
      </c>
      <c r="O239" s="185" t="s">
        <v>229</v>
      </c>
    </row>
    <row r="240" spans="2:16" x14ac:dyDescent="0.25">
      <c r="B240" s="114" t="s">
        <v>93</v>
      </c>
      <c r="C240" s="184">
        <v>2.85</v>
      </c>
      <c r="D240" s="185">
        <v>0.99141414141414153</v>
      </c>
      <c r="E240" s="184">
        <v>1.8</v>
      </c>
      <c r="F240" s="185">
        <f t="shared" si="36"/>
        <v>-1.05</v>
      </c>
      <c r="G240" s="184">
        <v>2.4202898550724639</v>
      </c>
      <c r="H240" s="185">
        <f t="shared" si="36"/>
        <v>0.62028985507246381</v>
      </c>
      <c r="I240" s="184">
        <v>2.1538461538461537</v>
      </c>
      <c r="J240" s="185">
        <f t="shared" si="36"/>
        <v>-0.26644370122631011</v>
      </c>
      <c r="K240" s="184">
        <v>2.0506329113924049</v>
      </c>
      <c r="L240" s="185">
        <f t="shared" si="37"/>
        <v>-0.10321324245374885</v>
      </c>
      <c r="M240" s="184"/>
      <c r="N240" s="185" t="s">
        <v>229</v>
      </c>
      <c r="O240" s="185" t="s">
        <v>229</v>
      </c>
    </row>
    <row r="241" spans="2:16" ht="15.75" x14ac:dyDescent="0.25">
      <c r="B241" s="117" t="s">
        <v>30</v>
      </c>
      <c r="C241" s="186">
        <v>2.5009633911368017</v>
      </c>
      <c r="D241" s="187">
        <v>-0.43349353770214982</v>
      </c>
      <c r="E241" s="186">
        <v>2.2450142450142452</v>
      </c>
      <c r="F241" s="187">
        <f t="shared" si="36"/>
        <v>-0.25594914612255648</v>
      </c>
      <c r="G241" s="186">
        <v>2.5936883629191323</v>
      </c>
      <c r="H241" s="187">
        <f t="shared" si="36"/>
        <v>0.34867411790488712</v>
      </c>
      <c r="I241" s="186">
        <v>2.774193548387097</v>
      </c>
      <c r="J241" s="187">
        <f t="shared" si="36"/>
        <v>0.18050518546796468</v>
      </c>
      <c r="K241" s="186">
        <v>2.7876923076923079</v>
      </c>
      <c r="L241" s="187">
        <f t="shared" si="37"/>
        <v>1.3498759305210939E-2</v>
      </c>
      <c r="M241" s="186">
        <v>2.6494522691705789</v>
      </c>
      <c r="N241" s="187">
        <v>-0.22143974960876367</v>
      </c>
      <c r="O241" s="187">
        <v>-5.0279634314675636E-2</v>
      </c>
    </row>
    <row r="242" spans="2:16" ht="6" customHeight="1" x14ac:dyDescent="0.25"/>
    <row r="243" spans="2:16" x14ac:dyDescent="0.25">
      <c r="B243" s="105" t="s">
        <v>55</v>
      </c>
      <c r="C243" s="105"/>
      <c r="D243" s="105"/>
      <c r="E243" s="105"/>
      <c r="F243" s="105"/>
      <c r="G243" s="105"/>
      <c r="H243" s="105"/>
      <c r="I243" s="105"/>
      <c r="J243" s="105"/>
      <c r="K243" s="105"/>
      <c r="L243" s="105"/>
      <c r="M243" s="105"/>
      <c r="N243" s="105"/>
      <c r="O243" s="105"/>
    </row>
    <row r="244" spans="2:16" x14ac:dyDescent="0.25">
      <c r="C244" s="120"/>
      <c r="K244" s="120"/>
      <c r="M244" s="105"/>
      <c r="O244" s="122"/>
    </row>
    <row r="246" spans="2:16" ht="48.75" customHeight="1" thickBot="1" x14ac:dyDescent="0.3">
      <c r="B246" s="270" t="s">
        <v>303</v>
      </c>
      <c r="C246" s="270"/>
      <c r="D246" s="270"/>
      <c r="E246" s="270"/>
      <c r="F246" s="270"/>
      <c r="G246" s="270"/>
      <c r="H246" s="270"/>
      <c r="I246" s="270"/>
      <c r="J246" s="270"/>
      <c r="K246" s="270"/>
      <c r="L246" s="270"/>
      <c r="M246" s="270"/>
      <c r="N246" s="270"/>
      <c r="O246" s="270"/>
      <c r="P246" s="1" t="s">
        <v>126</v>
      </c>
    </row>
    <row r="247" spans="2:16" ht="10.5" customHeight="1" thickBot="1" x14ac:dyDescent="0.3">
      <c r="B247" s="106"/>
      <c r="C247" s="107"/>
      <c r="D247" s="106"/>
      <c r="E247" s="106"/>
      <c r="F247" s="106"/>
      <c r="G247" s="106"/>
      <c r="H247" s="106"/>
      <c r="I247" s="106"/>
      <c r="J247" s="106"/>
      <c r="K247" s="106"/>
      <c r="L247" s="106"/>
      <c r="M247" s="4"/>
      <c r="N247" s="4"/>
      <c r="P247" s="1" t="s">
        <v>127</v>
      </c>
    </row>
    <row r="248" spans="2:16" ht="22.5" thickTop="1" thickBot="1" x14ac:dyDescent="0.3">
      <c r="B248" s="121" t="str">
        <f>C248</f>
        <v>Dinamarca</v>
      </c>
      <c r="C248" s="292" t="s">
        <v>128</v>
      </c>
      <c r="D248" s="293"/>
      <c r="E248" s="293"/>
      <c r="F248" s="293"/>
      <c r="G248" s="293"/>
      <c r="H248" s="293"/>
      <c r="I248" s="293"/>
      <c r="J248" s="293"/>
      <c r="K248" s="293"/>
      <c r="L248" s="293"/>
      <c r="M248" s="293"/>
      <c r="N248" s="293"/>
      <c r="O248" s="294"/>
    </row>
    <row r="249" spans="2:16" ht="22.5" thickTop="1" thickBot="1" x14ac:dyDescent="0.3">
      <c r="B249" s="109"/>
      <c r="C249" s="295">
        <f>2019</f>
        <v>2019</v>
      </c>
      <c r="D249" s="296"/>
      <c r="E249" s="297">
        <v>2020</v>
      </c>
      <c r="F249" s="296"/>
      <c r="G249" s="297">
        <v>2021</v>
      </c>
      <c r="H249" s="296"/>
      <c r="I249" s="297">
        <v>2022</v>
      </c>
      <c r="J249" s="296"/>
      <c r="K249" s="297">
        <v>2023</v>
      </c>
      <c r="L249" s="296"/>
      <c r="M249" s="297">
        <v>2024</v>
      </c>
      <c r="N249" s="298"/>
      <c r="O249" s="299"/>
    </row>
    <row r="250" spans="2:16" ht="16.5" thickTop="1" thickBot="1" x14ac:dyDescent="0.3">
      <c r="B250" s="85"/>
      <c r="C250" s="111" t="s">
        <v>69</v>
      </c>
      <c r="D250" s="112" t="str">
        <f>CONCATENATE("dif ",RIGHT(2019,2),"/",RIGHT(2018,2))</f>
        <v>dif 19/18</v>
      </c>
      <c r="E250" s="113" t="s">
        <v>69</v>
      </c>
      <c r="F250" s="112" t="str">
        <f>CONCATENATE("dif ",RIGHT(E249,2),"/",RIGHT(C249,2))</f>
        <v>dif 20/19</v>
      </c>
      <c r="G250" s="113" t="s">
        <v>69</v>
      </c>
      <c r="H250" s="112" t="str">
        <f>CONCATENATE("dif ",RIGHT(G249,2),"/",RIGHT(E249,2))</f>
        <v>dif 21/20</v>
      </c>
      <c r="I250" s="113" t="s">
        <v>69</v>
      </c>
      <c r="J250" s="112" t="str">
        <f>CONCATENATE("dif ",RIGHT(I249,2),"/",RIGHT(G249,2))</f>
        <v>dif 22/21</v>
      </c>
      <c r="K250" s="113" t="s">
        <v>69</v>
      </c>
      <c r="L250" s="112" t="str">
        <f>CONCATENATE("dif ",RIGHT(K249,2),"/",RIGHT(I249,2))</f>
        <v>dif 23/22</v>
      </c>
      <c r="M250" s="113" t="s">
        <v>69</v>
      </c>
      <c r="N250" s="112" t="s">
        <v>323</v>
      </c>
      <c r="O250" s="112" t="s">
        <v>324</v>
      </c>
    </row>
    <row r="251" spans="2:16" x14ac:dyDescent="0.25">
      <c r="B251" s="114" t="s">
        <v>71</v>
      </c>
      <c r="C251" s="184">
        <v>3.2777777777777777</v>
      </c>
      <c r="D251" s="185">
        <v>0.9444444444444442</v>
      </c>
      <c r="E251" s="184">
        <v>3.7241379310344827</v>
      </c>
      <c r="F251" s="185">
        <f t="shared" ref="F251:J253" si="38">IFERROR(E251-C251,"-")</f>
        <v>0.44636015325670497</v>
      </c>
      <c r="G251" s="184">
        <v>1.25</v>
      </c>
      <c r="H251" s="185">
        <f t="shared" si="38"/>
        <v>-2.4741379310344827</v>
      </c>
      <c r="I251" s="184">
        <v>4.04</v>
      </c>
      <c r="J251" s="185">
        <f t="shared" si="38"/>
        <v>2.79</v>
      </c>
      <c r="K251" s="184">
        <v>3.6111111111111112</v>
      </c>
      <c r="L251" s="185">
        <f t="shared" ref="L251:L253" si="39">IFERROR(K251-I251,"-")</f>
        <v>-0.42888888888888888</v>
      </c>
      <c r="M251" s="184">
        <v>2.8793103448275863</v>
      </c>
      <c r="N251" s="185">
        <v>-0.73180076628352486</v>
      </c>
      <c r="O251" s="185">
        <v>-0.39846743295019138</v>
      </c>
    </row>
    <row r="252" spans="2:16" x14ac:dyDescent="0.25">
      <c r="B252" s="114" t="s">
        <v>73</v>
      </c>
      <c r="C252" s="184">
        <v>2.3235294117647061</v>
      </c>
      <c r="D252" s="185">
        <v>6.6386554621848948E-2</v>
      </c>
      <c r="E252" s="184">
        <v>4.2941176470588234</v>
      </c>
      <c r="F252" s="185">
        <f t="shared" si="38"/>
        <v>1.9705882352941173</v>
      </c>
      <c r="G252" s="184">
        <v>1</v>
      </c>
      <c r="H252" s="185">
        <f t="shared" si="38"/>
        <v>-3.2941176470588234</v>
      </c>
      <c r="I252" s="184">
        <v>2.9384615384615387</v>
      </c>
      <c r="J252" s="185">
        <f t="shared" si="38"/>
        <v>1.9384615384615387</v>
      </c>
      <c r="K252" s="184">
        <v>1.8235294117647058</v>
      </c>
      <c r="L252" s="185">
        <f t="shared" si="39"/>
        <v>-1.1149321266968328</v>
      </c>
      <c r="M252" s="184">
        <v>4.2424242424242422</v>
      </c>
      <c r="N252" s="185">
        <v>2.4188948306595366</v>
      </c>
      <c r="O252" s="185">
        <v>1.9188948306595361</v>
      </c>
    </row>
    <row r="253" spans="2:16" x14ac:dyDescent="0.25">
      <c r="B253" s="114" t="s">
        <v>75</v>
      </c>
      <c r="C253" s="184">
        <v>3.8</v>
      </c>
      <c r="D253" s="185">
        <v>0.68888888888888866</v>
      </c>
      <c r="E253" s="184">
        <v>21</v>
      </c>
      <c r="F253" s="185">
        <f t="shared" si="38"/>
        <v>17.2</v>
      </c>
      <c r="G253" s="184">
        <v>7</v>
      </c>
      <c r="H253" s="185">
        <f t="shared" si="38"/>
        <v>-14</v>
      </c>
      <c r="I253" s="184">
        <v>1.9318181818181819</v>
      </c>
      <c r="J253" s="185">
        <f t="shared" si="38"/>
        <v>-5.0681818181818183</v>
      </c>
      <c r="K253" s="184">
        <v>2</v>
      </c>
      <c r="L253" s="185">
        <f t="shared" si="39"/>
        <v>6.8181818181818121E-2</v>
      </c>
      <c r="M253" s="184">
        <v>4.7692307692307692</v>
      </c>
      <c r="N253" s="185">
        <v>2.7692307692307692</v>
      </c>
      <c r="O253" s="185">
        <v>0.96923076923076934</v>
      </c>
    </row>
    <row r="254" spans="2:16" x14ac:dyDescent="0.25">
      <c r="B254" s="114" t="s">
        <v>77</v>
      </c>
      <c r="C254" s="184">
        <v>2.6666666666666665</v>
      </c>
      <c r="D254" s="185">
        <v>1.0555555555555554</v>
      </c>
      <c r="E254" s="184" t="s">
        <v>229</v>
      </c>
      <c r="F254" s="185" t="str">
        <f>IFERROR(E254-C254,"-")</f>
        <v>-</v>
      </c>
      <c r="G254" s="184">
        <v>1.8</v>
      </c>
      <c r="H254" s="185" t="str">
        <f>IFERROR(G254-E254,"-")</f>
        <v>-</v>
      </c>
      <c r="I254" s="184">
        <v>1.7</v>
      </c>
      <c r="J254" s="185">
        <f>IFERROR(I254-G254,"-")</f>
        <v>-0.10000000000000009</v>
      </c>
      <c r="K254" s="184">
        <v>2.625</v>
      </c>
      <c r="L254" s="185">
        <f>IFERROR(K254-I254,"-")</f>
        <v>0.92500000000000004</v>
      </c>
      <c r="M254" s="184"/>
      <c r="N254" s="185" t="s">
        <v>229</v>
      </c>
      <c r="O254" s="185" t="s">
        <v>229</v>
      </c>
    </row>
    <row r="255" spans="2:16" x14ac:dyDescent="0.25">
      <c r="B255" s="114" t="s">
        <v>79</v>
      </c>
      <c r="C255" s="184">
        <v>2.5</v>
      </c>
      <c r="D255" s="185">
        <v>1.5</v>
      </c>
      <c r="E255" s="184" t="s">
        <v>229</v>
      </c>
      <c r="F255" s="185" t="str">
        <f t="shared" ref="F255:J263" si="40">IFERROR(E255-C255,"-")</f>
        <v>-</v>
      </c>
      <c r="G255" s="184">
        <v>6</v>
      </c>
      <c r="H255" s="185" t="str">
        <f t="shared" si="40"/>
        <v>-</v>
      </c>
      <c r="I255" s="184">
        <v>3.5</v>
      </c>
      <c r="J255" s="185">
        <f t="shared" si="40"/>
        <v>-2.5</v>
      </c>
      <c r="K255" s="184">
        <v>5</v>
      </c>
      <c r="L255" s="185">
        <f t="shared" ref="L255:L263" si="41">IFERROR(K255-I255,"-")</f>
        <v>1.5</v>
      </c>
      <c r="M255" s="184"/>
      <c r="N255" s="185" t="s">
        <v>229</v>
      </c>
      <c r="O255" s="185" t="s">
        <v>229</v>
      </c>
    </row>
    <row r="256" spans="2:16" x14ac:dyDescent="0.25">
      <c r="B256" s="114" t="s">
        <v>81</v>
      </c>
      <c r="C256" s="184">
        <v>3.8333333333333335</v>
      </c>
      <c r="D256" s="185" t="s">
        <v>229</v>
      </c>
      <c r="E256" s="184" t="s">
        <v>229</v>
      </c>
      <c r="F256" s="185" t="str">
        <f t="shared" si="40"/>
        <v>-</v>
      </c>
      <c r="G256" s="184" t="s">
        <v>229</v>
      </c>
      <c r="H256" s="185" t="str">
        <f t="shared" si="40"/>
        <v>-</v>
      </c>
      <c r="I256" s="184">
        <v>1</v>
      </c>
      <c r="J256" s="185" t="str">
        <f t="shared" si="40"/>
        <v>-</v>
      </c>
      <c r="K256" s="184">
        <v>1</v>
      </c>
      <c r="L256" s="185">
        <f t="shared" si="41"/>
        <v>0</v>
      </c>
      <c r="M256" s="184">
        <v>3.7446808510638299</v>
      </c>
      <c r="N256" s="185">
        <v>2.7446808510638299</v>
      </c>
      <c r="O256" s="185">
        <v>-8.8652482269503619E-2</v>
      </c>
    </row>
    <row r="257" spans="2:16" x14ac:dyDescent="0.25">
      <c r="B257" s="114" t="s">
        <v>83</v>
      </c>
      <c r="C257" s="184">
        <v>3</v>
      </c>
      <c r="D257" s="185">
        <v>1</v>
      </c>
      <c r="E257" s="184" t="s">
        <v>229</v>
      </c>
      <c r="F257" s="185" t="str">
        <f t="shared" si="40"/>
        <v>-</v>
      </c>
      <c r="G257" s="184">
        <v>1</v>
      </c>
      <c r="H257" s="185" t="str">
        <f t="shared" si="40"/>
        <v>-</v>
      </c>
      <c r="I257" s="184">
        <v>2.125</v>
      </c>
      <c r="J257" s="185">
        <f t="shared" si="40"/>
        <v>1.125</v>
      </c>
      <c r="K257" s="184">
        <v>3.8888888888888888</v>
      </c>
      <c r="L257" s="185">
        <f t="shared" si="41"/>
        <v>1.7638888888888888</v>
      </c>
      <c r="M257" s="184">
        <v>4.5</v>
      </c>
      <c r="N257" s="185">
        <v>0.61111111111111116</v>
      </c>
      <c r="O257" s="185">
        <v>1.5</v>
      </c>
    </row>
    <row r="258" spans="2:16" x14ac:dyDescent="0.25">
      <c r="B258" s="114" t="s">
        <v>85</v>
      </c>
      <c r="C258" s="184">
        <v>1</v>
      </c>
      <c r="D258" s="185" t="s">
        <v>229</v>
      </c>
      <c r="E258" s="184">
        <v>1</v>
      </c>
      <c r="F258" s="185">
        <f t="shared" si="40"/>
        <v>0</v>
      </c>
      <c r="G258" s="184" t="s">
        <v>229</v>
      </c>
      <c r="H258" s="185" t="str">
        <f t="shared" si="40"/>
        <v>-</v>
      </c>
      <c r="I258" s="184">
        <v>2.3333333333333335</v>
      </c>
      <c r="J258" s="185" t="str">
        <f t="shared" si="40"/>
        <v>-</v>
      </c>
      <c r="K258" s="184">
        <v>1</v>
      </c>
      <c r="L258" s="185">
        <f t="shared" si="41"/>
        <v>-1.3333333333333335</v>
      </c>
      <c r="M258" s="184">
        <v>1</v>
      </c>
      <c r="N258" s="185">
        <v>0</v>
      </c>
      <c r="O258" s="185">
        <v>0</v>
      </c>
    </row>
    <row r="259" spans="2:16" x14ac:dyDescent="0.25">
      <c r="B259" s="114" t="s">
        <v>87</v>
      </c>
      <c r="C259" s="184">
        <v>1</v>
      </c>
      <c r="D259" s="185" t="s">
        <v>229</v>
      </c>
      <c r="E259" s="184">
        <v>2</v>
      </c>
      <c r="F259" s="185">
        <f t="shared" si="40"/>
        <v>1</v>
      </c>
      <c r="G259" s="184">
        <v>1</v>
      </c>
      <c r="H259" s="185">
        <f t="shared" si="40"/>
        <v>-1</v>
      </c>
      <c r="I259" s="184">
        <v>5.4</v>
      </c>
      <c r="J259" s="185">
        <f t="shared" si="40"/>
        <v>4.4000000000000004</v>
      </c>
      <c r="K259" s="184">
        <v>3.5</v>
      </c>
      <c r="L259" s="185">
        <f t="shared" si="41"/>
        <v>-1.9000000000000004</v>
      </c>
      <c r="M259" s="184">
        <v>2.7692307692307692</v>
      </c>
      <c r="N259" s="185">
        <v>-0.73076923076923084</v>
      </c>
      <c r="O259" s="185">
        <v>1.7692307692307692</v>
      </c>
    </row>
    <row r="260" spans="2:16" x14ac:dyDescent="0.25">
      <c r="B260" s="114" t="s">
        <v>89</v>
      </c>
      <c r="C260" s="184">
        <v>1.3333333333333333</v>
      </c>
      <c r="D260" s="185">
        <v>-1.2916666666666667</v>
      </c>
      <c r="E260" s="184" t="s">
        <v>229</v>
      </c>
      <c r="F260" s="185" t="str">
        <f t="shared" si="40"/>
        <v>-</v>
      </c>
      <c r="G260" s="184">
        <v>3.225806451612903</v>
      </c>
      <c r="H260" s="185" t="str">
        <f t="shared" si="40"/>
        <v>-</v>
      </c>
      <c r="I260" s="184">
        <v>3.2857142857142856</v>
      </c>
      <c r="J260" s="185">
        <f t="shared" si="40"/>
        <v>5.9907834101382562E-2</v>
      </c>
      <c r="K260" s="184">
        <v>1</v>
      </c>
      <c r="L260" s="185">
        <f t="shared" si="41"/>
        <v>-2.2857142857142856</v>
      </c>
      <c r="M260" s="184"/>
      <c r="N260" s="185" t="s">
        <v>229</v>
      </c>
      <c r="O260" s="185" t="s">
        <v>229</v>
      </c>
    </row>
    <row r="261" spans="2:16" x14ac:dyDescent="0.25">
      <c r="B261" s="114" t="s">
        <v>91</v>
      </c>
      <c r="C261" s="184">
        <v>2.4375</v>
      </c>
      <c r="D261" s="185">
        <v>-0.3900862068965516</v>
      </c>
      <c r="E261" s="184">
        <v>4.5</v>
      </c>
      <c r="F261" s="185">
        <f t="shared" si="40"/>
        <v>2.0625</v>
      </c>
      <c r="G261" s="184">
        <v>2.5909090909090908</v>
      </c>
      <c r="H261" s="185">
        <f t="shared" si="40"/>
        <v>-1.9090909090909092</v>
      </c>
      <c r="I261" s="184">
        <v>3.3333333333333335</v>
      </c>
      <c r="J261" s="185">
        <f t="shared" si="40"/>
        <v>0.74242424242424265</v>
      </c>
      <c r="K261" s="184">
        <v>3.4166666666666665</v>
      </c>
      <c r="L261" s="185">
        <f t="shared" si="41"/>
        <v>8.3333333333333037E-2</v>
      </c>
      <c r="M261" s="184"/>
      <c r="N261" s="185" t="s">
        <v>229</v>
      </c>
      <c r="O261" s="185" t="s">
        <v>229</v>
      </c>
    </row>
    <row r="262" spans="2:16" x14ac:dyDescent="0.25">
      <c r="B262" s="114" t="s">
        <v>93</v>
      </c>
      <c r="C262" s="184">
        <v>3.7</v>
      </c>
      <c r="D262" s="185">
        <v>0.89512195121951255</v>
      </c>
      <c r="E262" s="184">
        <v>1</v>
      </c>
      <c r="F262" s="185">
        <f t="shared" si="40"/>
        <v>-2.7</v>
      </c>
      <c r="G262" s="184">
        <v>2.40625</v>
      </c>
      <c r="H262" s="185">
        <f t="shared" si="40"/>
        <v>1.40625</v>
      </c>
      <c r="I262" s="184">
        <v>4.5909090909090908</v>
      </c>
      <c r="J262" s="185">
        <f t="shared" si="40"/>
        <v>2.1846590909090908</v>
      </c>
      <c r="K262" s="184">
        <v>2</v>
      </c>
      <c r="L262" s="185">
        <f t="shared" si="41"/>
        <v>-2.5909090909090908</v>
      </c>
      <c r="M262" s="184"/>
      <c r="N262" s="185" t="s">
        <v>229</v>
      </c>
      <c r="O262" s="185" t="s">
        <v>229</v>
      </c>
    </row>
    <row r="263" spans="2:16" ht="15.75" x14ac:dyDescent="0.25">
      <c r="B263" s="117" t="s">
        <v>30</v>
      </c>
      <c r="C263" s="186">
        <v>2.8645161290322583</v>
      </c>
      <c r="D263" s="187">
        <v>0.37019794721407662</v>
      </c>
      <c r="E263" s="186">
        <v>4.830645161290323</v>
      </c>
      <c r="F263" s="187">
        <f t="shared" si="40"/>
        <v>1.9661290322580647</v>
      </c>
      <c r="G263" s="186">
        <v>2.6190476190476191</v>
      </c>
      <c r="H263" s="187">
        <f t="shared" si="40"/>
        <v>-2.2115975422427039</v>
      </c>
      <c r="I263" s="186">
        <v>3.0259259259259261</v>
      </c>
      <c r="J263" s="187">
        <f t="shared" si="40"/>
        <v>0.40687830687830706</v>
      </c>
      <c r="K263" s="186">
        <v>2.7450980392156863</v>
      </c>
      <c r="L263" s="187">
        <f t="shared" si="41"/>
        <v>-0.28082788671023984</v>
      </c>
      <c r="M263" s="186">
        <v>3.5505617977528088</v>
      </c>
      <c r="N263" s="187">
        <v>0.73924104303582761</v>
      </c>
      <c r="O263" s="187">
        <v>0.60663656410794875</v>
      </c>
    </row>
    <row r="264" spans="2:16" ht="6" customHeight="1" x14ac:dyDescent="0.25"/>
    <row r="265" spans="2:16" x14ac:dyDescent="0.25">
      <c r="B265" s="105" t="s">
        <v>55</v>
      </c>
      <c r="C265" s="105"/>
      <c r="D265" s="105"/>
      <c r="E265" s="105"/>
      <c r="F265" s="105"/>
      <c r="G265" s="105"/>
      <c r="H265" s="105"/>
      <c r="I265" s="105"/>
      <c r="J265" s="105"/>
      <c r="K265" s="105"/>
      <c r="L265" s="105"/>
      <c r="M265" s="105"/>
      <c r="N265" s="105"/>
      <c r="O265" s="105"/>
    </row>
    <row r="266" spans="2:16" x14ac:dyDescent="0.25">
      <c r="K266" s="120"/>
    </row>
    <row r="268" spans="2:16" ht="48.75" customHeight="1" thickBot="1" x14ac:dyDescent="0.3">
      <c r="B268" s="270" t="s">
        <v>304</v>
      </c>
      <c r="C268" s="270"/>
      <c r="D268" s="270"/>
      <c r="E268" s="270"/>
      <c r="F268" s="270"/>
      <c r="G268" s="270"/>
      <c r="H268" s="270"/>
      <c r="I268" s="270"/>
      <c r="J268" s="270"/>
      <c r="K268" s="270"/>
      <c r="L268" s="270"/>
      <c r="M268" s="270"/>
      <c r="N268" s="270"/>
      <c r="O268" s="270"/>
      <c r="P268" s="1" t="s">
        <v>129</v>
      </c>
    </row>
    <row r="269" spans="2:16" ht="10.5" customHeight="1" thickBot="1" x14ac:dyDescent="0.3">
      <c r="B269" s="106"/>
      <c r="C269" s="107"/>
      <c r="D269" s="106"/>
      <c r="E269" s="106"/>
      <c r="F269" s="106"/>
      <c r="G269" s="106"/>
      <c r="H269" s="106"/>
      <c r="I269" s="106"/>
      <c r="J269" s="106"/>
      <c r="K269" s="106"/>
      <c r="L269" s="106"/>
      <c r="M269" s="4"/>
      <c r="N269" s="4"/>
      <c r="P269" s="1" t="s">
        <v>130</v>
      </c>
    </row>
    <row r="270" spans="2:16" ht="22.5" thickTop="1" thickBot="1" x14ac:dyDescent="0.3">
      <c r="B270" s="121" t="str">
        <f>C270</f>
        <v>Suecia</v>
      </c>
      <c r="C270" s="292" t="s">
        <v>131</v>
      </c>
      <c r="D270" s="293"/>
      <c r="E270" s="293"/>
      <c r="F270" s="293"/>
      <c r="G270" s="293"/>
      <c r="H270" s="293"/>
      <c r="I270" s="293"/>
      <c r="J270" s="293"/>
      <c r="K270" s="293"/>
      <c r="L270" s="293"/>
      <c r="M270" s="293"/>
      <c r="N270" s="293"/>
      <c r="O270" s="294"/>
    </row>
    <row r="271" spans="2:16" ht="22.5" thickTop="1" thickBot="1" x14ac:dyDescent="0.3">
      <c r="B271" s="109"/>
      <c r="C271" s="295">
        <f>2019</f>
        <v>2019</v>
      </c>
      <c r="D271" s="296"/>
      <c r="E271" s="297">
        <v>2020</v>
      </c>
      <c r="F271" s="296"/>
      <c r="G271" s="297">
        <v>2021</v>
      </c>
      <c r="H271" s="296"/>
      <c r="I271" s="297">
        <v>2022</v>
      </c>
      <c r="J271" s="296"/>
      <c r="K271" s="297">
        <v>2023</v>
      </c>
      <c r="L271" s="296"/>
      <c r="M271" s="297">
        <v>2024</v>
      </c>
      <c r="N271" s="298"/>
      <c r="O271" s="299"/>
    </row>
    <row r="272" spans="2:16" ht="16.5" thickTop="1" thickBot="1" x14ac:dyDescent="0.3">
      <c r="B272" s="85"/>
      <c r="C272" s="111" t="s">
        <v>69</v>
      </c>
      <c r="D272" s="112" t="str">
        <f>CONCATENATE("dif ",RIGHT(2019,2),"/",RIGHT(2018,2))</f>
        <v>dif 19/18</v>
      </c>
      <c r="E272" s="113" t="s">
        <v>69</v>
      </c>
      <c r="F272" s="112" t="str">
        <f>CONCATENATE("dif ",RIGHT(E271,2),"/",RIGHT(C271,2))</f>
        <v>dif 20/19</v>
      </c>
      <c r="G272" s="113" t="s">
        <v>69</v>
      </c>
      <c r="H272" s="112" t="str">
        <f>CONCATENATE("dif ",RIGHT(G271,2),"/",RIGHT(E271,2))</f>
        <v>dif 21/20</v>
      </c>
      <c r="I272" s="113" t="s">
        <v>69</v>
      </c>
      <c r="J272" s="112" t="str">
        <f>CONCATENATE("dif ",RIGHT(I271,2),"/",RIGHT(G271,2))</f>
        <v>dif 22/21</v>
      </c>
      <c r="K272" s="113" t="s">
        <v>69</v>
      </c>
      <c r="L272" s="112" t="str">
        <f>CONCATENATE("dif ",RIGHT(K271,2),"/",RIGHT(I271,2))</f>
        <v>dif 23/22</v>
      </c>
      <c r="M272" s="113" t="s">
        <v>69</v>
      </c>
      <c r="N272" s="112" t="s">
        <v>323</v>
      </c>
      <c r="O272" s="112" t="s">
        <v>324</v>
      </c>
    </row>
    <row r="273" spans="2:15" x14ac:dyDescent="0.25">
      <c r="B273" s="114" t="s">
        <v>71</v>
      </c>
      <c r="C273" s="184">
        <v>3.5</v>
      </c>
      <c r="D273" s="185">
        <v>0.82075471698113223</v>
      </c>
      <c r="E273" s="184">
        <v>3.1</v>
      </c>
      <c r="F273" s="185">
        <f t="shared" ref="F273:J275" si="42">IFERROR(E273-C273,"-")</f>
        <v>-0.39999999999999991</v>
      </c>
      <c r="G273" s="184">
        <v>3.2857142857142856</v>
      </c>
      <c r="H273" s="185">
        <f t="shared" si="42"/>
        <v>0.1857142857142855</v>
      </c>
      <c r="I273" s="184">
        <v>2.8918918918918921</v>
      </c>
      <c r="J273" s="185">
        <f t="shared" si="42"/>
        <v>-0.39382239382239348</v>
      </c>
      <c r="K273" s="184">
        <v>3.6875</v>
      </c>
      <c r="L273" s="185">
        <f t="shared" ref="L273:L275" si="43">IFERROR(K273-I273,"-")</f>
        <v>0.79560810810810789</v>
      </c>
      <c r="M273" s="184">
        <v>2.7826086956521738</v>
      </c>
      <c r="N273" s="185">
        <v>-0.90489130434782616</v>
      </c>
      <c r="O273" s="185">
        <v>-0.71739130434782616</v>
      </c>
    </row>
    <row r="274" spans="2:15" x14ac:dyDescent="0.25">
      <c r="B274" s="114" t="s">
        <v>73</v>
      </c>
      <c r="C274" s="184">
        <v>3.9393939393939394</v>
      </c>
      <c r="D274" s="185">
        <v>1.0560606060606061</v>
      </c>
      <c r="E274" s="184">
        <v>3.7692307692307692</v>
      </c>
      <c r="F274" s="185">
        <f t="shared" si="42"/>
        <v>-0.17016317016317029</v>
      </c>
      <c r="G274" s="184">
        <v>7</v>
      </c>
      <c r="H274" s="185">
        <f t="shared" si="42"/>
        <v>3.2307692307692308</v>
      </c>
      <c r="I274" s="184">
        <v>4.4000000000000004</v>
      </c>
      <c r="J274" s="185">
        <f t="shared" si="42"/>
        <v>-2.5999999999999996</v>
      </c>
      <c r="K274" s="184">
        <v>3.6875</v>
      </c>
      <c r="L274" s="185">
        <f t="shared" si="43"/>
        <v>-0.71250000000000036</v>
      </c>
      <c r="M274" s="184">
        <v>4.2</v>
      </c>
      <c r="N274" s="185">
        <v>0.51250000000000018</v>
      </c>
      <c r="O274" s="185">
        <v>0.26060606060606073</v>
      </c>
    </row>
    <row r="275" spans="2:15" x14ac:dyDescent="0.25">
      <c r="B275" s="114" t="s">
        <v>75</v>
      </c>
      <c r="C275" s="184">
        <v>2.6052631578947367</v>
      </c>
      <c r="D275" s="185">
        <v>-0.88727415553809896</v>
      </c>
      <c r="E275" s="184">
        <v>3.8</v>
      </c>
      <c r="F275" s="185">
        <f t="shared" si="42"/>
        <v>1.1947368421052631</v>
      </c>
      <c r="G275" s="184">
        <v>4.125</v>
      </c>
      <c r="H275" s="185">
        <f t="shared" si="42"/>
        <v>0.32500000000000018</v>
      </c>
      <c r="I275" s="184">
        <v>1.0454545454545454</v>
      </c>
      <c r="J275" s="185">
        <f t="shared" si="42"/>
        <v>-3.0795454545454546</v>
      </c>
      <c r="K275" s="184">
        <v>2.763157894736842</v>
      </c>
      <c r="L275" s="185">
        <f t="shared" si="43"/>
        <v>1.7177033492822966</v>
      </c>
      <c r="M275" s="184">
        <v>3.2857142857142856</v>
      </c>
      <c r="N275" s="185">
        <v>0.52255639097744355</v>
      </c>
      <c r="O275" s="185">
        <v>0.68045112781954886</v>
      </c>
    </row>
    <row r="276" spans="2:15" x14ac:dyDescent="0.25">
      <c r="B276" s="114" t="s">
        <v>77</v>
      </c>
      <c r="C276" s="184">
        <v>1.0666666666666667</v>
      </c>
      <c r="D276" s="185">
        <v>-1.4596491228070174</v>
      </c>
      <c r="E276" s="184" t="s">
        <v>229</v>
      </c>
      <c r="F276" s="185" t="str">
        <f>IFERROR(E276-C276,"-")</f>
        <v>-</v>
      </c>
      <c r="G276" s="184">
        <v>2</v>
      </c>
      <c r="H276" s="185" t="str">
        <f>IFERROR(G276-E276,"-")</f>
        <v>-</v>
      </c>
      <c r="I276" s="184">
        <v>2</v>
      </c>
      <c r="J276" s="185">
        <f>IFERROR(I276-G276,"-")</f>
        <v>0</v>
      </c>
      <c r="K276" s="184">
        <v>3</v>
      </c>
      <c r="L276" s="185">
        <f>IFERROR(K276-I276,"-")</f>
        <v>1</v>
      </c>
      <c r="M276" s="184">
        <v>3.2</v>
      </c>
      <c r="N276" s="185">
        <v>0.20000000000000018</v>
      </c>
      <c r="O276" s="185">
        <v>2.1333333333333337</v>
      </c>
    </row>
    <row r="277" spans="2:15" x14ac:dyDescent="0.25">
      <c r="B277" s="114" t="s">
        <v>79</v>
      </c>
      <c r="C277" s="184">
        <v>1</v>
      </c>
      <c r="D277" s="185">
        <v>-1.3076923076923075</v>
      </c>
      <c r="E277" s="184" t="s">
        <v>229</v>
      </c>
      <c r="F277" s="185" t="str">
        <f t="shared" ref="F277:J285" si="44">IFERROR(E277-C277,"-")</f>
        <v>-</v>
      </c>
      <c r="G277" s="184">
        <v>1.25</v>
      </c>
      <c r="H277" s="185" t="str">
        <f t="shared" si="44"/>
        <v>-</v>
      </c>
      <c r="I277" s="184">
        <v>1.6666666666666667</v>
      </c>
      <c r="J277" s="185">
        <f t="shared" si="44"/>
        <v>0.41666666666666674</v>
      </c>
      <c r="K277" s="184">
        <v>10.5</v>
      </c>
      <c r="L277" s="185">
        <f t="shared" ref="L277:L285" si="45">IFERROR(K277-I277,"-")</f>
        <v>8.8333333333333339</v>
      </c>
      <c r="M277" s="184">
        <v>1.5</v>
      </c>
      <c r="N277" s="185">
        <v>-9</v>
      </c>
      <c r="O277" s="185">
        <v>0.5</v>
      </c>
    </row>
    <row r="278" spans="2:15" x14ac:dyDescent="0.25">
      <c r="B278" s="114" t="s">
        <v>81</v>
      </c>
      <c r="C278" s="184">
        <v>1.7619047619047619</v>
      </c>
      <c r="D278" s="185">
        <v>9.5238095238095122E-2</v>
      </c>
      <c r="E278" s="184" t="s">
        <v>229</v>
      </c>
      <c r="F278" s="185" t="str">
        <f t="shared" si="44"/>
        <v>-</v>
      </c>
      <c r="G278" s="184">
        <v>2</v>
      </c>
      <c r="H278" s="185" t="str">
        <f t="shared" si="44"/>
        <v>-</v>
      </c>
      <c r="I278" s="184">
        <v>1.3181818181818181</v>
      </c>
      <c r="J278" s="185">
        <f t="shared" si="44"/>
        <v>-0.68181818181818188</v>
      </c>
      <c r="K278" s="184">
        <v>5.333333333333333</v>
      </c>
      <c r="L278" s="185">
        <f t="shared" si="45"/>
        <v>4.0151515151515147</v>
      </c>
      <c r="M278" s="184"/>
      <c r="N278" s="185" t="s">
        <v>229</v>
      </c>
      <c r="O278" s="185" t="s">
        <v>229</v>
      </c>
    </row>
    <row r="279" spans="2:15" x14ac:dyDescent="0.25">
      <c r="B279" s="114" t="s">
        <v>83</v>
      </c>
      <c r="C279" s="184">
        <v>1.1538461538461537</v>
      </c>
      <c r="D279" s="185">
        <v>-0.262820512820513</v>
      </c>
      <c r="E279" s="184" t="s">
        <v>229</v>
      </c>
      <c r="F279" s="185" t="str">
        <f t="shared" si="44"/>
        <v>-</v>
      </c>
      <c r="G279" s="184">
        <v>3.5</v>
      </c>
      <c r="H279" s="185" t="str">
        <f t="shared" si="44"/>
        <v>-</v>
      </c>
      <c r="I279" s="184">
        <v>2.5</v>
      </c>
      <c r="J279" s="185">
        <f t="shared" si="44"/>
        <v>-1</v>
      </c>
      <c r="K279" s="184">
        <v>3.2222222222222223</v>
      </c>
      <c r="L279" s="185">
        <f t="shared" si="45"/>
        <v>0.72222222222222232</v>
      </c>
      <c r="M279" s="184">
        <v>1</v>
      </c>
      <c r="N279" s="185">
        <v>-2.2222222222222223</v>
      </c>
      <c r="O279" s="185">
        <v>-0.15384615384615374</v>
      </c>
    </row>
    <row r="280" spans="2:15" x14ac:dyDescent="0.25">
      <c r="B280" s="114" t="s">
        <v>85</v>
      </c>
      <c r="C280" s="184">
        <v>3.8571428571428572</v>
      </c>
      <c r="D280" s="185">
        <v>2.4571428571428573</v>
      </c>
      <c r="E280" s="184">
        <v>1</v>
      </c>
      <c r="F280" s="185">
        <f t="shared" si="44"/>
        <v>-2.8571428571428572</v>
      </c>
      <c r="G280" s="184">
        <v>3.3333333333333335</v>
      </c>
      <c r="H280" s="185">
        <f t="shared" si="44"/>
        <v>2.3333333333333335</v>
      </c>
      <c r="I280" s="184">
        <v>2.4</v>
      </c>
      <c r="J280" s="185">
        <f t="shared" si="44"/>
        <v>-0.93333333333333357</v>
      </c>
      <c r="K280" s="184">
        <v>2.4285714285714284</v>
      </c>
      <c r="L280" s="185">
        <f t="shared" si="45"/>
        <v>2.857142857142847E-2</v>
      </c>
      <c r="M280" s="184">
        <v>4.5999999999999996</v>
      </c>
      <c r="N280" s="185">
        <v>2.1714285714285713</v>
      </c>
      <c r="O280" s="185">
        <v>0.74285714285714244</v>
      </c>
    </row>
    <row r="281" spans="2:15" x14ac:dyDescent="0.25">
      <c r="B281" s="114" t="s">
        <v>87</v>
      </c>
      <c r="C281" s="184" t="s">
        <v>229</v>
      </c>
      <c r="D281" s="185" t="s">
        <v>229</v>
      </c>
      <c r="E281" s="184">
        <v>3</v>
      </c>
      <c r="F281" s="185" t="str">
        <f t="shared" si="44"/>
        <v>-</v>
      </c>
      <c r="G281" s="184">
        <v>1.7</v>
      </c>
      <c r="H281" s="185">
        <f t="shared" si="44"/>
        <v>-1.3</v>
      </c>
      <c r="I281" s="184">
        <v>1.3333333333333333</v>
      </c>
      <c r="J281" s="185">
        <f t="shared" si="44"/>
        <v>-0.3666666666666667</v>
      </c>
      <c r="K281" s="184">
        <v>3.3333333333333335</v>
      </c>
      <c r="L281" s="185">
        <f t="shared" si="45"/>
        <v>2</v>
      </c>
      <c r="M281" s="184">
        <v>2.4</v>
      </c>
      <c r="N281" s="185">
        <v>-0.93333333333333357</v>
      </c>
      <c r="O281" s="185" t="s">
        <v>229</v>
      </c>
    </row>
    <row r="282" spans="2:15" x14ac:dyDescent="0.25">
      <c r="B282" s="114" t="s">
        <v>89</v>
      </c>
      <c r="C282" s="184">
        <v>2.1818181818181817</v>
      </c>
      <c r="D282" s="185">
        <v>-3.1931818181818183</v>
      </c>
      <c r="E282" s="184">
        <v>1.5</v>
      </c>
      <c r="F282" s="185">
        <f t="shared" si="44"/>
        <v>-0.68181818181818166</v>
      </c>
      <c r="G282" s="184">
        <v>1.75</v>
      </c>
      <c r="H282" s="185">
        <f t="shared" si="44"/>
        <v>0.25</v>
      </c>
      <c r="I282" s="184">
        <v>1.8181818181818181</v>
      </c>
      <c r="J282" s="185">
        <f t="shared" si="44"/>
        <v>6.8181818181818121E-2</v>
      </c>
      <c r="K282" s="184">
        <v>1.625</v>
      </c>
      <c r="L282" s="185">
        <f t="shared" si="45"/>
        <v>-0.19318181818181812</v>
      </c>
      <c r="M282" s="184"/>
      <c r="N282" s="185" t="s">
        <v>229</v>
      </c>
      <c r="O282" s="185" t="s">
        <v>229</v>
      </c>
    </row>
    <row r="283" spans="2:15" x14ac:dyDescent="0.25">
      <c r="B283" s="114" t="s">
        <v>91</v>
      </c>
      <c r="C283" s="184">
        <v>2.5483870967741935</v>
      </c>
      <c r="D283" s="185">
        <v>-1.6649462365591394</v>
      </c>
      <c r="E283" s="184">
        <v>1.6666666666666667</v>
      </c>
      <c r="F283" s="185">
        <f t="shared" si="44"/>
        <v>-0.88172043010752676</v>
      </c>
      <c r="G283" s="184">
        <v>3.4615384615384617</v>
      </c>
      <c r="H283" s="185">
        <f t="shared" si="44"/>
        <v>1.7948717948717949</v>
      </c>
      <c r="I283" s="184">
        <v>3</v>
      </c>
      <c r="J283" s="185">
        <f t="shared" si="44"/>
        <v>-0.46153846153846168</v>
      </c>
      <c r="K283" s="184">
        <v>3.03125</v>
      </c>
      <c r="L283" s="185">
        <f t="shared" si="45"/>
        <v>3.125E-2</v>
      </c>
      <c r="M283" s="184"/>
      <c r="N283" s="185" t="s">
        <v>229</v>
      </c>
      <c r="O283" s="185" t="s">
        <v>229</v>
      </c>
    </row>
    <row r="284" spans="2:15" x14ac:dyDescent="0.25">
      <c r="B284" s="114" t="s">
        <v>93</v>
      </c>
      <c r="C284" s="184">
        <v>2.6829268292682928</v>
      </c>
      <c r="D284" s="185">
        <v>1.0927628948420633</v>
      </c>
      <c r="E284" s="184">
        <v>2</v>
      </c>
      <c r="F284" s="185">
        <f t="shared" si="44"/>
        <v>-0.68292682926829285</v>
      </c>
      <c r="G284" s="184">
        <v>2.625</v>
      </c>
      <c r="H284" s="185">
        <f t="shared" si="44"/>
        <v>0.625</v>
      </c>
      <c r="I284" s="184">
        <v>2.6857142857142855</v>
      </c>
      <c r="J284" s="185">
        <f t="shared" si="44"/>
        <v>6.0714285714285499E-2</v>
      </c>
      <c r="K284" s="184">
        <v>4.59375</v>
      </c>
      <c r="L284" s="185">
        <f t="shared" si="45"/>
        <v>1.9080357142857145</v>
      </c>
      <c r="M284" s="184"/>
      <c r="N284" s="185" t="s">
        <v>229</v>
      </c>
      <c r="O284" s="185" t="s">
        <v>229</v>
      </c>
    </row>
    <row r="285" spans="2:15" ht="15.75" x14ac:dyDescent="0.25">
      <c r="B285" s="117" t="s">
        <v>30</v>
      </c>
      <c r="C285" s="186">
        <v>2.5793357933579335</v>
      </c>
      <c r="D285" s="187">
        <v>-0.44416290115903756</v>
      </c>
      <c r="E285" s="186">
        <v>2.9101123595505616</v>
      </c>
      <c r="F285" s="187">
        <f t="shared" si="44"/>
        <v>0.33077656619262807</v>
      </c>
      <c r="G285" s="186">
        <v>2.6979166666666665</v>
      </c>
      <c r="H285" s="187">
        <f t="shared" si="44"/>
        <v>-0.21219569288389506</v>
      </c>
      <c r="I285" s="186">
        <v>2.2916666666666665</v>
      </c>
      <c r="J285" s="187">
        <f t="shared" si="44"/>
        <v>-0.40625</v>
      </c>
      <c r="K285" s="186">
        <v>3.5185185185185186</v>
      </c>
      <c r="L285" s="187">
        <f t="shared" si="45"/>
        <v>1.2268518518518521</v>
      </c>
      <c r="M285" s="186">
        <v>3.0886524822695036</v>
      </c>
      <c r="N285" s="187">
        <v>-0.49029488615154904</v>
      </c>
      <c r="O285" s="187">
        <v>0.46536481103662686</v>
      </c>
    </row>
    <row r="286" spans="2:15" ht="6" customHeight="1" x14ac:dyDescent="0.25"/>
    <row r="287" spans="2:15" x14ac:dyDescent="0.25">
      <c r="B287" s="105" t="s">
        <v>55</v>
      </c>
      <c r="C287" s="105"/>
      <c r="D287" s="105"/>
      <c r="E287" s="105"/>
      <c r="F287" s="105"/>
      <c r="G287" s="105"/>
      <c r="H287" s="105"/>
      <c r="I287" s="105"/>
      <c r="J287" s="105"/>
      <c r="K287" s="105"/>
      <c r="L287" s="105"/>
      <c r="M287" s="105"/>
      <c r="N287" s="105"/>
      <c r="O287" s="105"/>
    </row>
    <row r="288" spans="2:15" x14ac:dyDescent="0.25">
      <c r="C288" s="120"/>
      <c r="K288" s="120"/>
      <c r="N288" s="79"/>
    </row>
    <row r="290" spans="3:13" x14ac:dyDescent="0.25">
      <c r="C290" s="79"/>
      <c r="E290" s="79"/>
      <c r="G290" s="79"/>
      <c r="I290" s="79"/>
      <c r="K290" s="79"/>
      <c r="M290" s="79"/>
    </row>
  </sheetData>
  <mergeCells count="104">
    <mergeCell ref="B4:O4"/>
    <mergeCell ref="C6:O6"/>
    <mergeCell ref="C7:D7"/>
    <mergeCell ref="E7:F7"/>
    <mergeCell ref="G7:H7"/>
    <mergeCell ref="I7:J7"/>
    <mergeCell ref="K7:L7"/>
    <mergeCell ref="M7:O7"/>
    <mergeCell ref="B48:O48"/>
    <mergeCell ref="C50:O50"/>
    <mergeCell ref="C51:D51"/>
    <mergeCell ref="E51:F51"/>
    <mergeCell ref="G51:H51"/>
    <mergeCell ref="I51:J51"/>
    <mergeCell ref="K51:L51"/>
    <mergeCell ref="M51:O51"/>
    <mergeCell ref="B26:O26"/>
    <mergeCell ref="C28:O28"/>
    <mergeCell ref="C29:D29"/>
    <mergeCell ref="E29:F29"/>
    <mergeCell ref="G29:H29"/>
    <mergeCell ref="I29:J29"/>
    <mergeCell ref="K29:L29"/>
    <mergeCell ref="M29:O29"/>
    <mergeCell ref="B92:O92"/>
    <mergeCell ref="C94:O94"/>
    <mergeCell ref="C95:D95"/>
    <mergeCell ref="E95:F95"/>
    <mergeCell ref="G95:H95"/>
    <mergeCell ref="I95:J95"/>
    <mergeCell ref="K95:L95"/>
    <mergeCell ref="M95:O95"/>
    <mergeCell ref="B70:O70"/>
    <mergeCell ref="C72:O72"/>
    <mergeCell ref="C73:D73"/>
    <mergeCell ref="E73:F73"/>
    <mergeCell ref="G73:H73"/>
    <mergeCell ref="I73:J73"/>
    <mergeCell ref="K73:L73"/>
    <mergeCell ref="M73:O73"/>
    <mergeCell ref="B136:O136"/>
    <mergeCell ref="C138:O138"/>
    <mergeCell ref="C139:D139"/>
    <mergeCell ref="E139:F139"/>
    <mergeCell ref="G139:H139"/>
    <mergeCell ref="I139:J139"/>
    <mergeCell ref="K139:L139"/>
    <mergeCell ref="M139:O139"/>
    <mergeCell ref="B114:O114"/>
    <mergeCell ref="C116:O116"/>
    <mergeCell ref="C117:D117"/>
    <mergeCell ref="E117:F117"/>
    <mergeCell ref="G117:H117"/>
    <mergeCell ref="I117:J117"/>
    <mergeCell ref="K117:L117"/>
    <mergeCell ref="M117:O117"/>
    <mergeCell ref="B180:O180"/>
    <mergeCell ref="C182:O182"/>
    <mergeCell ref="C183:D183"/>
    <mergeCell ref="E183:F183"/>
    <mergeCell ref="G183:H183"/>
    <mergeCell ref="I183:J183"/>
    <mergeCell ref="K183:L183"/>
    <mergeCell ref="M183:O183"/>
    <mergeCell ref="B158:O158"/>
    <mergeCell ref="C160:O160"/>
    <mergeCell ref="C161:D161"/>
    <mergeCell ref="E161:F161"/>
    <mergeCell ref="G161:H161"/>
    <mergeCell ref="I161:J161"/>
    <mergeCell ref="K161:L161"/>
    <mergeCell ref="M161:O161"/>
    <mergeCell ref="B224:O224"/>
    <mergeCell ref="C226:O226"/>
    <mergeCell ref="C227:D227"/>
    <mergeCell ref="E227:F227"/>
    <mergeCell ref="G227:H227"/>
    <mergeCell ref="I227:J227"/>
    <mergeCell ref="K227:L227"/>
    <mergeCell ref="M227:O227"/>
    <mergeCell ref="B202:O202"/>
    <mergeCell ref="C204:O204"/>
    <mergeCell ref="C205:D205"/>
    <mergeCell ref="E205:F205"/>
    <mergeCell ref="G205:H205"/>
    <mergeCell ref="I205:J205"/>
    <mergeCell ref="K205:L205"/>
    <mergeCell ref="M205:O205"/>
    <mergeCell ref="B268:O268"/>
    <mergeCell ref="C270:O270"/>
    <mergeCell ref="C271:D271"/>
    <mergeCell ref="E271:F271"/>
    <mergeCell ref="G271:H271"/>
    <mergeCell ref="I271:J271"/>
    <mergeCell ref="K271:L271"/>
    <mergeCell ref="M271:O271"/>
    <mergeCell ref="B246:O246"/>
    <mergeCell ref="C248:O248"/>
    <mergeCell ref="C249:D249"/>
    <mergeCell ref="E249:F249"/>
    <mergeCell ref="G249:H249"/>
    <mergeCell ref="I249:J249"/>
    <mergeCell ref="K249:L249"/>
    <mergeCell ref="M249:O249"/>
  </mergeCells>
  <pageMargins left="0.7" right="0.7" top="0.75" bottom="0.75" header="0.3" footer="0.3"/>
  <pageSetup paperSize="9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14C1B3-365F-4798-A2DA-09B65ACE1850}">
  <sheetPr>
    <tabColor theme="4" tint="0.79998168889431442"/>
  </sheetPr>
  <dimension ref="A4:P111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3" max="13" width="11.42578125" style="189"/>
    <col min="14" max="14" width="13.5703125" style="189" bestFit="1" customWidth="1"/>
    <col min="15" max="15" width="11.140625" style="189" customWidth="1"/>
  </cols>
  <sheetData>
    <row r="4" spans="1:16" ht="48.75" customHeight="1" thickBot="1" x14ac:dyDescent="0.3">
      <c r="B4" s="270" t="s">
        <v>293</v>
      </c>
      <c r="C4" s="270"/>
      <c r="D4" s="270"/>
      <c r="E4" s="270"/>
      <c r="F4" s="270"/>
      <c r="G4" s="270"/>
      <c r="H4" s="270"/>
      <c r="I4" s="270"/>
      <c r="J4" s="270"/>
      <c r="K4" s="270"/>
      <c r="L4" s="270"/>
      <c r="M4" s="270"/>
      <c r="N4" s="270"/>
      <c r="O4" s="270"/>
      <c r="P4" s="1" t="s">
        <v>66</v>
      </c>
    </row>
    <row r="5" spans="1:16" ht="10.5" customHeight="1" thickBot="1" x14ac:dyDescent="0.3">
      <c r="B5" s="106"/>
      <c r="C5" s="188"/>
      <c r="D5" s="188"/>
      <c r="E5" s="188"/>
      <c r="F5" s="188"/>
      <c r="G5" s="188"/>
      <c r="H5" s="188"/>
      <c r="I5" s="188"/>
      <c r="J5" s="188"/>
      <c r="K5" s="188"/>
      <c r="L5" s="188"/>
      <c r="M5" s="39"/>
      <c r="N5" s="39"/>
      <c r="P5" s="1" t="s">
        <v>67</v>
      </c>
    </row>
    <row r="6" spans="1:16" ht="22.5" thickTop="1" thickBot="1" x14ac:dyDescent="0.3">
      <c r="B6" s="108" t="s">
        <v>30</v>
      </c>
      <c r="C6" s="304" t="s">
        <v>132</v>
      </c>
      <c r="D6" s="305"/>
      <c r="E6" s="305"/>
      <c r="F6" s="305"/>
      <c r="G6" s="305"/>
      <c r="H6" s="305"/>
      <c r="I6" s="305"/>
      <c r="J6" s="305"/>
      <c r="K6" s="305"/>
      <c r="L6" s="305"/>
      <c r="M6" s="305"/>
      <c r="N6" s="305"/>
      <c r="O6" s="306"/>
    </row>
    <row r="7" spans="1:16" ht="22.5" thickTop="1" thickBot="1" x14ac:dyDescent="0.3">
      <c r="B7" s="109"/>
      <c r="C7" s="295">
        <v>2019</v>
      </c>
      <c r="D7" s="296"/>
      <c r="E7" s="297" t="s">
        <v>285</v>
      </c>
      <c r="F7" s="296"/>
      <c r="G7" s="297" t="s">
        <v>286</v>
      </c>
      <c r="H7" s="296"/>
      <c r="I7" s="297" t="s">
        <v>287</v>
      </c>
      <c r="J7" s="296"/>
      <c r="K7" s="297">
        <v>2023</v>
      </c>
      <c r="L7" s="296"/>
      <c r="M7" s="297">
        <v>2024</v>
      </c>
      <c r="N7" s="298"/>
      <c r="O7" s="299"/>
    </row>
    <row r="8" spans="1:16" ht="16.5" thickTop="1" thickBot="1" x14ac:dyDescent="0.3">
      <c r="B8" s="85"/>
      <c r="C8" s="111" t="s">
        <v>69</v>
      </c>
      <c r="D8" s="112" t="str">
        <f>CONCATENATE("def ",RIGHT(C7,2),"/",RIGHT(C7-1,2))</f>
        <v>def 19/18</v>
      </c>
      <c r="E8" s="113" t="s">
        <v>69</v>
      </c>
      <c r="F8" s="112" t="str">
        <f>CONCATENATE("def ",RIGHT(E7,2),"/",RIGHT(C7,2))</f>
        <v>def 20/19</v>
      </c>
      <c r="G8" s="113" t="s">
        <v>69</v>
      </c>
      <c r="H8" s="112" t="str">
        <f>CONCATENATE("def ",RIGHT(G7,2),"/",RIGHT(E7,2))</f>
        <v>def 21/20</v>
      </c>
      <c r="I8" s="113" t="s">
        <v>69</v>
      </c>
      <c r="J8" s="112" t="str">
        <f>CONCATENATE("def ",RIGHT(I7,2),"/",RIGHT(G7,2))</f>
        <v>def 22/21</v>
      </c>
      <c r="K8" s="113" t="s">
        <v>69</v>
      </c>
      <c r="L8" s="112" t="str">
        <f>CONCATENATE("def ",RIGHT(K7,2),"/",RIGHT(I7,2))</f>
        <v>def 23/22</v>
      </c>
      <c r="M8" s="113" t="s">
        <v>69</v>
      </c>
      <c r="N8" s="112" t="s">
        <v>325</v>
      </c>
      <c r="O8" s="112" t="s">
        <v>326</v>
      </c>
    </row>
    <row r="9" spans="1:16" x14ac:dyDescent="0.25">
      <c r="A9" s="1" t="s">
        <v>70</v>
      </c>
      <c r="B9" s="114" t="s">
        <v>71</v>
      </c>
      <c r="C9" s="184">
        <v>2.635496183206107</v>
      </c>
      <c r="D9" s="185">
        <v>-0.16128533113265942</v>
      </c>
      <c r="E9" s="184">
        <v>2.6174716182412929</v>
      </c>
      <c r="F9" s="185">
        <f t="shared" ref="F9:J21" si="0">IFERROR(E9-C9,"-")</f>
        <v>-1.8024564964814083E-2</v>
      </c>
      <c r="G9" s="184">
        <v>2.4109947643979059</v>
      </c>
      <c r="H9" s="185">
        <f t="shared" si="0"/>
        <v>-0.20647685384338699</v>
      </c>
      <c r="I9" s="184">
        <v>3.2322086759285513</v>
      </c>
      <c r="J9" s="185">
        <f t="shared" si="0"/>
        <v>0.82121391153064538</v>
      </c>
      <c r="K9" s="184">
        <v>2.6628942486085343</v>
      </c>
      <c r="L9" s="185">
        <f t="shared" ref="L9:L21" si="1">IFERROR(K9-I9,"-")</f>
        <v>-0.56931442732001702</v>
      </c>
      <c r="M9" s="184">
        <v>2.7949012842629863</v>
      </c>
      <c r="N9" s="185">
        <v>0.13200703565445204</v>
      </c>
      <c r="O9" s="185">
        <v>0.15940510105687933</v>
      </c>
    </row>
    <row r="10" spans="1:16" x14ac:dyDescent="0.25">
      <c r="A10" s="1" t="s">
        <v>72</v>
      </c>
      <c r="B10" s="114" t="s">
        <v>73</v>
      </c>
      <c r="C10" s="184">
        <v>2.7260385005065855</v>
      </c>
      <c r="D10" s="185">
        <v>1.3098287566372324E-2</v>
      </c>
      <c r="E10" s="184">
        <v>2.6762455682030231</v>
      </c>
      <c r="F10" s="185">
        <f t="shared" si="0"/>
        <v>-4.9792932303562409E-2</v>
      </c>
      <c r="G10" s="184">
        <v>2.2361010830324908</v>
      </c>
      <c r="H10" s="185">
        <f t="shared" si="0"/>
        <v>-0.44014448517053228</v>
      </c>
      <c r="I10" s="184">
        <v>2.7251615992338998</v>
      </c>
      <c r="J10" s="185">
        <f t="shared" si="0"/>
        <v>0.489060516201409</v>
      </c>
      <c r="K10" s="184">
        <v>2.7041745730550284</v>
      </c>
      <c r="L10" s="185">
        <f t="shared" si="1"/>
        <v>-2.0987026178871382E-2</v>
      </c>
      <c r="M10" s="184">
        <v>3.1517801374141161</v>
      </c>
      <c r="N10" s="185">
        <v>0.44760556435908772</v>
      </c>
      <c r="O10" s="185">
        <v>0.42574163690753064</v>
      </c>
    </row>
    <row r="11" spans="1:16" x14ac:dyDescent="0.25">
      <c r="A11" s="1" t="s">
        <v>74</v>
      </c>
      <c r="B11" s="114" t="s">
        <v>75</v>
      </c>
      <c r="C11" s="184">
        <v>2.7059052059052058</v>
      </c>
      <c r="D11" s="185">
        <v>-0.15258354625783976</v>
      </c>
      <c r="E11" s="184">
        <v>2.599636032757052</v>
      </c>
      <c r="F11" s="185">
        <f t="shared" si="0"/>
        <v>-0.10626917314815376</v>
      </c>
      <c r="G11" s="184">
        <v>2.167395104895105</v>
      </c>
      <c r="H11" s="185">
        <f t="shared" si="0"/>
        <v>-0.43224092786194701</v>
      </c>
      <c r="I11" s="184">
        <v>2.6814345991561179</v>
      </c>
      <c r="J11" s="185">
        <f t="shared" si="0"/>
        <v>0.51403949426101292</v>
      </c>
      <c r="K11" s="184">
        <v>2.7572009188902631</v>
      </c>
      <c r="L11" s="185">
        <f t="shared" si="1"/>
        <v>7.576631973414516E-2</v>
      </c>
      <c r="M11" s="184">
        <v>2.9589783281733748</v>
      </c>
      <c r="N11" s="185">
        <v>0.20177740928311172</v>
      </c>
      <c r="O11" s="185">
        <v>0.25307312226816903</v>
      </c>
    </row>
    <row r="12" spans="1:16" x14ac:dyDescent="0.25">
      <c r="A12" s="1" t="s">
        <v>76</v>
      </c>
      <c r="B12" s="114" t="s">
        <v>77</v>
      </c>
      <c r="C12" s="184">
        <v>2.924415832141154</v>
      </c>
      <c r="D12" s="185">
        <v>0.50867141785842263</v>
      </c>
      <c r="E12" s="184" t="s">
        <v>229</v>
      </c>
      <c r="F12" s="185" t="str">
        <f t="shared" si="0"/>
        <v>-</v>
      </c>
      <c r="G12" s="184">
        <v>2.2338797814207649</v>
      </c>
      <c r="H12" s="185" t="str">
        <f t="shared" si="0"/>
        <v>-</v>
      </c>
      <c r="I12" s="184">
        <v>2.9921472392638035</v>
      </c>
      <c r="J12" s="185">
        <f t="shared" si="0"/>
        <v>0.75826745784303862</v>
      </c>
      <c r="K12" s="184">
        <v>2.4570599613152804</v>
      </c>
      <c r="L12" s="185">
        <f t="shared" si="1"/>
        <v>-0.53508727794852318</v>
      </c>
      <c r="M12" s="184">
        <v>2.6590819153146024</v>
      </c>
      <c r="N12" s="185">
        <v>0.20202195399932199</v>
      </c>
      <c r="O12" s="185">
        <v>-0.26533391682655161</v>
      </c>
    </row>
    <row r="13" spans="1:16" x14ac:dyDescent="0.25">
      <c r="A13" s="1" t="s">
        <v>78</v>
      </c>
      <c r="B13" s="114" t="s">
        <v>79</v>
      </c>
      <c r="C13" s="184">
        <v>2.7901599015990159</v>
      </c>
      <c r="D13" s="185">
        <v>0.27636932312696327</v>
      </c>
      <c r="E13" s="184" t="s">
        <v>229</v>
      </c>
      <c r="F13" s="185" t="str">
        <f t="shared" si="0"/>
        <v>-</v>
      </c>
      <c r="G13" s="184">
        <v>2.1226024821361413</v>
      </c>
      <c r="H13" s="185" t="str">
        <f t="shared" si="0"/>
        <v>-</v>
      </c>
      <c r="I13" s="184">
        <v>2.77670704845815</v>
      </c>
      <c r="J13" s="185">
        <f t="shared" si="0"/>
        <v>0.65410456632200864</v>
      </c>
      <c r="K13" s="184">
        <v>2.5519648912826649</v>
      </c>
      <c r="L13" s="185">
        <f t="shared" si="1"/>
        <v>-0.22474215717548507</v>
      </c>
      <c r="M13" s="184">
        <v>2.5066105769230771</v>
      </c>
      <c r="N13" s="185">
        <v>-4.5354314359587811E-2</v>
      </c>
      <c r="O13" s="185">
        <v>-0.28354932467593885</v>
      </c>
    </row>
    <row r="14" spans="1:16" x14ac:dyDescent="0.25">
      <c r="A14" s="1" t="s">
        <v>80</v>
      </c>
      <c r="B14" s="114" t="s">
        <v>81</v>
      </c>
      <c r="C14" s="184">
        <v>2.1747448979591835</v>
      </c>
      <c r="D14" s="185">
        <v>-6.6557840752881514E-2</v>
      </c>
      <c r="E14" s="184" t="s">
        <v>229</v>
      </c>
      <c r="F14" s="185" t="str">
        <f t="shared" si="0"/>
        <v>-</v>
      </c>
      <c r="G14" s="184">
        <v>2.2000801924619084</v>
      </c>
      <c r="H14" s="185" t="str">
        <f t="shared" si="0"/>
        <v>-</v>
      </c>
      <c r="I14" s="184">
        <v>2.4949115044247789</v>
      </c>
      <c r="J14" s="185">
        <f t="shared" si="0"/>
        <v>0.29483131196287049</v>
      </c>
      <c r="K14" s="184">
        <v>2.4809854101889499</v>
      </c>
      <c r="L14" s="185">
        <f t="shared" si="1"/>
        <v>-1.3926094235829023E-2</v>
      </c>
      <c r="M14" s="184">
        <v>2.5517154389505552</v>
      </c>
      <c r="N14" s="185">
        <v>7.0730028761605279E-2</v>
      </c>
      <c r="O14" s="185">
        <v>0.37697054099137173</v>
      </c>
    </row>
    <row r="15" spans="1:16" x14ac:dyDescent="0.25">
      <c r="A15" s="1" t="s">
        <v>82</v>
      </c>
      <c r="B15" s="114" t="s">
        <v>83</v>
      </c>
      <c r="C15" s="184">
        <v>2.0936858901299291</v>
      </c>
      <c r="D15" s="185">
        <v>-9.2713916959533016E-2</v>
      </c>
      <c r="E15" s="184" t="s">
        <v>229</v>
      </c>
      <c r="F15" s="185" t="str">
        <f t="shared" si="0"/>
        <v>-</v>
      </c>
      <c r="G15" s="184">
        <v>2.3360790774299836</v>
      </c>
      <c r="H15" s="185" t="str">
        <f t="shared" si="0"/>
        <v>-</v>
      </c>
      <c r="I15" s="184">
        <v>2.5052631578947366</v>
      </c>
      <c r="J15" s="185">
        <f t="shared" si="0"/>
        <v>0.16918408046475308</v>
      </c>
      <c r="K15" s="184">
        <v>2.2105990783410139</v>
      </c>
      <c r="L15" s="185">
        <f t="shared" si="1"/>
        <v>-0.29466407955372276</v>
      </c>
      <c r="M15" s="184">
        <v>2.2077073807968648</v>
      </c>
      <c r="N15" s="185">
        <v>-2.8916975441490855E-3</v>
      </c>
      <c r="O15" s="185">
        <v>0.11402149066693568</v>
      </c>
    </row>
    <row r="16" spans="1:16" x14ac:dyDescent="0.25">
      <c r="A16" s="1" t="s">
        <v>84</v>
      </c>
      <c r="B16" s="114" t="s">
        <v>85</v>
      </c>
      <c r="C16" s="184">
        <v>2.1728628936774803</v>
      </c>
      <c r="D16" s="185">
        <v>-0.50416295587233106</v>
      </c>
      <c r="E16" s="184">
        <v>2.499459848757652</v>
      </c>
      <c r="F16" s="185">
        <f t="shared" si="0"/>
        <v>0.32659695508017172</v>
      </c>
      <c r="G16" s="184">
        <v>2.9317173096620008</v>
      </c>
      <c r="H16" s="185">
        <f t="shared" si="0"/>
        <v>0.4322574609043488</v>
      </c>
      <c r="I16" s="184">
        <v>2.6119023397761953</v>
      </c>
      <c r="J16" s="185">
        <f t="shared" si="0"/>
        <v>-0.31981496988580549</v>
      </c>
      <c r="K16" s="184">
        <v>2.5556512378902045</v>
      </c>
      <c r="L16" s="185">
        <f t="shared" si="1"/>
        <v>-5.6251101885990806E-2</v>
      </c>
      <c r="M16" s="184">
        <v>3.1938599517074855</v>
      </c>
      <c r="N16" s="185">
        <v>0.63820871381728095</v>
      </c>
      <c r="O16" s="185">
        <v>1.0209970580300052</v>
      </c>
    </row>
    <row r="17" spans="1:16" x14ac:dyDescent="0.25">
      <c r="A17" s="1" t="s">
        <v>86</v>
      </c>
      <c r="B17" s="114" t="s">
        <v>87</v>
      </c>
      <c r="C17" s="184">
        <v>2.0868318122555412</v>
      </c>
      <c r="D17" s="185">
        <v>-1.2575286162258705</v>
      </c>
      <c r="E17" s="184">
        <v>2.135487528344671</v>
      </c>
      <c r="F17" s="185">
        <f t="shared" si="0"/>
        <v>4.8655716089129886E-2</v>
      </c>
      <c r="G17" s="184">
        <v>2.452733776188043</v>
      </c>
      <c r="H17" s="185">
        <f t="shared" si="0"/>
        <v>0.31724624784337196</v>
      </c>
      <c r="I17" s="184">
        <v>2.3955875928352994</v>
      </c>
      <c r="J17" s="185">
        <f t="shared" si="0"/>
        <v>-5.7146183352743574E-2</v>
      </c>
      <c r="K17" s="184">
        <v>2.3459411634594116</v>
      </c>
      <c r="L17" s="185">
        <f t="shared" si="1"/>
        <v>-4.9646429375887813E-2</v>
      </c>
      <c r="M17" s="184">
        <v>2.2301946137212503</v>
      </c>
      <c r="N17" s="185">
        <v>-0.11574654973816134</v>
      </c>
      <c r="O17" s="185">
        <v>0.14336280146570912</v>
      </c>
    </row>
    <row r="18" spans="1:16" x14ac:dyDescent="0.25">
      <c r="A18" s="1" t="s">
        <v>88</v>
      </c>
      <c r="B18" s="114" t="s">
        <v>89</v>
      </c>
      <c r="C18" s="184">
        <v>2.2741073337609579</v>
      </c>
      <c r="D18" s="185">
        <v>-1.0836583409016054E-2</v>
      </c>
      <c r="E18" s="184">
        <v>2.0425170068027212</v>
      </c>
      <c r="F18" s="185">
        <f t="shared" si="0"/>
        <v>-0.23159032695823667</v>
      </c>
      <c r="G18" s="184">
        <v>2.9937869822485208</v>
      </c>
      <c r="H18" s="185">
        <f t="shared" si="0"/>
        <v>0.95126997544579961</v>
      </c>
      <c r="I18" s="184">
        <v>2.8807453416149067</v>
      </c>
      <c r="J18" s="185">
        <f t="shared" si="0"/>
        <v>-0.1130416406336141</v>
      </c>
      <c r="K18" s="184">
        <v>2.5134645847476804</v>
      </c>
      <c r="L18" s="185">
        <f t="shared" si="1"/>
        <v>-0.36728075686722628</v>
      </c>
      <c r="M18" s="184"/>
      <c r="N18" s="185" t="s">
        <v>229</v>
      </c>
      <c r="O18" s="185" t="s">
        <v>229</v>
      </c>
    </row>
    <row r="19" spans="1:16" x14ac:dyDescent="0.25">
      <c r="A19" s="1" t="s">
        <v>90</v>
      </c>
      <c r="B19" s="114" t="s">
        <v>91</v>
      </c>
      <c r="C19" s="184">
        <v>2.3524916943521594</v>
      </c>
      <c r="D19" s="185">
        <v>-0.26352781418282456</v>
      </c>
      <c r="E19" s="184">
        <v>2.0164492342597846</v>
      </c>
      <c r="F19" s="185">
        <f t="shared" si="0"/>
        <v>-0.33604246009237482</v>
      </c>
      <c r="G19" s="184">
        <v>2.7396582733812949</v>
      </c>
      <c r="H19" s="185">
        <f t="shared" si="0"/>
        <v>0.72320903912151024</v>
      </c>
      <c r="I19" s="184">
        <v>2.6980157089706491</v>
      </c>
      <c r="J19" s="185">
        <f t="shared" si="0"/>
        <v>-4.1642564410645733E-2</v>
      </c>
      <c r="K19" s="184">
        <v>2.6623690572119258</v>
      </c>
      <c r="L19" s="185">
        <f t="shared" si="1"/>
        <v>-3.564665175872328E-2</v>
      </c>
      <c r="M19" s="184"/>
      <c r="N19" s="185" t="s">
        <v>229</v>
      </c>
      <c r="O19" s="185" t="s">
        <v>229</v>
      </c>
    </row>
    <row r="20" spans="1:16" x14ac:dyDescent="0.25">
      <c r="A20" s="1" t="s">
        <v>92</v>
      </c>
      <c r="B20" s="114" t="s">
        <v>93</v>
      </c>
      <c r="C20" s="184">
        <v>2.2576729668805271</v>
      </c>
      <c r="D20" s="185">
        <v>-0.14240132732452482</v>
      </c>
      <c r="E20" s="184">
        <v>2.2569676700111483</v>
      </c>
      <c r="F20" s="185">
        <f t="shared" si="0"/>
        <v>-7.0529686937881308E-4</v>
      </c>
      <c r="G20" s="184">
        <v>2.4653312788906008</v>
      </c>
      <c r="H20" s="185">
        <f t="shared" si="0"/>
        <v>0.20836360887945249</v>
      </c>
      <c r="I20" s="184">
        <v>2.3449477351916377</v>
      </c>
      <c r="J20" s="185">
        <f t="shared" si="0"/>
        <v>-0.12038354369896309</v>
      </c>
      <c r="K20" s="184">
        <v>2.587568157033806</v>
      </c>
      <c r="L20" s="185">
        <f t="shared" si="1"/>
        <v>0.24262042184216837</v>
      </c>
      <c r="M20" s="184"/>
      <c r="N20" s="185" t="s">
        <v>229</v>
      </c>
      <c r="O20" s="185" t="s">
        <v>229</v>
      </c>
    </row>
    <row r="21" spans="1:16" ht="15.75" x14ac:dyDescent="0.25">
      <c r="A21" s="1" t="s">
        <v>0</v>
      </c>
      <c r="B21" s="117" t="s">
        <v>30</v>
      </c>
      <c r="C21" s="186">
        <v>2.4357363966575409</v>
      </c>
      <c r="D21" s="187">
        <v>-0.13872735320353424</v>
      </c>
      <c r="E21" s="186">
        <v>2.437843193922629</v>
      </c>
      <c r="F21" s="187">
        <f t="shared" si="0"/>
        <v>2.1067972650881117E-3</v>
      </c>
      <c r="G21" s="186">
        <v>2.4937806482478173</v>
      </c>
      <c r="H21" s="187">
        <f t="shared" si="0"/>
        <v>5.5937454325188263E-2</v>
      </c>
      <c r="I21" s="186">
        <v>2.6756725259784404</v>
      </c>
      <c r="J21" s="187">
        <f t="shared" si="0"/>
        <v>0.1818918777306231</v>
      </c>
      <c r="K21" s="186">
        <v>2.5505786061867015</v>
      </c>
      <c r="L21" s="187">
        <f t="shared" si="1"/>
        <v>-0.12509391979173889</v>
      </c>
      <c r="M21" s="186">
        <v>2.6766402566005216</v>
      </c>
      <c r="N21" s="187">
        <v>0.1387462105709667</v>
      </c>
      <c r="O21" s="187">
        <v>0.18296904943719072</v>
      </c>
    </row>
    <row r="22" spans="1:16" ht="6" customHeight="1" x14ac:dyDescent="0.25"/>
    <row r="23" spans="1:16" x14ac:dyDescent="0.25">
      <c r="B23" s="105" t="s">
        <v>55</v>
      </c>
      <c r="C23" s="190"/>
      <c r="D23" s="190"/>
      <c r="E23" s="190"/>
      <c r="F23" s="190"/>
      <c r="G23" s="190"/>
      <c r="H23" s="190"/>
      <c r="I23" s="190"/>
      <c r="J23" s="190"/>
      <c r="K23" s="190"/>
      <c r="L23" s="190"/>
      <c r="M23" s="190"/>
      <c r="N23" s="190"/>
      <c r="O23" s="190"/>
    </row>
    <row r="24" spans="1:16" x14ac:dyDescent="0.25">
      <c r="N24" s="191"/>
    </row>
    <row r="26" spans="1:16" ht="48.75" customHeight="1" thickBot="1" x14ac:dyDescent="0.3">
      <c r="B26" s="270" t="s">
        <v>305</v>
      </c>
      <c r="C26" s="270"/>
      <c r="D26" s="270"/>
      <c r="E26" s="270"/>
      <c r="F26" s="270"/>
      <c r="G26" s="270"/>
      <c r="H26" s="270"/>
      <c r="I26" s="270"/>
      <c r="J26" s="270"/>
      <c r="K26" s="270"/>
      <c r="L26" s="270"/>
      <c r="M26" s="270"/>
      <c r="N26" s="270"/>
      <c r="O26" s="270"/>
      <c r="P26" s="1" t="s">
        <v>94</v>
      </c>
    </row>
    <row r="27" spans="1:16" ht="10.5" customHeight="1" thickBot="1" x14ac:dyDescent="0.3">
      <c r="B27" s="106"/>
      <c r="C27" s="188"/>
      <c r="D27" s="188"/>
      <c r="E27" s="188"/>
      <c r="F27" s="188"/>
      <c r="G27" s="188"/>
      <c r="H27" s="188"/>
      <c r="I27" s="188"/>
      <c r="J27" s="188"/>
      <c r="K27" s="188"/>
      <c r="L27" s="188"/>
      <c r="M27" s="39"/>
      <c r="N27" s="39"/>
      <c r="P27" s="1" t="s">
        <v>95</v>
      </c>
    </row>
    <row r="28" spans="1:16" ht="22.5" thickTop="1" thickBot="1" x14ac:dyDescent="0.3">
      <c r="B28" s="121" t="s">
        <v>96</v>
      </c>
      <c r="C28" s="304" t="s">
        <v>137</v>
      </c>
      <c r="D28" s="305"/>
      <c r="E28" s="305"/>
      <c r="F28" s="305"/>
      <c r="G28" s="305"/>
      <c r="H28" s="305"/>
      <c r="I28" s="305"/>
      <c r="J28" s="305"/>
      <c r="K28" s="305"/>
      <c r="L28" s="305"/>
      <c r="M28" s="305"/>
      <c r="N28" s="305"/>
      <c r="O28" s="306"/>
    </row>
    <row r="29" spans="1:16" ht="22.5" thickTop="1" thickBot="1" x14ac:dyDescent="0.3">
      <c r="B29" s="109"/>
      <c r="C29" s="295">
        <v>2019</v>
      </c>
      <c r="D29" s="296"/>
      <c r="E29" s="297" t="s">
        <v>285</v>
      </c>
      <c r="F29" s="296"/>
      <c r="G29" s="297" t="s">
        <v>286</v>
      </c>
      <c r="H29" s="296"/>
      <c r="I29" s="297" t="s">
        <v>287</v>
      </c>
      <c r="J29" s="296"/>
      <c r="K29" s="297">
        <v>2023</v>
      </c>
      <c r="L29" s="296"/>
      <c r="M29" s="297">
        <v>2024</v>
      </c>
      <c r="N29" s="298"/>
      <c r="O29" s="299"/>
    </row>
    <row r="30" spans="1:16" ht="16.5" thickTop="1" thickBot="1" x14ac:dyDescent="0.3">
      <c r="B30" s="85"/>
      <c r="C30" s="111" t="s">
        <v>69</v>
      </c>
      <c r="D30" s="112" t="str">
        <f>CONCATENATE("def ",RIGHT(C29,2),"/",RIGHT(C29-1,2))</f>
        <v>def 19/18</v>
      </c>
      <c r="E30" s="113" t="s">
        <v>69</v>
      </c>
      <c r="F30" s="112" t="str">
        <f>CONCATENATE("def ",RIGHT(E29,2),"/",RIGHT(C29,2))</f>
        <v>def 20/19</v>
      </c>
      <c r="G30" s="113" t="s">
        <v>69</v>
      </c>
      <c r="H30" s="112" t="str">
        <f>CONCATENATE("def ",RIGHT(G29,2),"/",RIGHT(E29,2))</f>
        <v>def 21/20</v>
      </c>
      <c r="I30" s="113" t="s">
        <v>69</v>
      </c>
      <c r="J30" s="112" t="str">
        <f>CONCATENATE("def ",RIGHT(I29,2),"/",RIGHT(G29,2))</f>
        <v>def 22/21</v>
      </c>
      <c r="K30" s="113" t="s">
        <v>69</v>
      </c>
      <c r="L30" s="112" t="str">
        <f>CONCATENATE("def ",RIGHT(K29,2),"/",RIGHT(I29,2))</f>
        <v>def 23/22</v>
      </c>
      <c r="M30" s="113" t="s">
        <v>69</v>
      </c>
      <c r="N30" s="112" t="s">
        <v>325</v>
      </c>
      <c r="O30" s="112" t="s">
        <v>326</v>
      </c>
    </row>
    <row r="31" spans="1:16" x14ac:dyDescent="0.25">
      <c r="B31" s="114" t="s">
        <v>71</v>
      </c>
      <c r="C31" s="184">
        <v>2.635496183206107</v>
      </c>
      <c r="D31" s="185">
        <v>-0.16128533113265942</v>
      </c>
      <c r="E31" s="184">
        <v>2.6174716182412929</v>
      </c>
      <c r="F31" s="185">
        <f t="shared" ref="F31:J43" si="2">IFERROR(E31-C31,"-")</f>
        <v>-1.8024564964814083E-2</v>
      </c>
      <c r="G31" s="184">
        <v>2.4109947643979059</v>
      </c>
      <c r="H31" s="185">
        <f t="shared" si="2"/>
        <v>-0.20647685384338699</v>
      </c>
      <c r="I31" s="184">
        <v>3.2322086759285513</v>
      </c>
      <c r="J31" s="185">
        <f t="shared" si="2"/>
        <v>0.82121391153064538</v>
      </c>
      <c r="K31" s="184">
        <v>2.6628942486085343</v>
      </c>
      <c r="L31" s="185">
        <f t="shared" ref="L31:L43" si="3">IFERROR(K31-I31,"-")</f>
        <v>-0.56931442732001702</v>
      </c>
      <c r="M31" s="184">
        <v>2.7949012842629863</v>
      </c>
      <c r="N31" s="185">
        <v>0.13200703565445204</v>
      </c>
      <c r="O31" s="185">
        <v>0.15940510105687933</v>
      </c>
    </row>
    <row r="32" spans="1:16" x14ac:dyDescent="0.25">
      <c r="B32" s="114" t="s">
        <v>73</v>
      </c>
      <c r="C32" s="184">
        <v>2.7260385005065855</v>
      </c>
      <c r="D32" s="185">
        <v>1.3098287566372324E-2</v>
      </c>
      <c r="E32" s="184">
        <v>2.6762455682030231</v>
      </c>
      <c r="F32" s="185">
        <f t="shared" si="2"/>
        <v>-4.9792932303562409E-2</v>
      </c>
      <c r="G32" s="184">
        <v>2.2361010830324908</v>
      </c>
      <c r="H32" s="185">
        <f t="shared" si="2"/>
        <v>-0.44014448517053228</v>
      </c>
      <c r="I32" s="184">
        <v>2.7251615992338998</v>
      </c>
      <c r="J32" s="185">
        <f t="shared" si="2"/>
        <v>0.489060516201409</v>
      </c>
      <c r="K32" s="184">
        <v>2.7041745730550284</v>
      </c>
      <c r="L32" s="185">
        <f t="shared" si="3"/>
        <v>-2.0987026178871382E-2</v>
      </c>
      <c r="M32" s="184">
        <v>3.1517801374141161</v>
      </c>
      <c r="N32" s="185">
        <v>0.44760556435908772</v>
      </c>
      <c r="O32" s="185">
        <v>0.42574163690753064</v>
      </c>
    </row>
    <row r="33" spans="2:16" x14ac:dyDescent="0.25">
      <c r="B33" s="114" t="s">
        <v>75</v>
      </c>
      <c r="C33" s="184">
        <v>2.7059052059052058</v>
      </c>
      <c r="D33" s="185">
        <v>-0.15258354625783976</v>
      </c>
      <c r="E33" s="184">
        <v>2.599636032757052</v>
      </c>
      <c r="F33" s="185">
        <f t="shared" si="2"/>
        <v>-0.10626917314815376</v>
      </c>
      <c r="G33" s="184">
        <v>2.167395104895105</v>
      </c>
      <c r="H33" s="185">
        <f t="shared" si="2"/>
        <v>-0.43224092786194701</v>
      </c>
      <c r="I33" s="184">
        <v>2.6814345991561179</v>
      </c>
      <c r="J33" s="185">
        <f t="shared" si="2"/>
        <v>0.51403949426101292</v>
      </c>
      <c r="K33" s="184">
        <v>2.7572009188902631</v>
      </c>
      <c r="L33" s="185">
        <f t="shared" si="3"/>
        <v>7.576631973414516E-2</v>
      </c>
      <c r="M33" s="184">
        <v>2.9589783281733748</v>
      </c>
      <c r="N33" s="185">
        <v>0.20177740928311172</v>
      </c>
      <c r="O33" s="185">
        <v>0.25307312226816903</v>
      </c>
    </row>
    <row r="34" spans="2:16" x14ac:dyDescent="0.25">
      <c r="B34" s="114" t="s">
        <v>77</v>
      </c>
      <c r="C34" s="184">
        <v>2.924415832141154</v>
      </c>
      <c r="D34" s="185">
        <v>0.50867141785842263</v>
      </c>
      <c r="E34" s="184" t="s">
        <v>229</v>
      </c>
      <c r="F34" s="185" t="str">
        <f t="shared" si="2"/>
        <v>-</v>
      </c>
      <c r="G34" s="184">
        <v>2.2338797814207649</v>
      </c>
      <c r="H34" s="185" t="str">
        <f t="shared" si="2"/>
        <v>-</v>
      </c>
      <c r="I34" s="184">
        <v>2.9921472392638035</v>
      </c>
      <c r="J34" s="185">
        <f t="shared" si="2"/>
        <v>0.75826745784303862</v>
      </c>
      <c r="K34" s="184">
        <v>2.4570599613152804</v>
      </c>
      <c r="L34" s="185">
        <f t="shared" si="3"/>
        <v>-0.53508727794852318</v>
      </c>
      <c r="M34" s="184">
        <v>2.6590819153146024</v>
      </c>
      <c r="N34" s="185">
        <v>0.20202195399932199</v>
      </c>
      <c r="O34" s="185">
        <v>-0.26533391682655161</v>
      </c>
    </row>
    <row r="35" spans="2:16" x14ac:dyDescent="0.25">
      <c r="B35" s="114" t="s">
        <v>79</v>
      </c>
      <c r="C35" s="184">
        <v>2.7901599015990159</v>
      </c>
      <c r="D35" s="185">
        <v>0.27636932312696327</v>
      </c>
      <c r="E35" s="184" t="s">
        <v>229</v>
      </c>
      <c r="F35" s="185" t="str">
        <f t="shared" si="2"/>
        <v>-</v>
      </c>
      <c r="G35" s="184">
        <v>2.1226024821361413</v>
      </c>
      <c r="H35" s="185" t="str">
        <f t="shared" si="2"/>
        <v>-</v>
      </c>
      <c r="I35" s="184">
        <v>2.77670704845815</v>
      </c>
      <c r="J35" s="185">
        <f t="shared" si="2"/>
        <v>0.65410456632200864</v>
      </c>
      <c r="K35" s="184">
        <v>2.5519648912826649</v>
      </c>
      <c r="L35" s="185">
        <f t="shared" si="3"/>
        <v>-0.22474215717548507</v>
      </c>
      <c r="M35" s="184">
        <v>2.5066105769230771</v>
      </c>
      <c r="N35" s="185">
        <v>-4.5354314359587811E-2</v>
      </c>
      <c r="O35" s="185">
        <v>-0.28354932467593885</v>
      </c>
    </row>
    <row r="36" spans="2:16" x14ac:dyDescent="0.25">
      <c r="B36" s="114" t="s">
        <v>81</v>
      </c>
      <c r="C36" s="184">
        <v>2.1747448979591835</v>
      </c>
      <c r="D36" s="185">
        <v>-6.6557840752881514E-2</v>
      </c>
      <c r="E36" s="184" t="s">
        <v>229</v>
      </c>
      <c r="F36" s="185" t="str">
        <f t="shared" si="2"/>
        <v>-</v>
      </c>
      <c r="G36" s="184">
        <v>2.2000801924619084</v>
      </c>
      <c r="H36" s="185" t="str">
        <f t="shared" si="2"/>
        <v>-</v>
      </c>
      <c r="I36" s="184">
        <v>2.4949115044247789</v>
      </c>
      <c r="J36" s="185">
        <f t="shared" si="2"/>
        <v>0.29483131196287049</v>
      </c>
      <c r="K36" s="184">
        <v>2.4809854101889499</v>
      </c>
      <c r="L36" s="185">
        <f t="shared" si="3"/>
        <v>-1.3926094235829023E-2</v>
      </c>
      <c r="M36" s="184">
        <v>2.5517154389505552</v>
      </c>
      <c r="N36" s="185">
        <v>7.0730028761605279E-2</v>
      </c>
      <c r="O36" s="185">
        <v>0.37697054099137173</v>
      </c>
    </row>
    <row r="37" spans="2:16" x14ac:dyDescent="0.25">
      <c r="B37" s="114" t="s">
        <v>83</v>
      </c>
      <c r="C37" s="184">
        <v>2.0936858901299291</v>
      </c>
      <c r="D37" s="185">
        <v>-9.2713916959533016E-2</v>
      </c>
      <c r="E37" s="184" t="s">
        <v>229</v>
      </c>
      <c r="F37" s="185" t="str">
        <f t="shared" si="2"/>
        <v>-</v>
      </c>
      <c r="G37" s="184">
        <v>2.3360790774299836</v>
      </c>
      <c r="H37" s="185" t="str">
        <f t="shared" si="2"/>
        <v>-</v>
      </c>
      <c r="I37" s="184">
        <v>2.5052631578947366</v>
      </c>
      <c r="J37" s="185">
        <f t="shared" si="2"/>
        <v>0.16918408046475308</v>
      </c>
      <c r="K37" s="184">
        <v>2.2105990783410139</v>
      </c>
      <c r="L37" s="185">
        <f t="shared" si="3"/>
        <v>-0.29466407955372276</v>
      </c>
      <c r="M37" s="184">
        <v>2.2077073807968648</v>
      </c>
      <c r="N37" s="185">
        <v>-2.8916975441490855E-3</v>
      </c>
      <c r="O37" s="185">
        <v>0.11402149066693568</v>
      </c>
    </row>
    <row r="38" spans="2:16" x14ac:dyDescent="0.25">
      <c r="B38" s="114" t="s">
        <v>85</v>
      </c>
      <c r="C38" s="184">
        <v>2.1728628936774803</v>
      </c>
      <c r="D38" s="185">
        <v>-0.50416295587233106</v>
      </c>
      <c r="E38" s="184">
        <v>2.499459848757652</v>
      </c>
      <c r="F38" s="185">
        <f t="shared" si="2"/>
        <v>0.32659695508017172</v>
      </c>
      <c r="G38" s="184">
        <v>2.9317173096620008</v>
      </c>
      <c r="H38" s="185">
        <f t="shared" si="2"/>
        <v>0.4322574609043488</v>
      </c>
      <c r="I38" s="184">
        <v>2.6119023397761953</v>
      </c>
      <c r="J38" s="185">
        <f t="shared" si="2"/>
        <v>-0.31981496988580549</v>
      </c>
      <c r="K38" s="184">
        <v>2.5556512378902045</v>
      </c>
      <c r="L38" s="185">
        <f t="shared" si="3"/>
        <v>-5.6251101885990806E-2</v>
      </c>
      <c r="M38" s="184">
        <v>3.1938599517074855</v>
      </c>
      <c r="N38" s="185">
        <v>0.63820871381728095</v>
      </c>
      <c r="O38" s="185">
        <v>1.0209970580300052</v>
      </c>
    </row>
    <row r="39" spans="2:16" x14ac:dyDescent="0.25">
      <c r="B39" s="114" t="s">
        <v>87</v>
      </c>
      <c r="C39" s="184">
        <v>2.0868318122555412</v>
      </c>
      <c r="D39" s="185">
        <v>-1.2575286162258705</v>
      </c>
      <c r="E39" s="184">
        <v>2.135487528344671</v>
      </c>
      <c r="F39" s="185">
        <f t="shared" si="2"/>
        <v>4.8655716089129886E-2</v>
      </c>
      <c r="G39" s="184">
        <v>2.452733776188043</v>
      </c>
      <c r="H39" s="185">
        <f t="shared" si="2"/>
        <v>0.31724624784337196</v>
      </c>
      <c r="I39" s="184">
        <v>2.3955875928352994</v>
      </c>
      <c r="J39" s="185">
        <f t="shared" si="2"/>
        <v>-5.7146183352743574E-2</v>
      </c>
      <c r="K39" s="184">
        <v>2.3459411634594116</v>
      </c>
      <c r="L39" s="185">
        <f t="shared" si="3"/>
        <v>-4.9646429375887813E-2</v>
      </c>
      <c r="M39" s="184">
        <v>2.2301946137212503</v>
      </c>
      <c r="N39" s="185">
        <v>-0.11574654973816134</v>
      </c>
      <c r="O39" s="185">
        <v>0.14336280146570912</v>
      </c>
    </row>
    <row r="40" spans="2:16" x14ac:dyDescent="0.25">
      <c r="B40" s="114" t="s">
        <v>89</v>
      </c>
      <c r="C40" s="184">
        <v>2.2741073337609579</v>
      </c>
      <c r="D40" s="185">
        <v>-1.0836583409016054E-2</v>
      </c>
      <c r="E40" s="184">
        <v>2.0425170068027212</v>
      </c>
      <c r="F40" s="185">
        <f t="shared" si="2"/>
        <v>-0.23159032695823667</v>
      </c>
      <c r="G40" s="184">
        <v>2.9937869822485208</v>
      </c>
      <c r="H40" s="185">
        <f t="shared" si="2"/>
        <v>0.95126997544579961</v>
      </c>
      <c r="I40" s="184">
        <v>2.8807453416149067</v>
      </c>
      <c r="J40" s="185">
        <f t="shared" si="2"/>
        <v>-0.1130416406336141</v>
      </c>
      <c r="K40" s="184">
        <v>2.5134645847476804</v>
      </c>
      <c r="L40" s="185">
        <f t="shared" si="3"/>
        <v>-0.36728075686722628</v>
      </c>
      <c r="M40" s="184"/>
      <c r="N40" s="185" t="s">
        <v>229</v>
      </c>
      <c r="O40" s="185" t="s">
        <v>229</v>
      </c>
    </row>
    <row r="41" spans="2:16" x14ac:dyDescent="0.25">
      <c r="B41" s="114" t="s">
        <v>91</v>
      </c>
      <c r="C41" s="184">
        <v>2.3524916943521594</v>
      </c>
      <c r="D41" s="185">
        <v>-0.26352781418282456</v>
      </c>
      <c r="E41" s="184">
        <v>2.0164492342597846</v>
      </c>
      <c r="F41" s="185">
        <f t="shared" si="2"/>
        <v>-0.33604246009237482</v>
      </c>
      <c r="G41" s="184">
        <v>2.7396582733812949</v>
      </c>
      <c r="H41" s="185">
        <f t="shared" si="2"/>
        <v>0.72320903912151024</v>
      </c>
      <c r="I41" s="184">
        <v>2.6980157089706491</v>
      </c>
      <c r="J41" s="185">
        <f t="shared" si="2"/>
        <v>-4.1642564410645733E-2</v>
      </c>
      <c r="K41" s="184">
        <v>2.6623690572119258</v>
      </c>
      <c r="L41" s="185">
        <f t="shared" si="3"/>
        <v>-3.564665175872328E-2</v>
      </c>
      <c r="M41" s="184"/>
      <c r="N41" s="185" t="s">
        <v>229</v>
      </c>
      <c r="O41" s="185" t="s">
        <v>229</v>
      </c>
    </row>
    <row r="42" spans="2:16" x14ac:dyDescent="0.25">
      <c r="B42" s="114" t="s">
        <v>93</v>
      </c>
      <c r="C42" s="184">
        <v>2.2576729668805271</v>
      </c>
      <c r="D42" s="185">
        <v>-0.14240132732452482</v>
      </c>
      <c r="E42" s="184">
        <v>2.2569676700111483</v>
      </c>
      <c r="F42" s="185">
        <f t="shared" si="2"/>
        <v>-7.0529686937881308E-4</v>
      </c>
      <c r="G42" s="184">
        <v>2.4653312788906008</v>
      </c>
      <c r="H42" s="185">
        <f t="shared" si="2"/>
        <v>0.20836360887945249</v>
      </c>
      <c r="I42" s="184">
        <v>2.3449477351916377</v>
      </c>
      <c r="J42" s="185">
        <f t="shared" si="2"/>
        <v>-0.12038354369896309</v>
      </c>
      <c r="K42" s="184">
        <v>2.587568157033806</v>
      </c>
      <c r="L42" s="185">
        <f t="shared" si="3"/>
        <v>0.24262042184216837</v>
      </c>
      <c r="M42" s="184"/>
      <c r="N42" s="185" t="s">
        <v>229</v>
      </c>
      <c r="O42" s="185" t="s">
        <v>229</v>
      </c>
    </row>
    <row r="43" spans="2:16" ht="15.75" x14ac:dyDescent="0.25">
      <c r="B43" s="117" t="s">
        <v>30</v>
      </c>
      <c r="C43" s="186">
        <v>2.4357363966575409</v>
      </c>
      <c r="D43" s="187">
        <v>-0.13872735320353424</v>
      </c>
      <c r="E43" s="186">
        <v>2.437843193922629</v>
      </c>
      <c r="F43" s="187">
        <f t="shared" si="2"/>
        <v>2.1067972650881117E-3</v>
      </c>
      <c r="G43" s="186">
        <v>2.4937806482478173</v>
      </c>
      <c r="H43" s="187">
        <f t="shared" si="2"/>
        <v>5.5937454325188263E-2</v>
      </c>
      <c r="I43" s="186">
        <v>2.6756725259784404</v>
      </c>
      <c r="J43" s="187">
        <f t="shared" si="2"/>
        <v>0.1818918777306231</v>
      </c>
      <c r="K43" s="186">
        <v>2.5505786061867015</v>
      </c>
      <c r="L43" s="187">
        <f t="shared" si="3"/>
        <v>-0.12509391979173889</v>
      </c>
      <c r="M43" s="186">
        <v>2.6766402566005216</v>
      </c>
      <c r="N43" s="187">
        <v>0.1387462105709667</v>
      </c>
      <c r="O43" s="187">
        <v>0.18296904943719072</v>
      </c>
    </row>
    <row r="44" spans="2:16" ht="6" customHeight="1" x14ac:dyDescent="0.25"/>
    <row r="45" spans="2:16" x14ac:dyDescent="0.25">
      <c r="B45" s="105" t="s">
        <v>55</v>
      </c>
      <c r="C45" s="190"/>
      <c r="D45" s="190"/>
      <c r="E45" s="190"/>
      <c r="F45" s="190"/>
      <c r="G45" s="190"/>
      <c r="H45" s="190"/>
      <c r="I45" s="190"/>
      <c r="J45" s="190"/>
      <c r="K45" s="190"/>
      <c r="L45" s="190"/>
      <c r="M45" s="190"/>
      <c r="N45" s="190"/>
      <c r="O45" s="190"/>
    </row>
    <row r="48" spans="2:16" ht="48.75" customHeight="1" thickBot="1" x14ac:dyDescent="0.3">
      <c r="B48" s="270" t="s">
        <v>306</v>
      </c>
      <c r="C48" s="270"/>
      <c r="D48" s="270"/>
      <c r="E48" s="270"/>
      <c r="F48" s="270"/>
      <c r="G48" s="270"/>
      <c r="H48" s="270"/>
      <c r="I48" s="270"/>
      <c r="J48" s="270"/>
      <c r="K48" s="270"/>
      <c r="L48" s="270"/>
      <c r="M48" s="270"/>
      <c r="N48" s="270"/>
      <c r="O48" s="270"/>
      <c r="P48" s="1" t="s">
        <v>98</v>
      </c>
    </row>
    <row r="49" spans="1:16" ht="10.5" customHeight="1" thickBot="1" x14ac:dyDescent="0.3">
      <c r="B49" s="106"/>
      <c r="C49" s="188"/>
      <c r="D49" s="188"/>
      <c r="E49" s="188"/>
      <c r="F49" s="188"/>
      <c r="G49" s="188"/>
      <c r="H49" s="188"/>
      <c r="I49" s="188"/>
      <c r="J49" s="188"/>
      <c r="K49" s="188"/>
      <c r="L49" s="188"/>
      <c r="M49" s="39"/>
      <c r="N49" s="39"/>
      <c r="P49" s="1" t="s">
        <v>99</v>
      </c>
    </row>
    <row r="50" spans="1:16" ht="22.5" thickTop="1" thickBot="1" x14ac:dyDescent="0.3">
      <c r="B50" s="109"/>
      <c r="C50" s="304" t="s">
        <v>61</v>
      </c>
      <c r="D50" s="305"/>
      <c r="E50" s="305"/>
      <c r="F50" s="305"/>
      <c r="G50" s="305"/>
      <c r="H50" s="305"/>
      <c r="I50" s="305"/>
      <c r="J50" s="305"/>
      <c r="K50" s="305"/>
      <c r="L50" s="305"/>
      <c r="M50" s="305"/>
      <c r="N50" s="305"/>
      <c r="O50" s="306"/>
    </row>
    <row r="51" spans="1:16" ht="22.5" thickTop="1" thickBot="1" x14ac:dyDescent="0.3">
      <c r="B51" s="109"/>
      <c r="C51" s="295">
        <v>2019</v>
      </c>
      <c r="D51" s="296"/>
      <c r="E51" s="297" t="s">
        <v>285</v>
      </c>
      <c r="F51" s="296"/>
      <c r="G51" s="297" t="s">
        <v>286</v>
      </c>
      <c r="H51" s="296"/>
      <c r="I51" s="297" t="s">
        <v>287</v>
      </c>
      <c r="J51" s="296"/>
      <c r="K51" s="297">
        <v>2023</v>
      </c>
      <c r="L51" s="296"/>
      <c r="M51" s="297">
        <v>2024</v>
      </c>
      <c r="N51" s="298"/>
      <c r="O51" s="299"/>
    </row>
    <row r="52" spans="1:16" ht="16.5" thickTop="1" thickBot="1" x14ac:dyDescent="0.3">
      <c r="B52" s="85"/>
      <c r="C52" s="111" t="s">
        <v>69</v>
      </c>
      <c r="D52" s="112" t="str">
        <f>CONCATENATE("def ",RIGHT(C51,2),"/",RIGHT(C51-1,2))</f>
        <v>def 19/18</v>
      </c>
      <c r="E52" s="113" t="s">
        <v>69</v>
      </c>
      <c r="F52" s="112" t="str">
        <f>CONCATENATE("def ",RIGHT(E51,2),"/",RIGHT(C51,2))</f>
        <v>def 20/19</v>
      </c>
      <c r="G52" s="113" t="s">
        <v>69</v>
      </c>
      <c r="H52" s="112" t="str">
        <f>CONCATENATE("def ",RIGHT(G51,2),"/",RIGHT(E51,2))</f>
        <v>def 21/20</v>
      </c>
      <c r="I52" s="113" t="s">
        <v>69</v>
      </c>
      <c r="J52" s="112" t="str">
        <f>CONCATENATE("def ",RIGHT(I51,2),"/",RIGHT(G51,2))</f>
        <v>def 22/21</v>
      </c>
      <c r="K52" s="113" t="s">
        <v>69</v>
      </c>
      <c r="L52" s="112" t="str">
        <f>CONCATENATE("def ",RIGHT(K51,2),"/",RIGHT(I51,2))</f>
        <v>def 23/22</v>
      </c>
      <c r="M52" s="113" t="s">
        <v>69</v>
      </c>
      <c r="N52" s="112" t="s">
        <v>325</v>
      </c>
      <c r="O52" s="112" t="s">
        <v>326</v>
      </c>
    </row>
    <row r="53" spans="1:16" x14ac:dyDescent="0.25">
      <c r="A53" s="1"/>
      <c r="B53" s="114" t="s">
        <v>71</v>
      </c>
      <c r="C53" s="184">
        <v>2.8360163710777626</v>
      </c>
      <c r="D53" s="185">
        <v>-0.28102560834953794</v>
      </c>
      <c r="E53" s="184">
        <v>3.0477990818255467</v>
      </c>
      <c r="F53" s="185">
        <f t="shared" ref="F53:J65" si="4">IFERROR(E53-C53,"-")</f>
        <v>0.2117827107477841</v>
      </c>
      <c r="G53" s="184" t="s">
        <v>229</v>
      </c>
      <c r="H53" s="185" t="str">
        <f t="shared" si="4"/>
        <v>-</v>
      </c>
      <c r="I53" s="184" t="s">
        <v>229</v>
      </c>
      <c r="J53" s="185" t="str">
        <f t="shared" si="4"/>
        <v>-</v>
      </c>
      <c r="K53" s="184">
        <v>2.7950872656755008</v>
      </c>
      <c r="L53" s="185" t="str">
        <f t="shared" ref="L53:L65" si="5">IFERROR(K53-I53,"-")</f>
        <v>-</v>
      </c>
      <c r="M53" s="184">
        <v>2.9186357556843512</v>
      </c>
      <c r="N53" s="185">
        <v>0.12354849000885038</v>
      </c>
      <c r="O53" s="185">
        <v>8.2619384606588575E-2</v>
      </c>
    </row>
    <row r="54" spans="1:16" x14ac:dyDescent="0.25">
      <c r="A54" s="1"/>
      <c r="B54" s="114" t="s">
        <v>73</v>
      </c>
      <c r="C54" s="184">
        <v>2.9724337096350748</v>
      </c>
      <c r="D54" s="185">
        <v>0.13427403439826824</v>
      </c>
      <c r="E54" s="184">
        <v>3.1402388225492919</v>
      </c>
      <c r="F54" s="185">
        <f t="shared" si="4"/>
        <v>0.16780511291421707</v>
      </c>
      <c r="G54" s="184" t="s">
        <v>229</v>
      </c>
      <c r="H54" s="185" t="str">
        <f t="shared" si="4"/>
        <v>-</v>
      </c>
      <c r="I54" s="184" t="s">
        <v>229</v>
      </c>
      <c r="J54" s="185" t="str">
        <f t="shared" si="4"/>
        <v>-</v>
      </c>
      <c r="K54" s="184">
        <v>2.8731359893167148</v>
      </c>
      <c r="L54" s="185" t="str">
        <f t="shared" si="5"/>
        <v>-</v>
      </c>
      <c r="M54" s="184">
        <v>3.347750434998757</v>
      </c>
      <c r="N54" s="185">
        <v>0.47461444568204225</v>
      </c>
      <c r="O54" s="185">
        <v>0.37531672536368221</v>
      </c>
    </row>
    <row r="55" spans="1:16" x14ac:dyDescent="0.25">
      <c r="A55" s="1"/>
      <c r="B55" s="114" t="s">
        <v>75</v>
      </c>
      <c r="C55" s="184">
        <v>2.9354925053533192</v>
      </c>
      <c r="D55" s="185">
        <v>-0.17626476392607415</v>
      </c>
      <c r="E55" s="184">
        <v>3.2750179985601151</v>
      </c>
      <c r="F55" s="185">
        <f t="shared" si="4"/>
        <v>0.33952549320679593</v>
      </c>
      <c r="G55" s="184" t="s">
        <v>229</v>
      </c>
      <c r="H55" s="185" t="str">
        <f t="shared" si="4"/>
        <v>-</v>
      </c>
      <c r="I55" s="184" t="s">
        <v>229</v>
      </c>
      <c r="J55" s="185" t="str">
        <f t="shared" si="4"/>
        <v>-</v>
      </c>
      <c r="K55" s="184">
        <v>2.9364389233954453</v>
      </c>
      <c r="L55" s="185" t="str">
        <f t="shared" si="5"/>
        <v>-</v>
      </c>
      <c r="M55" s="184">
        <v>3.1342297174111211</v>
      </c>
      <c r="N55" s="185">
        <v>0.19779079401567579</v>
      </c>
      <c r="O55" s="185">
        <v>0.19873721205780193</v>
      </c>
    </row>
    <row r="56" spans="1:16" x14ac:dyDescent="0.25">
      <c r="A56" s="1"/>
      <c r="B56" s="114" t="s">
        <v>77</v>
      </c>
      <c r="C56" s="184">
        <v>3.1096630642085188</v>
      </c>
      <c r="D56" s="185">
        <v>0.49617146027105496</v>
      </c>
      <c r="E56" s="184" t="s">
        <v>229</v>
      </c>
      <c r="F56" s="185" t="str">
        <f t="shared" si="4"/>
        <v>-</v>
      </c>
      <c r="G56" s="184" t="s">
        <v>229</v>
      </c>
      <c r="H56" s="185" t="str">
        <f t="shared" si="4"/>
        <v>-</v>
      </c>
      <c r="I56" s="184">
        <v>3.1402254605444049</v>
      </c>
      <c r="J56" s="185" t="str">
        <f t="shared" si="4"/>
        <v>-</v>
      </c>
      <c r="K56" s="184">
        <v>2.5746586075665996</v>
      </c>
      <c r="L56" s="185">
        <f t="shared" si="5"/>
        <v>-0.56556685297780529</v>
      </c>
      <c r="M56" s="184">
        <v>2.7839800317676424</v>
      </c>
      <c r="N56" s="185">
        <v>0.20932142420104283</v>
      </c>
      <c r="O56" s="185">
        <v>-0.32568303244087637</v>
      </c>
    </row>
    <row r="57" spans="1:16" x14ac:dyDescent="0.25">
      <c r="A57" s="1"/>
      <c r="B57" s="114" t="s">
        <v>79</v>
      </c>
      <c r="C57" s="184">
        <v>2.8928571428571428</v>
      </c>
      <c r="D57" s="185">
        <v>0.12538356631435388</v>
      </c>
      <c r="E57" s="184" t="s">
        <v>229</v>
      </c>
      <c r="F57" s="185" t="str">
        <f t="shared" si="4"/>
        <v>-</v>
      </c>
      <c r="G57" s="184" t="s">
        <v>229</v>
      </c>
      <c r="H57" s="185" t="str">
        <f t="shared" si="4"/>
        <v>-</v>
      </c>
      <c r="I57" s="184">
        <v>2.9780715898097387</v>
      </c>
      <c r="J57" s="185" t="str">
        <f t="shared" si="4"/>
        <v>-</v>
      </c>
      <c r="K57" s="184">
        <v>2.6306366047745358</v>
      </c>
      <c r="L57" s="185">
        <f t="shared" si="5"/>
        <v>-0.34743498503520298</v>
      </c>
      <c r="M57" s="184">
        <v>2.5609430604982206</v>
      </c>
      <c r="N57" s="185">
        <v>-6.9693544276315134E-2</v>
      </c>
      <c r="O57" s="185">
        <v>-0.33191408235892217</v>
      </c>
    </row>
    <row r="58" spans="1:16" x14ac:dyDescent="0.25">
      <c r="A58" s="1"/>
      <c r="B58" s="114" t="s">
        <v>81</v>
      </c>
      <c r="C58" s="184">
        <v>2.0373647984267453</v>
      </c>
      <c r="D58" s="185">
        <v>-0.44816202519347836</v>
      </c>
      <c r="E58" s="184" t="s">
        <v>229</v>
      </c>
      <c r="F58" s="185" t="str">
        <f t="shared" si="4"/>
        <v>-</v>
      </c>
      <c r="G58" s="184" t="s">
        <v>229</v>
      </c>
      <c r="H58" s="185" t="str">
        <f t="shared" si="4"/>
        <v>-</v>
      </c>
      <c r="I58" s="184">
        <v>2.5641587533479426</v>
      </c>
      <c r="J58" s="185" t="str">
        <f t="shared" si="4"/>
        <v>-</v>
      </c>
      <c r="K58" s="184">
        <v>2.5592901317558483</v>
      </c>
      <c r="L58" s="185">
        <f t="shared" si="5"/>
        <v>-4.8686215920943354E-3</v>
      </c>
      <c r="M58" s="184">
        <v>2.6040229885057471</v>
      </c>
      <c r="N58" s="185">
        <v>4.4732856749898797E-2</v>
      </c>
      <c r="O58" s="185">
        <v>0.56665819007900176</v>
      </c>
    </row>
    <row r="59" spans="1:16" x14ac:dyDescent="0.25">
      <c r="A59" s="1"/>
      <c r="B59" s="114" t="s">
        <v>83</v>
      </c>
      <c r="C59" s="184">
        <v>2.0607381575123509</v>
      </c>
      <c r="D59" s="185">
        <v>-0.15774114951363583</v>
      </c>
      <c r="E59" s="184" t="s">
        <v>229</v>
      </c>
      <c r="F59" s="185" t="str">
        <f t="shared" si="4"/>
        <v>-</v>
      </c>
      <c r="G59" s="184" t="s">
        <v>229</v>
      </c>
      <c r="H59" s="185" t="str">
        <f t="shared" si="4"/>
        <v>-</v>
      </c>
      <c r="I59" s="184">
        <v>2.501542416452442</v>
      </c>
      <c r="J59" s="185" t="str">
        <f t="shared" si="4"/>
        <v>-</v>
      </c>
      <c r="K59" s="184" t="s">
        <v>229</v>
      </c>
      <c r="L59" s="185" t="str">
        <f t="shared" si="5"/>
        <v>-</v>
      </c>
      <c r="M59" s="184">
        <v>2.2533062054933874</v>
      </c>
      <c r="N59" s="185" t="s">
        <v>229</v>
      </c>
      <c r="O59" s="185">
        <v>0.19256804798103655</v>
      </c>
    </row>
    <row r="60" spans="1:16" x14ac:dyDescent="0.25">
      <c r="A60" s="1"/>
      <c r="B60" s="114" t="s">
        <v>85</v>
      </c>
      <c r="C60" s="184">
        <v>2.2307221542227662</v>
      </c>
      <c r="D60" s="185">
        <v>-0.49925658426057895</v>
      </c>
      <c r="E60" s="184" t="s">
        <v>229</v>
      </c>
      <c r="F60" s="185" t="str">
        <f t="shared" si="4"/>
        <v>-</v>
      </c>
      <c r="G60" s="184" t="s">
        <v>229</v>
      </c>
      <c r="H60" s="185" t="str">
        <f t="shared" si="4"/>
        <v>-</v>
      </c>
      <c r="I60" s="184">
        <v>2.7960213776722092</v>
      </c>
      <c r="J60" s="185" t="str">
        <f t="shared" si="4"/>
        <v>-</v>
      </c>
      <c r="K60" s="184" t="s">
        <v>229</v>
      </c>
      <c r="L60" s="185" t="str">
        <f t="shared" si="5"/>
        <v>-</v>
      </c>
      <c r="M60" s="184">
        <v>3.3068565005620081</v>
      </c>
      <c r="N60" s="185" t="s">
        <v>229</v>
      </c>
      <c r="O60" s="185">
        <v>1.0761343463392419</v>
      </c>
    </row>
    <row r="61" spans="1:16" x14ac:dyDescent="0.25">
      <c r="A61" s="1"/>
      <c r="B61" s="114" t="s">
        <v>87</v>
      </c>
      <c r="C61" s="184">
        <v>2.1106602729620065</v>
      </c>
      <c r="D61" s="185">
        <v>-1.6714320066177102</v>
      </c>
      <c r="E61" s="184" t="s">
        <v>229</v>
      </c>
      <c r="F61" s="185" t="str">
        <f t="shared" si="4"/>
        <v>-</v>
      </c>
      <c r="G61" s="184" t="s">
        <v>229</v>
      </c>
      <c r="H61" s="185" t="str">
        <f t="shared" si="4"/>
        <v>-</v>
      </c>
      <c r="I61" s="184">
        <v>2.500871296987802</v>
      </c>
      <c r="J61" s="185" t="str">
        <f t="shared" si="4"/>
        <v>-</v>
      </c>
      <c r="K61" s="184">
        <v>2.3941569695469176</v>
      </c>
      <c r="L61" s="185">
        <f t="shared" si="5"/>
        <v>-0.10671432744088438</v>
      </c>
      <c r="M61" s="184">
        <v>2.2749944333110665</v>
      </c>
      <c r="N61" s="185">
        <v>-0.11916253623585105</v>
      </c>
      <c r="O61" s="185">
        <v>0.16433416034906001</v>
      </c>
    </row>
    <row r="62" spans="1:16" x14ac:dyDescent="0.25">
      <c r="A62" s="1"/>
      <c r="B62" s="114" t="s">
        <v>89</v>
      </c>
      <c r="C62" s="184">
        <v>2.2029676735559089</v>
      </c>
      <c r="D62" s="185">
        <v>-0.28321513846959956</v>
      </c>
      <c r="E62" s="184" t="s">
        <v>229</v>
      </c>
      <c r="F62" s="185" t="str">
        <f t="shared" si="4"/>
        <v>-</v>
      </c>
      <c r="G62" s="184" t="s">
        <v>229</v>
      </c>
      <c r="H62" s="185" t="str">
        <f t="shared" si="4"/>
        <v>-</v>
      </c>
      <c r="I62" s="184">
        <v>2.916572077185017</v>
      </c>
      <c r="J62" s="185" t="str">
        <f t="shared" si="4"/>
        <v>-</v>
      </c>
      <c r="K62" s="184">
        <v>2.651506996770721</v>
      </c>
      <c r="L62" s="185">
        <f t="shared" si="5"/>
        <v>-0.26506508041429599</v>
      </c>
      <c r="M62" s="184"/>
      <c r="N62" s="185" t="s">
        <v>229</v>
      </c>
      <c r="O62" s="185" t="s">
        <v>229</v>
      </c>
    </row>
    <row r="63" spans="1:16" x14ac:dyDescent="0.25">
      <c r="A63" s="1"/>
      <c r="B63" s="114" t="s">
        <v>91</v>
      </c>
      <c r="C63" s="184">
        <v>2.5244648318042815</v>
      </c>
      <c r="D63" s="185">
        <v>-0.24246390266186113</v>
      </c>
      <c r="E63" s="184" t="s">
        <v>229</v>
      </c>
      <c r="F63" s="185" t="str">
        <f t="shared" si="4"/>
        <v>-</v>
      </c>
      <c r="G63" s="184" t="s">
        <v>229</v>
      </c>
      <c r="H63" s="185" t="str">
        <f t="shared" si="4"/>
        <v>-</v>
      </c>
      <c r="I63" s="184">
        <v>2.8604146576663454</v>
      </c>
      <c r="J63" s="185" t="str">
        <f t="shared" si="4"/>
        <v>-</v>
      </c>
      <c r="K63" s="184">
        <v>2.8276945384243595</v>
      </c>
      <c r="L63" s="185">
        <f t="shared" si="5"/>
        <v>-3.2720119241985923E-2</v>
      </c>
      <c r="M63" s="184"/>
      <c r="N63" s="185" t="s">
        <v>229</v>
      </c>
      <c r="O63" s="185" t="s">
        <v>229</v>
      </c>
    </row>
    <row r="64" spans="1:16" x14ac:dyDescent="0.25">
      <c r="A64" s="1"/>
      <c r="B64" s="114" t="s">
        <v>93</v>
      </c>
      <c r="C64" s="184">
        <v>2.4298976434182338</v>
      </c>
      <c r="D64" s="185">
        <v>-0.20801050630302997</v>
      </c>
      <c r="E64" s="184" t="s">
        <v>229</v>
      </c>
      <c r="F64" s="185" t="str">
        <f t="shared" si="4"/>
        <v>-</v>
      </c>
      <c r="G64" s="184" t="s">
        <v>229</v>
      </c>
      <c r="H64" s="185" t="str">
        <f t="shared" si="4"/>
        <v>-</v>
      </c>
      <c r="I64" s="184">
        <v>2.4325228641534689</v>
      </c>
      <c r="J64" s="185" t="str">
        <f t="shared" si="4"/>
        <v>-</v>
      </c>
      <c r="K64" s="184">
        <v>2.7499333511063715</v>
      </c>
      <c r="L64" s="185">
        <f t="shared" si="5"/>
        <v>0.31741048695290264</v>
      </c>
      <c r="M64" s="184"/>
      <c r="N64" s="185" t="s">
        <v>229</v>
      </c>
      <c r="O64" s="185" t="s">
        <v>229</v>
      </c>
    </row>
    <row r="65" spans="1:16" ht="15.75" x14ac:dyDescent="0.25">
      <c r="B65" s="117" t="s">
        <v>30</v>
      </c>
      <c r="C65" s="186">
        <v>2.5384814535868951</v>
      </c>
      <c r="D65" s="187">
        <v>-0.24437249498511404</v>
      </c>
      <c r="E65" s="186" t="s">
        <v>229</v>
      </c>
      <c r="F65" s="187" t="str">
        <f t="shared" si="4"/>
        <v>-</v>
      </c>
      <c r="G65" s="186" t="s">
        <v>229</v>
      </c>
      <c r="H65" s="187" t="str">
        <f t="shared" si="4"/>
        <v>-</v>
      </c>
      <c r="I65" s="186">
        <v>2.7547137248133926</v>
      </c>
      <c r="J65" s="187" t="str">
        <f t="shared" si="4"/>
        <v>-</v>
      </c>
      <c r="K65" s="186">
        <v>2.6597626112759643</v>
      </c>
      <c r="L65" s="187">
        <f t="shared" si="5"/>
        <v>-9.4951113537428355E-2</v>
      </c>
      <c r="M65" s="186">
        <v>2.7785659298361378</v>
      </c>
      <c r="N65" s="187">
        <v>8.7392810961394396E-2</v>
      </c>
      <c r="O65" s="187">
        <v>0.18040324401686281</v>
      </c>
    </row>
    <row r="66" spans="1:16" ht="6" customHeight="1" x14ac:dyDescent="0.25"/>
    <row r="67" spans="1:16" x14ac:dyDescent="0.25">
      <c r="B67" s="105" t="s">
        <v>55</v>
      </c>
      <c r="C67" s="190"/>
      <c r="D67" s="190"/>
      <c r="E67" s="190"/>
      <c r="F67" s="190"/>
      <c r="G67" s="190"/>
      <c r="H67" s="190"/>
      <c r="I67" s="190"/>
      <c r="J67" s="190"/>
      <c r="K67" s="190"/>
      <c r="L67" s="190"/>
      <c r="M67" s="190"/>
      <c r="N67" s="190"/>
      <c r="O67" s="190"/>
    </row>
    <row r="70" spans="1:16" ht="48.75" customHeight="1" thickBot="1" x14ac:dyDescent="0.3">
      <c r="B70" s="270" t="s">
        <v>307</v>
      </c>
      <c r="C70" s="270"/>
      <c r="D70" s="270"/>
      <c r="E70" s="270"/>
      <c r="F70" s="270"/>
      <c r="G70" s="270"/>
      <c r="H70" s="270"/>
      <c r="I70" s="270"/>
      <c r="J70" s="270"/>
      <c r="K70" s="270"/>
      <c r="L70" s="270"/>
      <c r="M70" s="270"/>
      <c r="N70" s="270"/>
      <c r="O70" s="270"/>
      <c r="P70" s="1" t="s">
        <v>101</v>
      </c>
    </row>
    <row r="71" spans="1:16" ht="10.5" customHeight="1" thickBot="1" x14ac:dyDescent="0.3">
      <c r="B71" s="106"/>
      <c r="C71" s="188"/>
      <c r="D71" s="188"/>
      <c r="E71" s="188"/>
      <c r="F71" s="188"/>
      <c r="G71" s="188"/>
      <c r="H71" s="188"/>
      <c r="I71" s="188"/>
      <c r="J71" s="188"/>
      <c r="K71" s="188"/>
      <c r="L71" s="188"/>
      <c r="M71" s="39"/>
      <c r="N71" s="39"/>
      <c r="P71" s="1" t="s">
        <v>102</v>
      </c>
    </row>
    <row r="72" spans="1:16" ht="22.5" thickTop="1" thickBot="1" x14ac:dyDescent="0.3">
      <c r="B72" s="109"/>
      <c r="C72" s="304" t="s">
        <v>62</v>
      </c>
      <c r="D72" s="305"/>
      <c r="E72" s="305"/>
      <c r="F72" s="305"/>
      <c r="G72" s="305"/>
      <c r="H72" s="305"/>
      <c r="I72" s="305"/>
      <c r="J72" s="305"/>
      <c r="K72" s="305"/>
      <c r="L72" s="305"/>
      <c r="M72" s="305"/>
      <c r="N72" s="305"/>
      <c r="O72" s="306"/>
    </row>
    <row r="73" spans="1:16" ht="22.5" thickTop="1" thickBot="1" x14ac:dyDescent="0.3">
      <c r="B73" s="109"/>
      <c r="C73" s="295">
        <v>2019</v>
      </c>
      <c r="D73" s="296"/>
      <c r="E73" s="297" t="s">
        <v>285</v>
      </c>
      <c r="F73" s="296"/>
      <c r="G73" s="297" t="s">
        <v>286</v>
      </c>
      <c r="H73" s="296"/>
      <c r="I73" s="297" t="s">
        <v>287</v>
      </c>
      <c r="J73" s="296"/>
      <c r="K73" s="297">
        <v>2023</v>
      </c>
      <c r="L73" s="296"/>
      <c r="M73" s="297">
        <v>2024</v>
      </c>
      <c r="N73" s="298"/>
      <c r="O73" s="299"/>
    </row>
    <row r="74" spans="1:16" ht="16.5" thickTop="1" thickBot="1" x14ac:dyDescent="0.3">
      <c r="B74" s="85"/>
      <c r="C74" s="111" t="s">
        <v>69</v>
      </c>
      <c r="D74" s="112" t="str">
        <f>CONCATENATE("def ",RIGHT(C73,2),"/",RIGHT(C73-1,2))</f>
        <v>def 19/18</v>
      </c>
      <c r="E74" s="113" t="s">
        <v>69</v>
      </c>
      <c r="F74" s="112" t="str">
        <f>CONCATENATE("def ",RIGHT(E73,2),"/",RIGHT(C73,2))</f>
        <v>def 20/19</v>
      </c>
      <c r="G74" s="113" t="s">
        <v>69</v>
      </c>
      <c r="H74" s="112" t="str">
        <f>CONCATENATE("def ",RIGHT(G73,2),"/",RIGHT(E73,2))</f>
        <v>def 21/20</v>
      </c>
      <c r="I74" s="113" t="s">
        <v>69</v>
      </c>
      <c r="J74" s="112" t="str">
        <f>CONCATENATE("def ",RIGHT(I73,2),"/",RIGHT(G73,2))</f>
        <v>def 22/21</v>
      </c>
      <c r="K74" s="113" t="s">
        <v>69</v>
      </c>
      <c r="L74" s="112" t="str">
        <f>CONCATENATE("def ",RIGHT(K73,2),"/",RIGHT(I73,2))</f>
        <v>def 23/22</v>
      </c>
      <c r="M74" s="113" t="s">
        <v>69</v>
      </c>
      <c r="N74" s="112" t="s">
        <v>325</v>
      </c>
      <c r="O74" s="112" t="s">
        <v>326</v>
      </c>
    </row>
    <row r="75" spans="1:16" x14ac:dyDescent="0.25">
      <c r="A75" s="1"/>
      <c r="B75" s="114" t="s">
        <v>71</v>
      </c>
      <c r="C75" s="184">
        <v>1.9362511893434824</v>
      </c>
      <c r="D75" s="185">
        <v>6.1051189343482415E-2</v>
      </c>
      <c r="E75" s="184">
        <v>1.5508701472556894</v>
      </c>
      <c r="F75" s="185">
        <f t="shared" ref="F75:J87" si="6">IFERROR(E75-C75,"-")</f>
        <v>-0.385381042087793</v>
      </c>
      <c r="G75" s="184" t="s">
        <v>229</v>
      </c>
      <c r="H75" s="185" t="str">
        <f t="shared" si="6"/>
        <v>-</v>
      </c>
      <c r="I75" s="184" t="s">
        <v>229</v>
      </c>
      <c r="J75" s="185" t="str">
        <f t="shared" si="6"/>
        <v>-</v>
      </c>
      <c r="K75" s="184">
        <v>1.8437917222963951</v>
      </c>
      <c r="L75" s="185" t="str">
        <f t="shared" ref="L75:L87" si="7">IFERROR(K75-I75,"-")</f>
        <v>-</v>
      </c>
      <c r="M75" s="184">
        <v>2.0355677154582765</v>
      </c>
      <c r="N75" s="185">
        <v>0.19177599316188143</v>
      </c>
      <c r="O75" s="185">
        <v>9.9316526114794135E-2</v>
      </c>
    </row>
    <row r="76" spans="1:16" x14ac:dyDescent="0.25">
      <c r="A76" s="1"/>
      <c r="B76" s="114" t="s">
        <v>73</v>
      </c>
      <c r="C76" s="184">
        <v>1.8925399644760212</v>
      </c>
      <c r="D76" s="185">
        <v>-0.43126154940118666</v>
      </c>
      <c r="E76" s="184">
        <v>1.7258248009101251</v>
      </c>
      <c r="F76" s="185">
        <f t="shared" si="6"/>
        <v>-0.16671516356589611</v>
      </c>
      <c r="G76" s="184" t="s">
        <v>229</v>
      </c>
      <c r="H76" s="185" t="str">
        <f t="shared" si="6"/>
        <v>-</v>
      </c>
      <c r="I76" s="184" t="s">
        <v>229</v>
      </c>
      <c r="J76" s="185" t="str">
        <f t="shared" si="6"/>
        <v>-</v>
      </c>
      <c r="K76" s="184">
        <v>1.7271557271557272</v>
      </c>
      <c r="L76" s="185" t="str">
        <f t="shared" si="7"/>
        <v>-</v>
      </c>
      <c r="M76" s="184">
        <v>2.141025641025641</v>
      </c>
      <c r="N76" s="185">
        <v>0.41386991386991379</v>
      </c>
      <c r="O76" s="185">
        <v>0.24848567654961973</v>
      </c>
    </row>
    <row r="77" spans="1:16" x14ac:dyDescent="0.25">
      <c r="A77" s="1"/>
      <c r="B77" s="114" t="s">
        <v>75</v>
      </c>
      <c r="C77" s="184">
        <v>2.0984419263456089</v>
      </c>
      <c r="D77" s="185">
        <v>4.3867287501307306E-2</v>
      </c>
      <c r="E77" s="184">
        <v>1.4400494437577256</v>
      </c>
      <c r="F77" s="185">
        <f t="shared" si="6"/>
        <v>-0.6583924825878833</v>
      </c>
      <c r="G77" s="184" t="s">
        <v>229</v>
      </c>
      <c r="H77" s="185" t="str">
        <f t="shared" si="6"/>
        <v>-</v>
      </c>
      <c r="I77" s="184" t="s">
        <v>229</v>
      </c>
      <c r="J77" s="185" t="str">
        <f t="shared" si="6"/>
        <v>-</v>
      </c>
      <c r="K77" s="184">
        <v>1.712907117008444</v>
      </c>
      <c r="L77" s="185" t="str">
        <f t="shared" si="7"/>
        <v>-</v>
      </c>
      <c r="M77" s="184">
        <v>1.9730769230769232</v>
      </c>
      <c r="N77" s="185">
        <v>0.26016980606847917</v>
      </c>
      <c r="O77" s="185">
        <v>-0.12536500326868572</v>
      </c>
    </row>
    <row r="78" spans="1:16" x14ac:dyDescent="0.25">
      <c r="A78" s="1"/>
      <c r="B78" s="114" t="s">
        <v>77</v>
      </c>
      <c r="C78" s="184">
        <v>2.3683206106870229</v>
      </c>
      <c r="D78" s="185">
        <v>0.46420076049975711</v>
      </c>
      <c r="E78" s="184" t="s">
        <v>229</v>
      </c>
      <c r="F78" s="185" t="str">
        <f t="shared" si="6"/>
        <v>-</v>
      </c>
      <c r="G78" s="184" t="s">
        <v>229</v>
      </c>
      <c r="H78" s="185" t="str">
        <f t="shared" si="6"/>
        <v>-</v>
      </c>
      <c r="I78" s="184">
        <v>1.7625570776255708</v>
      </c>
      <c r="J78" s="185" t="str">
        <f t="shared" si="6"/>
        <v>-</v>
      </c>
      <c r="K78" s="184">
        <v>1.7098150782361308</v>
      </c>
      <c r="L78" s="185">
        <f t="shared" si="7"/>
        <v>-5.274199938944002E-2</v>
      </c>
      <c r="M78" s="184">
        <v>1.8083462132921175</v>
      </c>
      <c r="N78" s="185">
        <v>9.8531135055986763E-2</v>
      </c>
      <c r="O78" s="185">
        <v>-0.5599743973949054</v>
      </c>
    </row>
    <row r="79" spans="1:16" x14ac:dyDescent="0.25">
      <c r="A79" s="1"/>
      <c r="B79" s="114" t="s">
        <v>79</v>
      </c>
      <c r="C79" s="184">
        <v>2.4566353187042842</v>
      </c>
      <c r="D79" s="185">
        <v>0.58206487196888901</v>
      </c>
      <c r="E79" s="184" t="s">
        <v>229</v>
      </c>
      <c r="F79" s="185" t="str">
        <f t="shared" si="6"/>
        <v>-</v>
      </c>
      <c r="G79" s="184" t="s">
        <v>229</v>
      </c>
      <c r="H79" s="185" t="str">
        <f t="shared" si="6"/>
        <v>-</v>
      </c>
      <c r="I79" s="184">
        <v>1.60075329566855</v>
      </c>
      <c r="J79" s="185" t="str">
        <f t="shared" si="6"/>
        <v>-</v>
      </c>
      <c r="K79" s="184">
        <v>1.8241308793456033</v>
      </c>
      <c r="L79" s="185">
        <f t="shared" si="7"/>
        <v>0.22337758367705329</v>
      </c>
      <c r="M79" s="184">
        <v>2.0141129032258065</v>
      </c>
      <c r="N79" s="185">
        <v>0.18998202388020324</v>
      </c>
      <c r="O79" s="185">
        <v>-0.4425224154784777</v>
      </c>
    </row>
    <row r="80" spans="1:16" x14ac:dyDescent="0.25">
      <c r="A80" s="1"/>
      <c r="B80" s="114" t="s">
        <v>81</v>
      </c>
      <c r="C80" s="184">
        <v>2.6570771001150746</v>
      </c>
      <c r="D80" s="185">
        <v>0.84859556796733182</v>
      </c>
      <c r="E80" s="184" t="s">
        <v>229</v>
      </c>
      <c r="F80" s="185" t="str">
        <f t="shared" si="6"/>
        <v>-</v>
      </c>
      <c r="G80" s="184" t="s">
        <v>229</v>
      </c>
      <c r="H80" s="185" t="str">
        <f t="shared" si="6"/>
        <v>-</v>
      </c>
      <c r="I80" s="184">
        <v>1.8062953995157385</v>
      </c>
      <c r="J80" s="185" t="str">
        <f t="shared" si="6"/>
        <v>-</v>
      </c>
      <c r="K80" s="184">
        <v>1.8506493506493507</v>
      </c>
      <c r="L80" s="185">
        <f t="shared" si="7"/>
        <v>4.4353951133612179E-2</v>
      </c>
      <c r="M80" s="184">
        <v>2.1756198347107438</v>
      </c>
      <c r="N80" s="185">
        <v>0.32497048406139317</v>
      </c>
      <c r="O80" s="185">
        <v>-0.48145726540433076</v>
      </c>
    </row>
    <row r="81" spans="1:16" x14ac:dyDescent="0.25">
      <c r="A81" s="1"/>
      <c r="B81" s="114" t="s">
        <v>83</v>
      </c>
      <c r="C81" s="184">
        <v>2.2135306553911205</v>
      </c>
      <c r="D81" s="185">
        <v>0.12421026704160587</v>
      </c>
      <c r="E81" s="184" t="s">
        <v>229</v>
      </c>
      <c r="F81" s="185" t="str">
        <f t="shared" si="6"/>
        <v>-</v>
      </c>
      <c r="G81" s="184" t="s">
        <v>229</v>
      </c>
      <c r="H81" s="185" t="str">
        <f t="shared" si="6"/>
        <v>-</v>
      </c>
      <c r="I81" s="184">
        <v>2.5428571428571427</v>
      </c>
      <c r="J81" s="185" t="str">
        <f t="shared" si="6"/>
        <v>-</v>
      </c>
      <c r="K81" s="184" t="s">
        <v>229</v>
      </c>
      <c r="L81" s="185" t="str">
        <f t="shared" si="7"/>
        <v>-</v>
      </c>
      <c r="M81" s="184">
        <v>1.9364599092284418</v>
      </c>
      <c r="N81" s="185" t="s">
        <v>229</v>
      </c>
      <c r="O81" s="185">
        <v>-0.27707074616267868</v>
      </c>
    </row>
    <row r="82" spans="1:16" x14ac:dyDescent="0.25">
      <c r="A82" s="1"/>
      <c r="B82" s="114" t="s">
        <v>85</v>
      </c>
      <c r="C82" s="184">
        <v>1.9748691099476441</v>
      </c>
      <c r="D82" s="185">
        <v>-0.46152380470614029</v>
      </c>
      <c r="E82" s="184" t="s">
        <v>229</v>
      </c>
      <c r="F82" s="185" t="str">
        <f t="shared" si="6"/>
        <v>-</v>
      </c>
      <c r="G82" s="184" t="s">
        <v>229</v>
      </c>
      <c r="H82" s="185" t="str">
        <f t="shared" si="6"/>
        <v>-</v>
      </c>
      <c r="I82" s="184">
        <v>1.5124113475177305</v>
      </c>
      <c r="J82" s="185" t="str">
        <f t="shared" si="6"/>
        <v>-</v>
      </c>
      <c r="K82" s="184" t="s">
        <v>229</v>
      </c>
      <c r="L82" s="185" t="str">
        <f t="shared" si="7"/>
        <v>-</v>
      </c>
      <c r="M82" s="184">
        <v>1.8826086956521739</v>
      </c>
      <c r="N82" s="185" t="s">
        <v>229</v>
      </c>
      <c r="O82" s="185">
        <v>-9.2260414295470161E-2</v>
      </c>
    </row>
    <row r="83" spans="1:16" x14ac:dyDescent="0.25">
      <c r="A83" s="1"/>
      <c r="B83" s="114" t="s">
        <v>87</v>
      </c>
      <c r="C83" s="184">
        <v>2.0293594306049823</v>
      </c>
      <c r="D83" s="185">
        <v>-0.34221417345593164</v>
      </c>
      <c r="E83" s="184" t="s">
        <v>229</v>
      </c>
      <c r="F83" s="185" t="str">
        <f t="shared" si="6"/>
        <v>-</v>
      </c>
      <c r="G83" s="184" t="s">
        <v>229</v>
      </c>
      <c r="H83" s="185" t="str">
        <f t="shared" si="6"/>
        <v>-</v>
      </c>
      <c r="I83" s="184">
        <v>1.641711229946524</v>
      </c>
      <c r="J83" s="185" t="str">
        <f t="shared" si="6"/>
        <v>-</v>
      </c>
      <c r="K83" s="184">
        <v>1.941908713692946</v>
      </c>
      <c r="L83" s="185">
        <f t="shared" si="7"/>
        <v>0.30019748374642208</v>
      </c>
      <c r="M83" s="184">
        <v>1.8926174496644295</v>
      </c>
      <c r="N83" s="185">
        <v>-4.9291264028516579E-2</v>
      </c>
      <c r="O83" s="185">
        <v>-0.13674198094055279</v>
      </c>
    </row>
    <row r="84" spans="1:16" x14ac:dyDescent="0.25">
      <c r="A84" s="1"/>
      <c r="B84" s="114" t="s">
        <v>89</v>
      </c>
      <c r="C84" s="184">
        <v>2.5714285714285716</v>
      </c>
      <c r="D84" s="185">
        <v>0.77991703010318081</v>
      </c>
      <c r="E84" s="184" t="s">
        <v>229</v>
      </c>
      <c r="F84" s="185" t="str">
        <f t="shared" si="6"/>
        <v>-</v>
      </c>
      <c r="G84" s="184" t="s">
        <v>229</v>
      </c>
      <c r="H84" s="185" t="str">
        <f t="shared" si="6"/>
        <v>-</v>
      </c>
      <c r="I84" s="184">
        <v>2.6287425149700598</v>
      </c>
      <c r="J84" s="185" t="str">
        <f t="shared" si="6"/>
        <v>-</v>
      </c>
      <c r="K84" s="184">
        <v>1.7837837837837838</v>
      </c>
      <c r="L84" s="185">
        <f t="shared" si="7"/>
        <v>-0.84495873118627607</v>
      </c>
      <c r="M84" s="184"/>
      <c r="N84" s="185" t="s">
        <v>229</v>
      </c>
      <c r="O84" s="185" t="s">
        <v>229</v>
      </c>
    </row>
    <row r="85" spans="1:16" x14ac:dyDescent="0.25">
      <c r="A85" s="1"/>
      <c r="B85" s="114" t="s">
        <v>91</v>
      </c>
      <c r="C85" s="184">
        <v>1.8065187239944522</v>
      </c>
      <c r="D85" s="185">
        <v>-0.3808011607317725</v>
      </c>
      <c r="E85" s="184" t="s">
        <v>229</v>
      </c>
      <c r="F85" s="185" t="str">
        <f t="shared" si="6"/>
        <v>-</v>
      </c>
      <c r="G85" s="184" t="s">
        <v>229</v>
      </c>
      <c r="H85" s="185" t="str">
        <f t="shared" si="6"/>
        <v>-</v>
      </c>
      <c r="I85" s="184">
        <v>1.7217391304347827</v>
      </c>
      <c r="J85" s="185" t="str">
        <f t="shared" si="6"/>
        <v>-</v>
      </c>
      <c r="K85" s="184">
        <v>1.834140435835351</v>
      </c>
      <c r="L85" s="185">
        <f t="shared" si="7"/>
        <v>0.11240130540056836</v>
      </c>
      <c r="M85" s="184"/>
      <c r="N85" s="185" t="s">
        <v>229</v>
      </c>
      <c r="O85" s="185" t="s">
        <v>229</v>
      </c>
    </row>
    <row r="86" spans="1:16" x14ac:dyDescent="0.25">
      <c r="A86" s="1"/>
      <c r="B86" s="114" t="s">
        <v>93</v>
      </c>
      <c r="C86" s="184">
        <v>1.7956577266922094</v>
      </c>
      <c r="D86" s="185">
        <v>-5.0353405033208176E-2</v>
      </c>
      <c r="E86" s="184" t="s">
        <v>229</v>
      </c>
      <c r="F86" s="185" t="str">
        <f t="shared" si="6"/>
        <v>-</v>
      </c>
      <c r="G86" s="184" t="s">
        <v>229</v>
      </c>
      <c r="H86" s="185" t="str">
        <f t="shared" si="6"/>
        <v>-</v>
      </c>
      <c r="I86" s="184">
        <v>1.7701317715959004</v>
      </c>
      <c r="J86" s="185" t="str">
        <f t="shared" si="6"/>
        <v>-</v>
      </c>
      <c r="K86" s="184">
        <v>1.8573141486810552</v>
      </c>
      <c r="L86" s="185">
        <f t="shared" si="7"/>
        <v>8.718237708515475E-2</v>
      </c>
      <c r="M86" s="184"/>
      <c r="N86" s="185" t="s">
        <v>229</v>
      </c>
      <c r="O86" s="185" t="s">
        <v>229</v>
      </c>
    </row>
    <row r="87" spans="1:16" ht="15.75" x14ac:dyDescent="0.25">
      <c r="B87" s="117" t="s">
        <v>30</v>
      </c>
      <c r="C87" s="186">
        <v>2.109933577132622</v>
      </c>
      <c r="D87" s="187">
        <v>9.605797904649771E-2</v>
      </c>
      <c r="E87" s="186" t="s">
        <v>229</v>
      </c>
      <c r="F87" s="187" t="str">
        <f t="shared" si="6"/>
        <v>-</v>
      </c>
      <c r="G87" s="186" t="s">
        <v>229</v>
      </c>
      <c r="H87" s="187" t="str">
        <f t="shared" si="6"/>
        <v>-</v>
      </c>
      <c r="I87" s="186">
        <v>1.9616059247709998</v>
      </c>
      <c r="J87" s="187" t="str">
        <f t="shared" si="6"/>
        <v>-</v>
      </c>
      <c r="K87" s="186">
        <v>1.8250295780202446</v>
      </c>
      <c r="L87" s="187">
        <f t="shared" si="7"/>
        <v>-0.13657634675075525</v>
      </c>
      <c r="M87" s="186">
        <v>1.9907493061979649</v>
      </c>
      <c r="N87" s="187">
        <v>0.20317415589736365</v>
      </c>
      <c r="O87" s="187">
        <v>-0.17324732112075347</v>
      </c>
    </row>
    <row r="88" spans="1:16" ht="6" customHeight="1" x14ac:dyDescent="0.25"/>
    <row r="89" spans="1:16" x14ac:dyDescent="0.25">
      <c r="B89" s="105" t="s">
        <v>55</v>
      </c>
      <c r="C89" s="190"/>
      <c r="D89" s="190"/>
      <c r="E89" s="190"/>
      <c r="F89" s="190"/>
      <c r="G89" s="190"/>
      <c r="H89" s="190"/>
      <c r="I89" s="190"/>
      <c r="J89" s="190"/>
      <c r="K89" s="190"/>
      <c r="L89" s="190"/>
      <c r="M89" s="190"/>
      <c r="N89" s="190"/>
      <c r="O89" s="190"/>
    </row>
    <row r="92" spans="1:16" ht="48.75" customHeight="1" thickBot="1" x14ac:dyDescent="0.3">
      <c r="B92" s="270" t="s">
        <v>308</v>
      </c>
      <c r="C92" s="270"/>
      <c r="D92" s="270"/>
      <c r="E92" s="270"/>
      <c r="F92" s="270"/>
      <c r="G92" s="270"/>
      <c r="H92" s="270"/>
      <c r="I92" s="270"/>
      <c r="J92" s="270"/>
      <c r="K92" s="270"/>
      <c r="L92" s="270"/>
      <c r="M92" s="270"/>
      <c r="N92" s="270"/>
      <c r="O92" s="270"/>
      <c r="P92" s="1" t="s">
        <v>114</v>
      </c>
    </row>
    <row r="93" spans="1:16" ht="10.5" customHeight="1" thickBot="1" x14ac:dyDescent="0.3">
      <c r="B93" s="106"/>
      <c r="C93" s="188"/>
      <c r="D93" s="188"/>
      <c r="E93" s="188"/>
      <c r="F93" s="188"/>
      <c r="G93" s="188"/>
      <c r="H93" s="188"/>
      <c r="I93" s="188"/>
      <c r="J93" s="188"/>
      <c r="K93" s="188"/>
      <c r="L93" s="188"/>
      <c r="M93" s="39"/>
      <c r="N93" s="39"/>
      <c r="P93" s="1" t="s">
        <v>115</v>
      </c>
    </row>
    <row r="94" spans="1:16" ht="22.5" thickTop="1" thickBot="1" x14ac:dyDescent="0.3">
      <c r="B94" s="121" t="s">
        <v>96</v>
      </c>
      <c r="C94" s="304" t="s">
        <v>32</v>
      </c>
      <c r="D94" s="305"/>
      <c r="E94" s="305"/>
      <c r="F94" s="305"/>
      <c r="G94" s="305"/>
      <c r="H94" s="305"/>
      <c r="I94" s="305"/>
      <c r="J94" s="305"/>
      <c r="K94" s="305"/>
      <c r="L94" s="305"/>
      <c r="M94" s="305"/>
      <c r="N94" s="305"/>
      <c r="O94" s="306"/>
    </row>
    <row r="95" spans="1:16" ht="22.5" thickTop="1" thickBot="1" x14ac:dyDescent="0.3">
      <c r="B95" s="109"/>
      <c r="C95" s="295">
        <v>2019</v>
      </c>
      <c r="D95" s="296"/>
      <c r="E95" s="297" t="s">
        <v>285</v>
      </c>
      <c r="F95" s="296"/>
      <c r="G95" s="297" t="s">
        <v>286</v>
      </c>
      <c r="H95" s="296"/>
      <c r="I95" s="297" t="s">
        <v>287</v>
      </c>
      <c r="J95" s="296"/>
      <c r="K95" s="297">
        <v>2023</v>
      </c>
      <c r="L95" s="296"/>
      <c r="M95" s="297">
        <v>2024</v>
      </c>
      <c r="N95" s="298"/>
      <c r="O95" s="299"/>
    </row>
    <row r="96" spans="1:16" ht="16.5" thickTop="1" thickBot="1" x14ac:dyDescent="0.3">
      <c r="B96" s="85"/>
      <c r="C96" s="111" t="s">
        <v>69</v>
      </c>
      <c r="D96" s="112" t="str">
        <f>CONCATENATE("def ",RIGHT(C95,2),"/",RIGHT(C95-1,2))</f>
        <v>def 19/18</v>
      </c>
      <c r="E96" s="113" t="s">
        <v>69</v>
      </c>
      <c r="F96" s="112" t="str">
        <f>CONCATENATE("def ",RIGHT(E95,2),"/",RIGHT(C95,2))</f>
        <v>def 20/19</v>
      </c>
      <c r="G96" s="113" t="s">
        <v>69</v>
      </c>
      <c r="H96" s="112" t="str">
        <f>CONCATENATE("def ",RIGHT(G95,2),"/",RIGHT(E95,2))</f>
        <v>def 21/20</v>
      </c>
      <c r="I96" s="113" t="s">
        <v>69</v>
      </c>
      <c r="J96" s="112" t="str">
        <f>CONCATENATE("def ",RIGHT(I95,2),"/",RIGHT(G95,2))</f>
        <v>def 22/21</v>
      </c>
      <c r="K96" s="113" t="s">
        <v>69</v>
      </c>
      <c r="L96" s="112" t="str">
        <f>CONCATENATE("def ",RIGHT(K95,2),"/",RIGHT(I95,2))</f>
        <v>def 23/22</v>
      </c>
      <c r="M96" s="113" t="s">
        <v>69</v>
      </c>
      <c r="N96" s="112" t="s">
        <v>325</v>
      </c>
      <c r="O96" s="112" t="s">
        <v>326</v>
      </c>
    </row>
    <row r="97" spans="2:15" x14ac:dyDescent="0.25">
      <c r="B97" s="114" t="s">
        <v>71</v>
      </c>
      <c r="C97" s="184" t="s">
        <v>229</v>
      </c>
      <c r="D97" s="185" t="s">
        <v>229</v>
      </c>
      <c r="E97" s="184" t="s">
        <v>229</v>
      </c>
      <c r="F97" s="185" t="str">
        <f t="shared" ref="F97:J109" si="8">IFERROR(E97-C97,"-")</f>
        <v>-</v>
      </c>
      <c r="G97" s="184" t="s">
        <v>229</v>
      </c>
      <c r="H97" s="185" t="str">
        <f t="shared" si="8"/>
        <v>-</v>
      </c>
      <c r="I97" s="184" t="s">
        <v>229</v>
      </c>
      <c r="J97" s="185" t="str">
        <f t="shared" si="8"/>
        <v>-</v>
      </c>
      <c r="K97" s="184" t="s">
        <v>229</v>
      </c>
      <c r="L97" s="185" t="str">
        <f t="shared" ref="L97:L109" si="9">IFERROR(K97-I97,"-")</f>
        <v>-</v>
      </c>
      <c r="M97" s="184"/>
      <c r="N97" s="185" t="s">
        <v>229</v>
      </c>
      <c r="O97" s="185" t="s">
        <v>229</v>
      </c>
    </row>
    <row r="98" spans="2:15" x14ac:dyDescent="0.25">
      <c r="B98" s="114" t="s">
        <v>73</v>
      </c>
      <c r="C98" s="184" t="s">
        <v>229</v>
      </c>
      <c r="D98" s="185" t="s">
        <v>229</v>
      </c>
      <c r="E98" s="184" t="s">
        <v>229</v>
      </c>
      <c r="F98" s="185" t="str">
        <f t="shared" si="8"/>
        <v>-</v>
      </c>
      <c r="G98" s="184" t="s">
        <v>229</v>
      </c>
      <c r="H98" s="185" t="str">
        <f t="shared" si="8"/>
        <v>-</v>
      </c>
      <c r="I98" s="184" t="s">
        <v>229</v>
      </c>
      <c r="J98" s="185" t="str">
        <f t="shared" si="8"/>
        <v>-</v>
      </c>
      <c r="K98" s="184" t="s">
        <v>229</v>
      </c>
      <c r="L98" s="185" t="str">
        <f t="shared" si="9"/>
        <v>-</v>
      </c>
      <c r="M98" s="184"/>
      <c r="N98" s="185" t="s">
        <v>229</v>
      </c>
      <c r="O98" s="185" t="s">
        <v>229</v>
      </c>
    </row>
    <row r="99" spans="2:15" x14ac:dyDescent="0.25">
      <c r="B99" s="114" t="s">
        <v>75</v>
      </c>
      <c r="C99" s="184" t="s">
        <v>229</v>
      </c>
      <c r="D99" s="185" t="s">
        <v>229</v>
      </c>
      <c r="E99" s="184" t="s">
        <v>229</v>
      </c>
      <c r="F99" s="185" t="str">
        <f t="shared" si="8"/>
        <v>-</v>
      </c>
      <c r="G99" s="184" t="s">
        <v>229</v>
      </c>
      <c r="H99" s="185" t="str">
        <f t="shared" si="8"/>
        <v>-</v>
      </c>
      <c r="I99" s="184" t="s">
        <v>229</v>
      </c>
      <c r="J99" s="185" t="str">
        <f t="shared" si="8"/>
        <v>-</v>
      </c>
      <c r="K99" s="184" t="s">
        <v>229</v>
      </c>
      <c r="L99" s="185" t="str">
        <f t="shared" si="9"/>
        <v>-</v>
      </c>
      <c r="M99" s="184"/>
      <c r="N99" s="185" t="s">
        <v>229</v>
      </c>
      <c r="O99" s="185" t="s">
        <v>229</v>
      </c>
    </row>
    <row r="100" spans="2:15" x14ac:dyDescent="0.25">
      <c r="B100" s="114" t="s">
        <v>77</v>
      </c>
      <c r="C100" s="184" t="s">
        <v>229</v>
      </c>
      <c r="D100" s="185" t="s">
        <v>229</v>
      </c>
      <c r="E100" s="184" t="s">
        <v>229</v>
      </c>
      <c r="F100" s="185" t="str">
        <f t="shared" si="8"/>
        <v>-</v>
      </c>
      <c r="G100" s="184" t="s">
        <v>229</v>
      </c>
      <c r="H100" s="185" t="str">
        <f t="shared" si="8"/>
        <v>-</v>
      </c>
      <c r="I100" s="184" t="s">
        <v>229</v>
      </c>
      <c r="J100" s="185" t="str">
        <f t="shared" si="8"/>
        <v>-</v>
      </c>
      <c r="K100" s="184" t="s">
        <v>229</v>
      </c>
      <c r="L100" s="185" t="str">
        <f t="shared" si="9"/>
        <v>-</v>
      </c>
      <c r="M100" s="184"/>
      <c r="N100" s="185" t="s">
        <v>229</v>
      </c>
      <c r="O100" s="185" t="s">
        <v>229</v>
      </c>
    </row>
    <row r="101" spans="2:15" x14ac:dyDescent="0.25">
      <c r="B101" s="114" t="s">
        <v>79</v>
      </c>
      <c r="C101" s="184" t="s">
        <v>229</v>
      </c>
      <c r="D101" s="185" t="s">
        <v>229</v>
      </c>
      <c r="E101" s="184" t="s">
        <v>229</v>
      </c>
      <c r="F101" s="185" t="str">
        <f t="shared" si="8"/>
        <v>-</v>
      </c>
      <c r="G101" s="184" t="s">
        <v>229</v>
      </c>
      <c r="H101" s="185" t="str">
        <f t="shared" si="8"/>
        <v>-</v>
      </c>
      <c r="I101" s="184" t="s">
        <v>229</v>
      </c>
      <c r="J101" s="185" t="str">
        <f t="shared" si="8"/>
        <v>-</v>
      </c>
      <c r="K101" s="184" t="s">
        <v>229</v>
      </c>
      <c r="L101" s="185" t="str">
        <f t="shared" si="9"/>
        <v>-</v>
      </c>
      <c r="M101" s="184"/>
      <c r="N101" s="185" t="s">
        <v>229</v>
      </c>
      <c r="O101" s="185" t="s">
        <v>229</v>
      </c>
    </row>
    <row r="102" spans="2:15" x14ac:dyDescent="0.25">
      <c r="B102" s="114" t="s">
        <v>81</v>
      </c>
      <c r="C102" s="184" t="s">
        <v>229</v>
      </c>
      <c r="D102" s="185" t="s">
        <v>229</v>
      </c>
      <c r="E102" s="184" t="s">
        <v>229</v>
      </c>
      <c r="F102" s="185" t="str">
        <f t="shared" si="8"/>
        <v>-</v>
      </c>
      <c r="G102" s="184" t="s">
        <v>229</v>
      </c>
      <c r="H102" s="185" t="str">
        <f t="shared" si="8"/>
        <v>-</v>
      </c>
      <c r="I102" s="184" t="s">
        <v>229</v>
      </c>
      <c r="J102" s="185" t="str">
        <f t="shared" si="8"/>
        <v>-</v>
      </c>
      <c r="K102" s="184" t="s">
        <v>229</v>
      </c>
      <c r="L102" s="185" t="str">
        <f t="shared" si="9"/>
        <v>-</v>
      </c>
      <c r="M102" s="184"/>
      <c r="N102" s="185" t="s">
        <v>229</v>
      </c>
      <c r="O102" s="185" t="s">
        <v>229</v>
      </c>
    </row>
    <row r="103" spans="2:15" x14ac:dyDescent="0.25">
      <c r="B103" s="114" t="s">
        <v>83</v>
      </c>
      <c r="C103" s="184" t="s">
        <v>229</v>
      </c>
      <c r="D103" s="185" t="s">
        <v>229</v>
      </c>
      <c r="E103" s="184" t="s">
        <v>229</v>
      </c>
      <c r="F103" s="185" t="str">
        <f t="shared" si="8"/>
        <v>-</v>
      </c>
      <c r="G103" s="184" t="s">
        <v>229</v>
      </c>
      <c r="H103" s="185" t="str">
        <f t="shared" si="8"/>
        <v>-</v>
      </c>
      <c r="I103" s="184" t="s">
        <v>229</v>
      </c>
      <c r="J103" s="185" t="str">
        <f t="shared" si="8"/>
        <v>-</v>
      </c>
      <c r="K103" s="184" t="s">
        <v>229</v>
      </c>
      <c r="L103" s="185" t="str">
        <f t="shared" si="9"/>
        <v>-</v>
      </c>
      <c r="M103" s="184"/>
      <c r="N103" s="185" t="s">
        <v>229</v>
      </c>
      <c r="O103" s="185" t="s">
        <v>229</v>
      </c>
    </row>
    <row r="104" spans="2:15" x14ac:dyDescent="0.25">
      <c r="B104" s="114" t="s">
        <v>85</v>
      </c>
      <c r="C104" s="184" t="s">
        <v>229</v>
      </c>
      <c r="D104" s="185" t="s">
        <v>229</v>
      </c>
      <c r="E104" s="184" t="s">
        <v>229</v>
      </c>
      <c r="F104" s="185" t="str">
        <f t="shared" si="8"/>
        <v>-</v>
      </c>
      <c r="G104" s="184" t="s">
        <v>229</v>
      </c>
      <c r="H104" s="185" t="str">
        <f t="shared" si="8"/>
        <v>-</v>
      </c>
      <c r="I104" s="184" t="s">
        <v>229</v>
      </c>
      <c r="J104" s="185" t="str">
        <f t="shared" si="8"/>
        <v>-</v>
      </c>
      <c r="K104" s="184" t="s">
        <v>229</v>
      </c>
      <c r="L104" s="185" t="str">
        <f t="shared" si="9"/>
        <v>-</v>
      </c>
      <c r="M104" s="184"/>
      <c r="N104" s="185" t="s">
        <v>229</v>
      </c>
      <c r="O104" s="185" t="s">
        <v>229</v>
      </c>
    </row>
    <row r="105" spans="2:15" x14ac:dyDescent="0.25">
      <c r="B105" s="114" t="s">
        <v>87</v>
      </c>
      <c r="C105" s="184" t="s">
        <v>229</v>
      </c>
      <c r="D105" s="185" t="s">
        <v>229</v>
      </c>
      <c r="E105" s="184" t="s">
        <v>229</v>
      </c>
      <c r="F105" s="185" t="str">
        <f t="shared" si="8"/>
        <v>-</v>
      </c>
      <c r="G105" s="184" t="s">
        <v>229</v>
      </c>
      <c r="H105" s="185" t="str">
        <f t="shared" si="8"/>
        <v>-</v>
      </c>
      <c r="I105" s="184" t="s">
        <v>229</v>
      </c>
      <c r="J105" s="185" t="str">
        <f t="shared" si="8"/>
        <v>-</v>
      </c>
      <c r="K105" s="184" t="s">
        <v>229</v>
      </c>
      <c r="L105" s="185" t="str">
        <f t="shared" si="9"/>
        <v>-</v>
      </c>
      <c r="M105" s="184"/>
      <c r="N105" s="185" t="s">
        <v>229</v>
      </c>
      <c r="O105" s="185" t="s">
        <v>229</v>
      </c>
    </row>
    <row r="106" spans="2:15" x14ac:dyDescent="0.25">
      <c r="B106" s="114" t="s">
        <v>89</v>
      </c>
      <c r="C106" s="184" t="s">
        <v>229</v>
      </c>
      <c r="D106" s="185" t="s">
        <v>229</v>
      </c>
      <c r="E106" s="184" t="s">
        <v>229</v>
      </c>
      <c r="F106" s="185" t="str">
        <f t="shared" si="8"/>
        <v>-</v>
      </c>
      <c r="G106" s="184" t="s">
        <v>229</v>
      </c>
      <c r="H106" s="185" t="str">
        <f t="shared" si="8"/>
        <v>-</v>
      </c>
      <c r="I106" s="184" t="s">
        <v>229</v>
      </c>
      <c r="J106" s="185" t="str">
        <f t="shared" si="8"/>
        <v>-</v>
      </c>
      <c r="K106" s="184" t="s">
        <v>229</v>
      </c>
      <c r="L106" s="185" t="str">
        <f t="shared" si="9"/>
        <v>-</v>
      </c>
      <c r="M106" s="184"/>
      <c r="N106" s="185" t="s">
        <v>229</v>
      </c>
      <c r="O106" s="185" t="s">
        <v>229</v>
      </c>
    </row>
    <row r="107" spans="2:15" x14ac:dyDescent="0.25">
      <c r="B107" s="114" t="s">
        <v>91</v>
      </c>
      <c r="C107" s="184" t="s">
        <v>229</v>
      </c>
      <c r="D107" s="185" t="s">
        <v>229</v>
      </c>
      <c r="E107" s="184" t="s">
        <v>229</v>
      </c>
      <c r="F107" s="185" t="str">
        <f t="shared" si="8"/>
        <v>-</v>
      </c>
      <c r="G107" s="184" t="s">
        <v>229</v>
      </c>
      <c r="H107" s="185" t="str">
        <f t="shared" si="8"/>
        <v>-</v>
      </c>
      <c r="I107" s="184" t="s">
        <v>229</v>
      </c>
      <c r="J107" s="185" t="str">
        <f t="shared" si="8"/>
        <v>-</v>
      </c>
      <c r="K107" s="184" t="s">
        <v>229</v>
      </c>
      <c r="L107" s="185" t="str">
        <f t="shared" si="9"/>
        <v>-</v>
      </c>
      <c r="M107" s="184"/>
      <c r="N107" s="185" t="s">
        <v>229</v>
      </c>
      <c r="O107" s="185" t="s">
        <v>229</v>
      </c>
    </row>
    <row r="108" spans="2:15" x14ac:dyDescent="0.25">
      <c r="B108" s="114" t="s">
        <v>93</v>
      </c>
      <c r="C108" s="184" t="s">
        <v>229</v>
      </c>
      <c r="D108" s="185" t="s">
        <v>229</v>
      </c>
      <c r="E108" s="184" t="s">
        <v>229</v>
      </c>
      <c r="F108" s="185" t="str">
        <f t="shared" si="8"/>
        <v>-</v>
      </c>
      <c r="G108" s="184" t="s">
        <v>229</v>
      </c>
      <c r="H108" s="185" t="str">
        <f t="shared" si="8"/>
        <v>-</v>
      </c>
      <c r="I108" s="184" t="s">
        <v>229</v>
      </c>
      <c r="J108" s="185" t="str">
        <f t="shared" si="8"/>
        <v>-</v>
      </c>
      <c r="K108" s="184" t="s">
        <v>229</v>
      </c>
      <c r="L108" s="185" t="str">
        <f t="shared" si="9"/>
        <v>-</v>
      </c>
      <c r="M108" s="184"/>
      <c r="N108" s="185" t="s">
        <v>229</v>
      </c>
      <c r="O108" s="185" t="s">
        <v>229</v>
      </c>
    </row>
    <row r="109" spans="2:15" ht="15.75" x14ac:dyDescent="0.25">
      <c r="B109" s="117" t="s">
        <v>30</v>
      </c>
      <c r="C109" s="186" t="s">
        <v>229</v>
      </c>
      <c r="D109" s="187" t="s">
        <v>229</v>
      </c>
      <c r="E109" s="186" t="s">
        <v>229</v>
      </c>
      <c r="F109" s="187" t="str">
        <f t="shared" si="8"/>
        <v>-</v>
      </c>
      <c r="G109" s="186" t="s">
        <v>229</v>
      </c>
      <c r="H109" s="187" t="str">
        <f t="shared" si="8"/>
        <v>-</v>
      </c>
      <c r="I109" s="186" t="s">
        <v>229</v>
      </c>
      <c r="J109" s="187" t="str">
        <f t="shared" si="8"/>
        <v>-</v>
      </c>
      <c r="K109" s="186" t="s">
        <v>229</v>
      </c>
      <c r="L109" s="187" t="str">
        <f t="shared" si="9"/>
        <v>-</v>
      </c>
      <c r="M109" s="186"/>
      <c r="N109" s="187" t="s">
        <v>229</v>
      </c>
      <c r="O109" s="187" t="s">
        <v>229</v>
      </c>
    </row>
    <row r="110" spans="2:15" ht="6" customHeight="1" x14ac:dyDescent="0.25"/>
    <row r="111" spans="2:15" x14ac:dyDescent="0.25">
      <c r="B111" s="105" t="s">
        <v>55</v>
      </c>
      <c r="C111" s="190"/>
      <c r="D111" s="190"/>
      <c r="E111" s="190"/>
      <c r="F111" s="190"/>
      <c r="G111" s="190"/>
      <c r="H111" s="190"/>
      <c r="I111" s="190"/>
      <c r="J111" s="190"/>
      <c r="K111" s="190"/>
      <c r="L111" s="190"/>
      <c r="M111" s="190"/>
      <c r="N111" s="190"/>
      <c r="O111" s="190"/>
    </row>
  </sheetData>
  <mergeCells count="40">
    <mergeCell ref="B4:O4"/>
    <mergeCell ref="C6:O6"/>
    <mergeCell ref="C7:D7"/>
    <mergeCell ref="E7:F7"/>
    <mergeCell ref="G7:H7"/>
    <mergeCell ref="I7:J7"/>
    <mergeCell ref="K7:L7"/>
    <mergeCell ref="M7:O7"/>
    <mergeCell ref="B26:O26"/>
    <mergeCell ref="C28:O28"/>
    <mergeCell ref="C29:D29"/>
    <mergeCell ref="E29:F29"/>
    <mergeCell ref="G29:H29"/>
    <mergeCell ref="I29:J29"/>
    <mergeCell ref="K29:L29"/>
    <mergeCell ref="M29:O29"/>
    <mergeCell ref="B48:O48"/>
    <mergeCell ref="C50:O50"/>
    <mergeCell ref="C51:D51"/>
    <mergeCell ref="E51:F51"/>
    <mergeCell ref="G51:H51"/>
    <mergeCell ref="I51:J51"/>
    <mergeCell ref="K51:L51"/>
    <mergeCell ref="M51:O51"/>
    <mergeCell ref="B70:O70"/>
    <mergeCell ref="C72:O72"/>
    <mergeCell ref="C73:D73"/>
    <mergeCell ref="E73:F73"/>
    <mergeCell ref="G73:H73"/>
    <mergeCell ref="I73:J73"/>
    <mergeCell ref="K73:L73"/>
    <mergeCell ref="M73:O73"/>
    <mergeCell ref="B92:O92"/>
    <mergeCell ref="C94:O94"/>
    <mergeCell ref="C95:D95"/>
    <mergeCell ref="E95:F95"/>
    <mergeCell ref="G95:H95"/>
    <mergeCell ref="I95:J95"/>
    <mergeCell ref="K95:L95"/>
    <mergeCell ref="M95:O95"/>
  </mergeCells>
  <pageMargins left="0.7" right="0.7" top="0.75" bottom="0.75" header="0.3" footer="0.3"/>
  <pageSetup paperSize="9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8A190F-E64E-4290-93A4-8989CF9B7DD3}">
  <sheetPr>
    <tabColor rgb="FF7030A0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6DFDBD-986D-49FE-B627-66EDB0B0673D}">
  <sheetPr>
    <tabColor rgb="FFAC75D5"/>
  </sheetPr>
  <dimension ref="A1:AD114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3" max="3" width="15.85546875" bestFit="1" customWidth="1"/>
    <col min="13" max="13" width="14.7109375" bestFit="1" customWidth="1"/>
    <col min="15" max="15" width="11.140625" customWidth="1"/>
    <col min="16" max="16" width="14.85546875" customWidth="1"/>
  </cols>
  <sheetData>
    <row r="1" spans="1:17" ht="18.75" x14ac:dyDescent="0.3">
      <c r="C1" s="79"/>
      <c r="D1" s="192"/>
    </row>
    <row r="2" spans="1:17" ht="18.75" x14ac:dyDescent="0.3">
      <c r="D2" s="192"/>
    </row>
    <row r="4" spans="1:17" ht="48.75" customHeight="1" thickBot="1" x14ac:dyDescent="0.3">
      <c r="B4" s="270" t="s">
        <v>309</v>
      </c>
      <c r="C4" s="270"/>
      <c r="D4" s="270"/>
      <c r="E4" s="270"/>
      <c r="F4" s="270"/>
      <c r="G4" s="270"/>
      <c r="H4" s="270"/>
      <c r="I4" s="270"/>
      <c r="J4" s="270"/>
      <c r="K4" s="270"/>
      <c r="L4" s="270"/>
      <c r="M4" s="270"/>
      <c r="N4" s="270"/>
      <c r="O4" s="270"/>
      <c r="Q4" s="1" t="s">
        <v>150</v>
      </c>
    </row>
    <row r="5" spans="1:17" ht="10.5" customHeight="1" thickBot="1" x14ac:dyDescent="0.3">
      <c r="B5" s="106"/>
      <c r="C5" s="107"/>
      <c r="D5" s="106"/>
      <c r="E5" s="106"/>
      <c r="F5" s="106"/>
      <c r="G5" s="106"/>
      <c r="H5" s="106"/>
      <c r="I5" s="106"/>
      <c r="J5" s="106"/>
      <c r="K5" s="106"/>
      <c r="L5" s="106"/>
      <c r="M5" s="4"/>
      <c r="N5" s="4"/>
      <c r="Q5" s="1" t="s">
        <v>151</v>
      </c>
    </row>
    <row r="6" spans="1:17" ht="22.5" thickTop="1" thickBot="1" x14ac:dyDescent="0.3">
      <c r="B6" s="109"/>
      <c r="C6" s="292" t="s">
        <v>152</v>
      </c>
      <c r="D6" s="293"/>
      <c r="E6" s="293"/>
      <c r="F6" s="293"/>
      <c r="G6" s="293"/>
      <c r="H6" s="293"/>
      <c r="I6" s="293"/>
      <c r="J6" s="293"/>
      <c r="K6" s="293"/>
      <c r="L6" s="293"/>
      <c r="M6" s="293"/>
      <c r="N6" s="293"/>
      <c r="O6" s="294"/>
    </row>
    <row r="7" spans="1:17" ht="22.5" thickTop="1" thickBot="1" x14ac:dyDescent="0.3">
      <c r="B7" s="109"/>
      <c r="C7" s="295">
        <v>2019</v>
      </c>
      <c r="D7" s="296"/>
      <c r="E7" s="297" t="s">
        <v>285</v>
      </c>
      <c r="F7" s="296"/>
      <c r="G7" s="297" t="s">
        <v>286</v>
      </c>
      <c r="H7" s="296"/>
      <c r="I7" s="297" t="s">
        <v>287</v>
      </c>
      <c r="J7" s="296"/>
      <c r="K7" s="297">
        <v>2023</v>
      </c>
      <c r="L7" s="296"/>
      <c r="M7" s="297">
        <v>2024</v>
      </c>
      <c r="N7" s="298"/>
      <c r="O7" s="299"/>
    </row>
    <row r="8" spans="1:17" ht="16.5" thickTop="1" thickBot="1" x14ac:dyDescent="0.3">
      <c r="B8" s="85"/>
      <c r="C8" s="111" t="s">
        <v>69</v>
      </c>
      <c r="D8" s="112" t="str">
        <f>CONCATENATE("var ",RIGHT(C7,2),"/",RIGHT(C7-1,2))</f>
        <v>var 19/18</v>
      </c>
      <c r="E8" s="113" t="s">
        <v>69</v>
      </c>
      <c r="F8" s="112" t="str">
        <f>CONCATENATE("var ",RIGHT(E7,2),"/",RIGHT(C7,2))</f>
        <v>var 20/19</v>
      </c>
      <c r="G8" s="113" t="s">
        <v>69</v>
      </c>
      <c r="H8" s="112" t="str">
        <f>CONCATENATE("var ",RIGHT(G7,2),"/",RIGHT(E7,2))</f>
        <v>var 21/20</v>
      </c>
      <c r="I8" s="113" t="s">
        <v>69</v>
      </c>
      <c r="J8" s="112" t="str">
        <f>CONCATENATE("var ",RIGHT(I7,2),"/",RIGHT(G7,2))</f>
        <v>var 22/21</v>
      </c>
      <c r="K8" s="113" t="s">
        <v>69</v>
      </c>
      <c r="L8" s="112" t="str">
        <f>CONCATENATE("var ",RIGHT(K7,2),"/",RIGHT(I7,2))</f>
        <v>var 23/22</v>
      </c>
      <c r="M8" s="113" t="s">
        <v>69</v>
      </c>
      <c r="N8" s="112" t="s">
        <v>273</v>
      </c>
      <c r="O8" s="112" t="s">
        <v>274</v>
      </c>
    </row>
    <row r="9" spans="1:17" x14ac:dyDescent="0.25">
      <c r="A9" s="1" t="s">
        <v>70</v>
      </c>
      <c r="B9" s="114" t="s">
        <v>71</v>
      </c>
      <c r="C9" s="193">
        <v>0.51529999999999998</v>
      </c>
      <c r="D9" s="116">
        <v>-9.0218926553672363E-2</v>
      </c>
      <c r="E9" s="193">
        <v>0.56399999999999995</v>
      </c>
      <c r="F9" s="116">
        <f t="shared" ref="F9:L20" si="0">IFERROR(E9/C9-1,"-")</f>
        <v>9.4508053561032312E-2</v>
      </c>
      <c r="G9" s="193">
        <v>0.19170000000000001</v>
      </c>
      <c r="H9" s="116">
        <f t="shared" si="0"/>
        <v>-0.66010638297872337</v>
      </c>
      <c r="I9" s="193">
        <v>0.58840000000000003</v>
      </c>
      <c r="J9" s="116">
        <f t="shared" si="0"/>
        <v>2.0693792383933229</v>
      </c>
      <c r="K9" s="193">
        <v>0.69830000000000003</v>
      </c>
      <c r="L9" s="116">
        <f t="shared" si="0"/>
        <v>0.18677770224337187</v>
      </c>
      <c r="M9" s="193">
        <v>0.69889999999999997</v>
      </c>
      <c r="N9" s="116">
        <v>8.5922955749673235E-4</v>
      </c>
      <c r="O9" s="116">
        <v>0.35629730254220848</v>
      </c>
    </row>
    <row r="10" spans="1:17" x14ac:dyDescent="0.25">
      <c r="A10" s="1" t="s">
        <v>72</v>
      </c>
      <c r="B10" s="114" t="s">
        <v>73</v>
      </c>
      <c r="C10" s="193">
        <v>0.61759999999999993</v>
      </c>
      <c r="D10" s="116">
        <v>7.5040783034256986E-3</v>
      </c>
      <c r="E10" s="193">
        <v>0.63570000000000004</v>
      </c>
      <c r="F10" s="116">
        <f t="shared" si="0"/>
        <v>2.9306994818653065E-2</v>
      </c>
      <c r="G10" s="193">
        <v>0.2379</v>
      </c>
      <c r="H10" s="116">
        <f t="shared" si="0"/>
        <v>-0.62576687116564422</v>
      </c>
      <c r="I10" s="193">
        <v>0.65049999999999997</v>
      </c>
      <c r="J10" s="116">
        <f t="shared" si="0"/>
        <v>1.7343421605716687</v>
      </c>
      <c r="K10" s="193">
        <v>0.76769999999999994</v>
      </c>
      <c r="L10" s="116">
        <f t="shared" si="0"/>
        <v>0.18016910069177561</v>
      </c>
      <c r="M10" s="193">
        <v>0.77560000000000007</v>
      </c>
      <c r="N10" s="116">
        <v>1.0290478051322216E-2</v>
      </c>
      <c r="O10" s="116">
        <v>0.25582901554404169</v>
      </c>
    </row>
    <row r="11" spans="1:17" x14ac:dyDescent="0.25">
      <c r="A11" s="1" t="s">
        <v>74</v>
      </c>
      <c r="B11" s="114" t="s">
        <v>75</v>
      </c>
      <c r="C11" s="193">
        <v>0.5776</v>
      </c>
      <c r="D11" s="116">
        <v>-7.0186735350933671E-2</v>
      </c>
      <c r="E11" s="193">
        <v>0.2369</v>
      </c>
      <c r="F11" s="116">
        <f t="shared" si="0"/>
        <v>-0.5898545706371191</v>
      </c>
      <c r="G11" s="193">
        <v>0.34399999999999997</v>
      </c>
      <c r="H11" s="116">
        <f t="shared" si="0"/>
        <v>0.45208948923596437</v>
      </c>
      <c r="I11" s="193">
        <v>0.65599999999999992</v>
      </c>
      <c r="J11" s="116">
        <f t="shared" si="0"/>
        <v>0.90697674418604635</v>
      </c>
      <c r="K11" s="193">
        <v>0.75919999999999999</v>
      </c>
      <c r="L11" s="116">
        <f t="shared" si="0"/>
        <v>0.15731707317073185</v>
      </c>
      <c r="M11" s="193">
        <v>0.73299999999999998</v>
      </c>
      <c r="N11" s="116">
        <v>-3.4510010537407765E-2</v>
      </c>
      <c r="O11" s="116">
        <v>0.26904432132963985</v>
      </c>
    </row>
    <row r="12" spans="1:17" x14ac:dyDescent="0.25">
      <c r="A12" s="1" t="s">
        <v>76</v>
      </c>
      <c r="B12" s="114" t="s">
        <v>77</v>
      </c>
      <c r="C12" s="193">
        <v>0.52549999999999997</v>
      </c>
      <c r="D12" s="116">
        <v>5.2052052052051767E-2</v>
      </c>
      <c r="E12" s="193">
        <v>0</v>
      </c>
      <c r="F12" s="116">
        <f t="shared" si="0"/>
        <v>-1</v>
      </c>
      <c r="G12" s="193">
        <v>0.29299999999999998</v>
      </c>
      <c r="H12" s="116" t="str">
        <f t="shared" si="0"/>
        <v>-</v>
      </c>
      <c r="I12" s="193">
        <v>0.61299999999999999</v>
      </c>
      <c r="J12" s="116">
        <f t="shared" si="0"/>
        <v>1.0921501706484644</v>
      </c>
      <c r="K12" s="193">
        <v>0.63869999999999993</v>
      </c>
      <c r="L12" s="116">
        <f t="shared" si="0"/>
        <v>4.1924959216965707E-2</v>
      </c>
      <c r="M12" s="193">
        <v>0.66559999999999997</v>
      </c>
      <c r="N12" s="116">
        <v>4.2116799749491118E-2</v>
      </c>
      <c r="O12" s="116">
        <v>0.26660323501427219</v>
      </c>
    </row>
    <row r="13" spans="1:17" x14ac:dyDescent="0.25">
      <c r="A13" s="1" t="s">
        <v>78</v>
      </c>
      <c r="B13" s="114" t="s">
        <v>79</v>
      </c>
      <c r="C13" s="193">
        <v>0.4703</v>
      </c>
      <c r="D13" s="116">
        <v>9.2958401115500688E-2</v>
      </c>
      <c r="E13" s="193">
        <v>0</v>
      </c>
      <c r="F13" s="116">
        <f t="shared" si="0"/>
        <v>-1</v>
      </c>
      <c r="G13" s="193">
        <v>0.39149999999999996</v>
      </c>
      <c r="H13" s="116" t="str">
        <f t="shared" si="0"/>
        <v>-</v>
      </c>
      <c r="I13" s="193">
        <v>0.49070000000000003</v>
      </c>
      <c r="J13" s="116">
        <f t="shared" si="0"/>
        <v>0.25338441890166052</v>
      </c>
      <c r="K13" s="193">
        <v>0.62240000000000006</v>
      </c>
      <c r="L13" s="116">
        <f t="shared" si="0"/>
        <v>0.26839209292846955</v>
      </c>
      <c r="M13" s="193">
        <v>0.5998</v>
      </c>
      <c r="N13" s="116">
        <v>-3.6311053984575903E-2</v>
      </c>
      <c r="O13" s="116">
        <v>0.27535615564533278</v>
      </c>
    </row>
    <row r="14" spans="1:17" x14ac:dyDescent="0.25">
      <c r="A14" s="1" t="s">
        <v>80</v>
      </c>
      <c r="B14" s="114" t="s">
        <v>81</v>
      </c>
      <c r="C14" s="193">
        <v>0.48659999999999998</v>
      </c>
      <c r="D14" s="116">
        <v>0.2406935237123915</v>
      </c>
      <c r="E14" s="193">
        <v>0</v>
      </c>
      <c r="F14" s="116">
        <f t="shared" si="0"/>
        <v>-1</v>
      </c>
      <c r="G14" s="193">
        <v>0.39329999999999998</v>
      </c>
      <c r="H14" s="116" t="str">
        <f t="shared" si="0"/>
        <v>-</v>
      </c>
      <c r="I14" s="193">
        <v>0.56700000000000006</v>
      </c>
      <c r="J14" s="116">
        <f t="shared" si="0"/>
        <v>0.44164759725400482</v>
      </c>
      <c r="K14" s="193">
        <v>0.52149999999999996</v>
      </c>
      <c r="L14" s="116">
        <f t="shared" si="0"/>
        <v>-8.0246913580247048E-2</v>
      </c>
      <c r="M14" s="193">
        <v>0.501</v>
      </c>
      <c r="N14" s="116">
        <v>-3.9309683604985546E-2</v>
      </c>
      <c r="O14" s="116">
        <v>2.9593094944512899E-2</v>
      </c>
    </row>
    <row r="15" spans="1:17" x14ac:dyDescent="0.25">
      <c r="A15" s="1" t="s">
        <v>82</v>
      </c>
      <c r="B15" s="114" t="s">
        <v>83</v>
      </c>
      <c r="C15" s="193">
        <v>0.50729999999999997</v>
      </c>
      <c r="D15" s="116">
        <v>0.33887569279493257</v>
      </c>
      <c r="E15" s="193">
        <v>0</v>
      </c>
      <c r="F15" s="116">
        <f t="shared" si="0"/>
        <v>-1</v>
      </c>
      <c r="G15" s="193">
        <v>0.39350000000000002</v>
      </c>
      <c r="H15" s="116" t="str">
        <f t="shared" si="0"/>
        <v>-</v>
      </c>
      <c r="I15" s="193">
        <v>0.52110000000000001</v>
      </c>
      <c r="J15" s="116">
        <f t="shared" si="0"/>
        <v>0.32426937738246497</v>
      </c>
      <c r="K15" s="193">
        <v>0.46679999999999999</v>
      </c>
      <c r="L15" s="116">
        <f t="shared" si="0"/>
        <v>-0.10420264824409908</v>
      </c>
      <c r="M15" s="193">
        <v>0.48599999999999999</v>
      </c>
      <c r="N15" s="116">
        <v>4.1131105398457546E-2</v>
      </c>
      <c r="O15" s="116">
        <v>-4.1986989946777076E-2</v>
      </c>
    </row>
    <row r="16" spans="1:17" x14ac:dyDescent="0.25">
      <c r="A16" s="1" t="s">
        <v>84</v>
      </c>
      <c r="B16" s="114" t="s">
        <v>85</v>
      </c>
      <c r="C16" s="193">
        <v>0.50680000000000003</v>
      </c>
      <c r="D16" s="116">
        <v>0.31602181251622974</v>
      </c>
      <c r="E16" s="193">
        <v>0.76939999999999997</v>
      </c>
      <c r="F16" s="116">
        <f t="shared" si="0"/>
        <v>0.51815311760063132</v>
      </c>
      <c r="G16" s="193">
        <v>0.44319999999999998</v>
      </c>
      <c r="H16" s="116">
        <f t="shared" si="0"/>
        <v>-0.42396672731998963</v>
      </c>
      <c r="I16" s="193">
        <v>0.49969999999999998</v>
      </c>
      <c r="J16" s="116">
        <f t="shared" si="0"/>
        <v>0.12748194945848379</v>
      </c>
      <c r="K16" s="193">
        <v>0.60020000000000007</v>
      </c>
      <c r="L16" s="116">
        <f t="shared" si="0"/>
        <v>0.20112067240344222</v>
      </c>
      <c r="M16" s="193">
        <v>0.44380000000000003</v>
      </c>
      <c r="N16" s="116">
        <v>-0.26057980673108971</v>
      </c>
      <c r="O16" s="116">
        <v>-0.12430939226519333</v>
      </c>
    </row>
    <row r="17" spans="1:30" x14ac:dyDescent="0.25">
      <c r="A17" s="1" t="s">
        <v>86</v>
      </c>
      <c r="B17" s="114" t="s">
        <v>87</v>
      </c>
      <c r="C17" s="193">
        <v>0.45679999999999998</v>
      </c>
      <c r="D17" s="116">
        <v>-3.2729653065677322E-3</v>
      </c>
      <c r="E17" s="193">
        <v>0.43149999999999999</v>
      </c>
      <c r="F17" s="116">
        <f t="shared" si="0"/>
        <v>-5.538528896672501E-2</v>
      </c>
      <c r="G17" s="193">
        <v>0.51200000000000001</v>
      </c>
      <c r="H17" s="116">
        <f t="shared" si="0"/>
        <v>0.18655851680185398</v>
      </c>
      <c r="I17" s="193">
        <v>0.5514</v>
      </c>
      <c r="J17" s="116">
        <f t="shared" si="0"/>
        <v>7.6953124999999956E-2</v>
      </c>
      <c r="K17" s="193">
        <v>0.53320000000000001</v>
      </c>
      <c r="L17" s="116">
        <f t="shared" si="0"/>
        <v>-3.3006891548784889E-2</v>
      </c>
      <c r="M17" s="193">
        <v>0.56189999999999996</v>
      </c>
      <c r="N17" s="116">
        <v>5.382595648912214E-2</v>
      </c>
      <c r="O17" s="116">
        <v>0.23007880910682998</v>
      </c>
    </row>
    <row r="18" spans="1:30" x14ac:dyDescent="0.25">
      <c r="A18" s="1" t="s">
        <v>88</v>
      </c>
      <c r="B18" s="114" t="s">
        <v>89</v>
      </c>
      <c r="C18" s="193">
        <v>0.441</v>
      </c>
      <c r="D18" s="116">
        <v>-3.6150022593763875E-3</v>
      </c>
      <c r="E18" s="193">
        <v>0.39939999999999998</v>
      </c>
      <c r="F18" s="116">
        <f t="shared" si="0"/>
        <v>-9.4331065759637234E-2</v>
      </c>
      <c r="G18" s="193">
        <v>0.52229999999999999</v>
      </c>
      <c r="H18" s="116">
        <f t="shared" si="0"/>
        <v>0.30771156735102667</v>
      </c>
      <c r="I18" s="193">
        <v>0.56420000000000003</v>
      </c>
      <c r="J18" s="116">
        <f t="shared" si="0"/>
        <v>8.0222094581658077E-2</v>
      </c>
      <c r="K18" s="193">
        <v>0.53239999999999998</v>
      </c>
      <c r="L18" s="116">
        <f t="shared" si="0"/>
        <v>-5.6362991846862887E-2</v>
      </c>
      <c r="M18" s="193"/>
      <c r="N18" s="116" t="s">
        <v>229</v>
      </c>
      <c r="O18" s="116" t="s">
        <v>229</v>
      </c>
      <c r="AC18" s="194"/>
    </row>
    <row r="19" spans="1:30" x14ac:dyDescent="0.25">
      <c r="A19" s="1" t="s">
        <v>90</v>
      </c>
      <c r="B19" s="114" t="s">
        <v>91</v>
      </c>
      <c r="C19" s="193">
        <v>0.60680000000000001</v>
      </c>
      <c r="D19" s="116">
        <v>7.6386582530720837E-3</v>
      </c>
      <c r="E19" s="193">
        <v>0.40720000000000001</v>
      </c>
      <c r="F19" s="116">
        <f t="shared" si="0"/>
        <v>-0.32893869479235327</v>
      </c>
      <c r="G19" s="193">
        <v>0.64989999999999992</v>
      </c>
      <c r="H19" s="116">
        <f t="shared" si="0"/>
        <v>0.59602161100196449</v>
      </c>
      <c r="I19" s="193">
        <v>0.65629999999999999</v>
      </c>
      <c r="J19" s="116">
        <f t="shared" si="0"/>
        <v>9.8476688721342853E-3</v>
      </c>
      <c r="K19" s="193">
        <v>0.65459999999999996</v>
      </c>
      <c r="L19" s="116">
        <f t="shared" si="0"/>
        <v>-2.5902788358982409E-3</v>
      </c>
      <c r="M19" s="193"/>
      <c r="N19" s="116" t="s">
        <v>229</v>
      </c>
      <c r="O19" s="116" t="s">
        <v>229</v>
      </c>
      <c r="AC19" s="194"/>
      <c r="AD19" s="194"/>
    </row>
    <row r="20" spans="1:30" x14ac:dyDescent="0.25">
      <c r="A20" s="1" t="s">
        <v>92</v>
      </c>
      <c r="B20" s="114" t="s">
        <v>93</v>
      </c>
      <c r="C20" s="193">
        <v>0.53979999999999995</v>
      </c>
      <c r="D20" s="116">
        <v>-1.8521948508998243E-4</v>
      </c>
      <c r="E20" s="193">
        <v>0.48200000000000004</v>
      </c>
      <c r="F20" s="116">
        <f t="shared" si="0"/>
        <v>-0.10707669507224882</v>
      </c>
      <c r="G20" s="193">
        <v>0.57810000000000006</v>
      </c>
      <c r="H20" s="116">
        <f t="shared" si="0"/>
        <v>0.19937759336099581</v>
      </c>
      <c r="I20" s="193">
        <v>0.58939999999999992</v>
      </c>
      <c r="J20" s="116">
        <f t="shared" si="0"/>
        <v>1.954679121259284E-2</v>
      </c>
      <c r="K20" s="193">
        <v>0.56869999999999998</v>
      </c>
      <c r="L20" s="116">
        <f t="shared" si="0"/>
        <v>-3.5120461486257137E-2</v>
      </c>
      <c r="M20" s="193"/>
      <c r="N20" s="116" t="s">
        <v>229</v>
      </c>
      <c r="O20" s="116" t="s">
        <v>229</v>
      </c>
      <c r="P20" s="122"/>
    </row>
    <row r="21" spans="1:30" ht="15.75" x14ac:dyDescent="0.25">
      <c r="A21" s="1" t="s">
        <v>0</v>
      </c>
      <c r="B21" s="117" t="s">
        <v>30</v>
      </c>
      <c r="C21" s="195">
        <v>0.52295410715246138</v>
      </c>
      <c r="D21" s="119">
        <v>6.024397102867618E-2</v>
      </c>
      <c r="E21" s="195">
        <v>0.4768</v>
      </c>
      <c r="F21" s="119">
        <v>-8.825651528730738E-2</v>
      </c>
      <c r="G21" s="195">
        <v>0.42945341263098274</v>
      </c>
      <c r="H21" s="119">
        <v>-9.9300728542402017E-2</v>
      </c>
      <c r="I21" s="195">
        <v>0.57741590694750078</v>
      </c>
      <c r="J21" s="119">
        <v>0.34453677620128276</v>
      </c>
      <c r="K21" s="195">
        <v>0.61259601883208059</v>
      </c>
      <c r="L21" s="119">
        <v>6.0926814556528042E-2</v>
      </c>
      <c r="M21" s="195"/>
      <c r="N21" s="119" t="s">
        <v>229</v>
      </c>
      <c r="O21" s="119" t="s">
        <v>229</v>
      </c>
      <c r="P21" s="307"/>
    </row>
    <row r="22" spans="1:30" ht="6" customHeight="1" x14ac:dyDescent="0.25">
      <c r="P22" s="307"/>
    </row>
    <row r="23" spans="1:30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  <c r="O23" s="196"/>
      <c r="P23" s="307"/>
    </row>
    <row r="24" spans="1:30" x14ac:dyDescent="0.25">
      <c r="C24" s="197"/>
      <c r="K24" s="197"/>
      <c r="M24" s="197"/>
      <c r="N24" s="116"/>
      <c r="O24" s="197"/>
      <c r="P24" s="307"/>
    </row>
    <row r="26" spans="1:30" ht="21.75" customHeight="1" thickBot="1" x14ac:dyDescent="0.3">
      <c r="B26" s="270" t="s">
        <v>310</v>
      </c>
      <c r="C26" s="270"/>
      <c r="D26" s="270"/>
      <c r="E26" s="270"/>
      <c r="F26" s="270"/>
      <c r="G26" s="270"/>
      <c r="H26" s="270"/>
      <c r="I26" s="270"/>
      <c r="J26" s="270"/>
      <c r="K26" s="270"/>
      <c r="L26" s="270"/>
      <c r="M26" s="270"/>
      <c r="N26" s="270"/>
      <c r="O26" s="270"/>
      <c r="Q26" s="1" t="s">
        <v>153</v>
      </c>
    </row>
    <row r="27" spans="1:30" ht="10.5" customHeight="1" thickBot="1" x14ac:dyDescent="0.3">
      <c r="B27" s="106"/>
      <c r="C27" s="107"/>
      <c r="D27" s="106"/>
      <c r="E27" s="106"/>
      <c r="F27" s="106"/>
      <c r="G27" s="106"/>
      <c r="H27" s="106"/>
      <c r="I27" s="106"/>
      <c r="J27" s="106"/>
      <c r="K27" s="106"/>
      <c r="L27" s="106"/>
      <c r="M27" s="4"/>
      <c r="N27" s="4"/>
      <c r="Q27" s="1" t="s">
        <v>154</v>
      </c>
    </row>
    <row r="28" spans="1:30" ht="22.5" thickTop="1" thickBot="1" x14ac:dyDescent="0.3">
      <c r="B28" s="109"/>
      <c r="C28" s="292" t="s">
        <v>60</v>
      </c>
      <c r="D28" s="293"/>
      <c r="E28" s="293"/>
      <c r="F28" s="293"/>
      <c r="G28" s="293"/>
      <c r="H28" s="293"/>
      <c r="I28" s="293"/>
      <c r="J28" s="293"/>
      <c r="K28" s="293"/>
      <c r="L28" s="293"/>
      <c r="M28" s="293"/>
      <c r="N28" s="293"/>
      <c r="O28" s="294"/>
    </row>
    <row r="29" spans="1:30" ht="22.5" thickTop="1" thickBot="1" x14ac:dyDescent="0.3">
      <c r="B29" s="109"/>
      <c r="C29" s="295">
        <v>2019</v>
      </c>
      <c r="D29" s="296"/>
      <c r="E29" s="297" t="s">
        <v>285</v>
      </c>
      <c r="F29" s="296"/>
      <c r="G29" s="297" t="s">
        <v>286</v>
      </c>
      <c r="H29" s="296"/>
      <c r="I29" s="297" t="s">
        <v>287</v>
      </c>
      <c r="J29" s="296"/>
      <c r="K29" s="297">
        <v>2023</v>
      </c>
      <c r="L29" s="296"/>
      <c r="M29" s="297">
        <v>2024</v>
      </c>
      <c r="N29" s="298"/>
      <c r="O29" s="299"/>
    </row>
    <row r="30" spans="1:30" ht="16.5" thickTop="1" thickBot="1" x14ac:dyDescent="0.3">
      <c r="B30" s="85"/>
      <c r="C30" s="111" t="s">
        <v>69</v>
      </c>
      <c r="D30" s="112" t="str">
        <f>CONCATENATE("var ",RIGHT(C29,2),"/",RIGHT(C29-1,2))</f>
        <v>var 19/18</v>
      </c>
      <c r="E30" s="113" t="s">
        <v>69</v>
      </c>
      <c r="F30" s="112" t="str">
        <f>CONCATENATE("var ",RIGHT(E29,2),"/",RIGHT(C29,2))</f>
        <v>var 20/19</v>
      </c>
      <c r="G30" s="113" t="s">
        <v>69</v>
      </c>
      <c r="H30" s="112" t="str">
        <f>CONCATENATE("var ",RIGHT(G29,2),"/",RIGHT(E29,2))</f>
        <v>var 21/20</v>
      </c>
      <c r="I30" s="113" t="s">
        <v>69</v>
      </c>
      <c r="J30" s="112" t="str">
        <f>CONCATENATE("var ",RIGHT(I29,2),"/",RIGHT(G29,2))</f>
        <v>var 22/21</v>
      </c>
      <c r="K30" s="113" t="s">
        <v>69</v>
      </c>
      <c r="L30" s="112" t="str">
        <f>CONCATENATE("var ",RIGHT(K29,2),"/",RIGHT(I29,2))</f>
        <v>var 23/22</v>
      </c>
      <c r="M30" s="113" t="s">
        <v>69</v>
      </c>
      <c r="N30" s="112" t="s">
        <v>273</v>
      </c>
      <c r="O30" s="112" t="s">
        <v>274</v>
      </c>
    </row>
    <row r="31" spans="1:30" x14ac:dyDescent="0.25">
      <c r="B31" s="114" t="s">
        <v>71</v>
      </c>
      <c r="C31" s="193">
        <v>0.51529999999999998</v>
      </c>
      <c r="D31" s="116"/>
      <c r="E31" s="193">
        <v>0.56399999999999995</v>
      </c>
      <c r="F31" s="116">
        <f t="shared" ref="F31:J42" si="1">IFERROR(E31/C31-1,"-")</f>
        <v>9.4508053561032312E-2</v>
      </c>
      <c r="G31" s="193">
        <v>0.19170000000000001</v>
      </c>
      <c r="H31" s="116">
        <f t="shared" si="1"/>
        <v>-0.66010638297872337</v>
      </c>
      <c r="I31" s="193">
        <v>0.58840000000000003</v>
      </c>
      <c r="J31" s="116">
        <f t="shared" si="1"/>
        <v>2.0693792383933229</v>
      </c>
      <c r="K31" s="193">
        <v>0.69830000000000003</v>
      </c>
      <c r="L31" s="116">
        <f t="shared" ref="L31:L42" si="2">IFERROR(K31/I31-1,"-")</f>
        <v>0.18677770224337187</v>
      </c>
      <c r="M31" s="193">
        <v>0.69889999999999997</v>
      </c>
      <c r="N31" s="116">
        <v>8.5922955749673235E-4</v>
      </c>
      <c r="O31" s="116">
        <v>0.35629730254220848</v>
      </c>
    </row>
    <row r="32" spans="1:30" x14ac:dyDescent="0.25">
      <c r="B32" s="114" t="s">
        <v>73</v>
      </c>
      <c r="C32" s="193">
        <v>0.61759999999999993</v>
      </c>
      <c r="D32" s="116"/>
      <c r="E32" s="193">
        <v>0.63570000000000004</v>
      </c>
      <c r="F32" s="116">
        <f t="shared" si="1"/>
        <v>2.9306994818653065E-2</v>
      </c>
      <c r="G32" s="193">
        <v>0.2379</v>
      </c>
      <c r="H32" s="116">
        <f t="shared" si="1"/>
        <v>-0.62576687116564422</v>
      </c>
      <c r="I32" s="193">
        <v>0.65049999999999997</v>
      </c>
      <c r="J32" s="116">
        <f t="shared" si="1"/>
        <v>1.7343421605716687</v>
      </c>
      <c r="K32" s="193">
        <v>0.76769999999999994</v>
      </c>
      <c r="L32" s="116">
        <f t="shared" si="2"/>
        <v>0.18016910069177561</v>
      </c>
      <c r="M32" s="193">
        <v>0.80330000000000001</v>
      </c>
      <c r="N32" s="116">
        <v>4.6372280838869351E-2</v>
      </c>
      <c r="O32" s="116">
        <v>0.30068005181347157</v>
      </c>
    </row>
    <row r="33" spans="2:17" x14ac:dyDescent="0.25">
      <c r="B33" s="114" t="s">
        <v>75</v>
      </c>
      <c r="C33" s="193">
        <v>0.5776</v>
      </c>
      <c r="D33" s="116"/>
      <c r="E33" s="193">
        <v>0.2369</v>
      </c>
      <c r="F33" s="116">
        <f t="shared" si="1"/>
        <v>-0.5898545706371191</v>
      </c>
      <c r="G33" s="193">
        <v>0.34399999999999997</v>
      </c>
      <c r="H33" s="116">
        <f t="shared" si="1"/>
        <v>0.45208948923596437</v>
      </c>
      <c r="I33" s="193">
        <v>0.65599999999999992</v>
      </c>
      <c r="J33" s="116">
        <f t="shared" si="1"/>
        <v>0.90697674418604635</v>
      </c>
      <c r="K33" s="193">
        <v>0.75919999999999999</v>
      </c>
      <c r="L33" s="116">
        <f t="shared" si="2"/>
        <v>0.15731707317073185</v>
      </c>
      <c r="M33" s="193">
        <v>0.73299999999999998</v>
      </c>
      <c r="N33" s="116">
        <v>-3.4510010537407765E-2</v>
      </c>
      <c r="O33" s="116">
        <v>0.26904432132963985</v>
      </c>
    </row>
    <row r="34" spans="2:17" x14ac:dyDescent="0.25">
      <c r="B34" s="114" t="s">
        <v>77</v>
      </c>
      <c r="C34" s="193">
        <v>0.52549999999999997</v>
      </c>
      <c r="D34" s="116"/>
      <c r="E34" s="193">
        <v>0</v>
      </c>
      <c r="F34" s="116">
        <f t="shared" si="1"/>
        <v>-1</v>
      </c>
      <c r="G34" s="193">
        <v>0.29299999999999998</v>
      </c>
      <c r="H34" s="116" t="str">
        <f t="shared" si="1"/>
        <v>-</v>
      </c>
      <c r="I34" s="193">
        <v>0.61299999999999999</v>
      </c>
      <c r="J34" s="116">
        <f t="shared" si="1"/>
        <v>1.0921501706484644</v>
      </c>
      <c r="K34" s="193">
        <v>0.63869999999999993</v>
      </c>
      <c r="L34" s="116">
        <f t="shared" si="2"/>
        <v>4.1924959216965707E-2</v>
      </c>
      <c r="M34" s="193">
        <v>0.66559999999999997</v>
      </c>
      <c r="N34" s="116">
        <v>4.2116799749491118E-2</v>
      </c>
      <c r="O34" s="116">
        <v>0.26660323501427219</v>
      </c>
    </row>
    <row r="35" spans="2:17" x14ac:dyDescent="0.25">
      <c r="B35" s="114" t="s">
        <v>79</v>
      </c>
      <c r="C35" s="193">
        <v>0.4703</v>
      </c>
      <c r="D35" s="116"/>
      <c r="E35" s="193">
        <v>0</v>
      </c>
      <c r="F35" s="116">
        <f t="shared" si="1"/>
        <v>-1</v>
      </c>
      <c r="G35" s="193">
        <v>0.39149999999999996</v>
      </c>
      <c r="H35" s="116" t="str">
        <f t="shared" si="1"/>
        <v>-</v>
      </c>
      <c r="I35" s="193">
        <v>0.49070000000000003</v>
      </c>
      <c r="J35" s="116">
        <f t="shared" si="1"/>
        <v>0.25338441890166052</v>
      </c>
      <c r="K35" s="193">
        <v>0.62240000000000006</v>
      </c>
      <c r="L35" s="116">
        <f t="shared" si="2"/>
        <v>0.26839209292846955</v>
      </c>
      <c r="M35" s="193">
        <v>0.5998</v>
      </c>
      <c r="N35" s="116">
        <v>-3.6311053984575903E-2</v>
      </c>
      <c r="O35" s="116">
        <v>0.27535615564533278</v>
      </c>
    </row>
    <row r="36" spans="2:17" x14ac:dyDescent="0.25">
      <c r="B36" s="114" t="s">
        <v>81</v>
      </c>
      <c r="C36" s="193">
        <v>0.48659999999999998</v>
      </c>
      <c r="D36" s="116"/>
      <c r="E36" s="193">
        <v>0</v>
      </c>
      <c r="F36" s="116">
        <f t="shared" si="1"/>
        <v>-1</v>
      </c>
      <c r="G36" s="193">
        <v>0.39329999999999998</v>
      </c>
      <c r="H36" s="116" t="str">
        <f t="shared" si="1"/>
        <v>-</v>
      </c>
      <c r="I36" s="193">
        <v>0.56700000000000006</v>
      </c>
      <c r="J36" s="116">
        <f t="shared" si="1"/>
        <v>0.44164759725400482</v>
      </c>
      <c r="K36" s="193">
        <v>0.52149999999999996</v>
      </c>
      <c r="L36" s="116">
        <f t="shared" si="2"/>
        <v>-8.0246913580247048E-2</v>
      </c>
      <c r="M36" s="193">
        <v>0.501</v>
      </c>
      <c r="N36" s="116">
        <v>-3.9309683604985546E-2</v>
      </c>
      <c r="O36" s="116">
        <v>2.9593094944512899E-2</v>
      </c>
    </row>
    <row r="37" spans="2:17" x14ac:dyDescent="0.25">
      <c r="B37" s="114" t="s">
        <v>83</v>
      </c>
      <c r="C37" s="193">
        <v>0.50729999999999997</v>
      </c>
      <c r="D37" s="116"/>
      <c r="E37" s="193">
        <v>0</v>
      </c>
      <c r="F37" s="116">
        <f t="shared" si="1"/>
        <v>-1</v>
      </c>
      <c r="G37" s="193">
        <v>0.39350000000000002</v>
      </c>
      <c r="H37" s="116" t="str">
        <f t="shared" si="1"/>
        <v>-</v>
      </c>
      <c r="I37" s="193">
        <v>0.52110000000000001</v>
      </c>
      <c r="J37" s="116">
        <f t="shared" si="1"/>
        <v>0.32426937738246497</v>
      </c>
      <c r="K37" s="193">
        <v>0.46679999999999999</v>
      </c>
      <c r="L37" s="116">
        <f t="shared" si="2"/>
        <v>-0.10420264824409908</v>
      </c>
      <c r="M37" s="193">
        <v>0.48599999999999999</v>
      </c>
      <c r="N37" s="116">
        <v>4.1131105398457546E-2</v>
      </c>
      <c r="O37" s="116">
        <v>-4.1986989946777076E-2</v>
      </c>
    </row>
    <row r="38" spans="2:17" x14ac:dyDescent="0.25">
      <c r="B38" s="114" t="s">
        <v>85</v>
      </c>
      <c r="C38" s="193">
        <v>0.50680000000000003</v>
      </c>
      <c r="D38" s="116"/>
      <c r="E38" s="193">
        <v>0.76939999999999997</v>
      </c>
      <c r="F38" s="116">
        <f t="shared" si="1"/>
        <v>0.51815311760063132</v>
      </c>
      <c r="G38" s="193">
        <v>0.44319999999999998</v>
      </c>
      <c r="H38" s="116">
        <f t="shared" si="1"/>
        <v>-0.42396672731998963</v>
      </c>
      <c r="I38" s="193">
        <v>0.49969999999999998</v>
      </c>
      <c r="J38" s="116">
        <f t="shared" si="1"/>
        <v>0.12748194945848379</v>
      </c>
      <c r="K38" s="193">
        <v>0.60020000000000007</v>
      </c>
      <c r="L38" s="116">
        <f t="shared" si="2"/>
        <v>0.20112067240344222</v>
      </c>
      <c r="M38" s="193">
        <v>0.44380000000000003</v>
      </c>
      <c r="N38" s="116">
        <v>-0.26057980673108971</v>
      </c>
      <c r="O38" s="116">
        <v>-0.12430939226519333</v>
      </c>
    </row>
    <row r="39" spans="2:17" x14ac:dyDescent="0.25">
      <c r="B39" s="114" t="s">
        <v>87</v>
      </c>
      <c r="C39" s="193">
        <v>0.45679999999999998</v>
      </c>
      <c r="D39" s="116"/>
      <c r="E39" s="193">
        <v>0.43149999999999999</v>
      </c>
      <c r="F39" s="116">
        <f t="shared" si="1"/>
        <v>-5.538528896672501E-2</v>
      </c>
      <c r="G39" s="193">
        <v>0.51200000000000001</v>
      </c>
      <c r="H39" s="116">
        <f t="shared" si="1"/>
        <v>0.18655851680185398</v>
      </c>
      <c r="I39" s="193">
        <v>0.5514</v>
      </c>
      <c r="J39" s="116">
        <f t="shared" si="1"/>
        <v>7.6953124999999956E-2</v>
      </c>
      <c r="K39" s="193">
        <v>0.53320000000000001</v>
      </c>
      <c r="L39" s="116">
        <f t="shared" si="2"/>
        <v>-3.3006891548784889E-2</v>
      </c>
      <c r="M39" s="193">
        <v>0.56189999999999996</v>
      </c>
      <c r="N39" s="116">
        <v>5.382595648912214E-2</v>
      </c>
      <c r="O39" s="116">
        <v>0.23007880910682998</v>
      </c>
    </row>
    <row r="40" spans="2:17" x14ac:dyDescent="0.25">
      <c r="B40" s="114" t="s">
        <v>89</v>
      </c>
      <c r="C40" s="193">
        <v>0.441</v>
      </c>
      <c r="D40" s="116"/>
      <c r="E40" s="193">
        <v>0.39939999999999998</v>
      </c>
      <c r="F40" s="116">
        <f t="shared" si="1"/>
        <v>-9.4331065759637234E-2</v>
      </c>
      <c r="G40" s="193">
        <v>0.52229999999999999</v>
      </c>
      <c r="H40" s="116">
        <f t="shared" si="1"/>
        <v>0.30771156735102667</v>
      </c>
      <c r="I40" s="193">
        <v>0.56420000000000003</v>
      </c>
      <c r="J40" s="116">
        <f t="shared" si="1"/>
        <v>8.0222094581658077E-2</v>
      </c>
      <c r="K40" s="193">
        <v>0.53239999999999998</v>
      </c>
      <c r="L40" s="116">
        <f t="shared" si="2"/>
        <v>-5.6362991846862887E-2</v>
      </c>
      <c r="M40" s="193"/>
      <c r="N40" s="116" t="s">
        <v>229</v>
      </c>
      <c r="O40" s="116" t="s">
        <v>229</v>
      </c>
    </row>
    <row r="41" spans="2:17" x14ac:dyDescent="0.25">
      <c r="B41" s="114" t="s">
        <v>91</v>
      </c>
      <c r="C41" s="193">
        <v>0.60680000000000001</v>
      </c>
      <c r="D41" s="116"/>
      <c r="E41" s="193">
        <v>0.40720000000000001</v>
      </c>
      <c r="F41" s="116">
        <f t="shared" si="1"/>
        <v>-0.32893869479235327</v>
      </c>
      <c r="G41" s="193">
        <v>0.64989999999999992</v>
      </c>
      <c r="H41" s="116">
        <f t="shared" si="1"/>
        <v>0.59602161100196449</v>
      </c>
      <c r="I41" s="193">
        <v>0.65629999999999999</v>
      </c>
      <c r="J41" s="116">
        <f t="shared" si="1"/>
        <v>9.8476688721342853E-3</v>
      </c>
      <c r="K41" s="193">
        <v>0.65459999999999996</v>
      </c>
      <c r="L41" s="116">
        <f t="shared" si="2"/>
        <v>-2.5902788358982409E-3</v>
      </c>
      <c r="M41" s="193"/>
      <c r="N41" s="116" t="s">
        <v>229</v>
      </c>
      <c r="O41" s="116" t="s">
        <v>229</v>
      </c>
    </row>
    <row r="42" spans="2:17" x14ac:dyDescent="0.25">
      <c r="B42" s="114" t="s">
        <v>93</v>
      </c>
      <c r="C42" s="193">
        <v>0.53979999999999995</v>
      </c>
      <c r="D42" s="116"/>
      <c r="E42" s="193">
        <v>0.48200000000000004</v>
      </c>
      <c r="F42" s="116">
        <f t="shared" si="1"/>
        <v>-0.10707669507224882</v>
      </c>
      <c r="G42" s="193">
        <v>0.57810000000000006</v>
      </c>
      <c r="H42" s="116">
        <f t="shared" si="1"/>
        <v>0.19937759336099581</v>
      </c>
      <c r="I42" s="193">
        <v>0.58939999999999992</v>
      </c>
      <c r="J42" s="116">
        <f t="shared" si="1"/>
        <v>1.954679121259284E-2</v>
      </c>
      <c r="K42" s="193">
        <v>0.56869999999999998</v>
      </c>
      <c r="L42" s="116">
        <f t="shared" si="2"/>
        <v>-3.5120461486257137E-2</v>
      </c>
      <c r="M42" s="193"/>
      <c r="N42" s="116" t="s">
        <v>229</v>
      </c>
      <c r="O42" s="116" t="s">
        <v>229</v>
      </c>
    </row>
    <row r="43" spans="2:17" ht="15.75" x14ac:dyDescent="0.25">
      <c r="B43" s="117" t="s">
        <v>30</v>
      </c>
      <c r="C43" s="195">
        <v>0.52295410715246138</v>
      </c>
      <c r="D43" s="119"/>
      <c r="E43" s="195">
        <v>0.4768</v>
      </c>
      <c r="F43" s="119">
        <v>-8.825651528730738E-2</v>
      </c>
      <c r="G43" s="195">
        <v>0.42945341263098274</v>
      </c>
      <c r="H43" s="119">
        <v>-9.9300728542402017E-2</v>
      </c>
      <c r="I43" s="195">
        <v>0.57741590694750078</v>
      </c>
      <c r="J43" s="119">
        <v>0.34453677620128276</v>
      </c>
      <c r="K43" s="195">
        <v>0.61259601883208059</v>
      </c>
      <c r="L43" s="119">
        <v>6.0926814556528042E-2</v>
      </c>
      <c r="M43" s="195"/>
      <c r="N43" s="119" t="s">
        <v>229</v>
      </c>
      <c r="O43" s="119" t="s">
        <v>229</v>
      </c>
    </row>
    <row r="44" spans="2:17" ht="6" customHeight="1" x14ac:dyDescent="0.25"/>
    <row r="45" spans="2:17" x14ac:dyDescent="0.25">
      <c r="B45" s="105" t="s">
        <v>55</v>
      </c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  <c r="O45" s="105"/>
    </row>
    <row r="46" spans="2:17" x14ac:dyDescent="0.25">
      <c r="C46" s="197"/>
      <c r="K46" s="197"/>
      <c r="L46" s="197"/>
    </row>
    <row r="48" spans="2:17" ht="21.75" customHeight="1" thickBot="1" x14ac:dyDescent="0.3">
      <c r="B48" s="270" t="s">
        <v>311</v>
      </c>
      <c r="C48" s="270"/>
      <c r="D48" s="270"/>
      <c r="E48" s="270"/>
      <c r="F48" s="270"/>
      <c r="G48" s="270"/>
      <c r="H48" s="270"/>
      <c r="I48" s="270"/>
      <c r="J48" s="270"/>
      <c r="K48" s="270"/>
      <c r="L48" s="270"/>
      <c r="M48" s="270"/>
      <c r="N48" s="270"/>
      <c r="O48" s="270"/>
      <c r="Q48" s="1" t="s">
        <v>155</v>
      </c>
    </row>
    <row r="49" spans="2:17" ht="10.5" customHeight="1" thickBot="1" x14ac:dyDescent="0.3">
      <c r="B49" s="106"/>
      <c r="C49" s="107"/>
      <c r="D49" s="106"/>
      <c r="E49" s="106"/>
      <c r="F49" s="106"/>
      <c r="G49" s="106"/>
      <c r="H49" s="106"/>
      <c r="I49" s="106"/>
      <c r="J49" s="106"/>
      <c r="K49" s="106"/>
      <c r="L49" s="106"/>
      <c r="M49" s="4"/>
      <c r="N49" s="4"/>
      <c r="Q49" s="1" t="s">
        <v>156</v>
      </c>
    </row>
    <row r="50" spans="2:17" ht="22.5" thickTop="1" thickBot="1" x14ac:dyDescent="0.3">
      <c r="B50" s="109"/>
      <c r="C50" s="292" t="s">
        <v>61</v>
      </c>
      <c r="D50" s="293"/>
      <c r="E50" s="293"/>
      <c r="F50" s="293"/>
      <c r="G50" s="293"/>
      <c r="H50" s="293"/>
      <c r="I50" s="293"/>
      <c r="J50" s="293"/>
      <c r="K50" s="293"/>
      <c r="L50" s="293"/>
      <c r="M50" s="293"/>
      <c r="N50" s="293"/>
      <c r="O50" s="294"/>
    </row>
    <row r="51" spans="2:17" ht="22.5" thickTop="1" thickBot="1" x14ac:dyDescent="0.3">
      <c r="B51" s="109"/>
      <c r="C51" s="295">
        <v>2019</v>
      </c>
      <c r="D51" s="296"/>
      <c r="E51" s="297" t="s">
        <v>285</v>
      </c>
      <c r="F51" s="296"/>
      <c r="G51" s="297" t="s">
        <v>286</v>
      </c>
      <c r="H51" s="296"/>
      <c r="I51" s="297" t="s">
        <v>287</v>
      </c>
      <c r="J51" s="296"/>
      <c r="K51" s="297">
        <v>2023</v>
      </c>
      <c r="L51" s="296"/>
      <c r="M51" s="297">
        <v>2024</v>
      </c>
      <c r="N51" s="298"/>
      <c r="O51" s="299"/>
    </row>
    <row r="52" spans="2:17" ht="16.5" thickTop="1" thickBot="1" x14ac:dyDescent="0.3">
      <c r="B52" s="85"/>
      <c r="C52" s="111" t="s">
        <v>69</v>
      </c>
      <c r="D52" s="112" t="str">
        <f>CONCATENATE("var ",RIGHT(C51,2),"/",RIGHT(C51-1,2))</f>
        <v>var 19/18</v>
      </c>
      <c r="E52" s="113" t="s">
        <v>69</v>
      </c>
      <c r="F52" s="112" t="str">
        <f>CONCATENATE("var ",RIGHT(E51,2),"/",RIGHT(C51,2))</f>
        <v>var 20/19</v>
      </c>
      <c r="G52" s="113" t="s">
        <v>69</v>
      </c>
      <c r="H52" s="112" t="str">
        <f>CONCATENATE("var ",RIGHT(G51,2),"/",RIGHT(E51,2))</f>
        <v>var 21/20</v>
      </c>
      <c r="I52" s="113" t="s">
        <v>69</v>
      </c>
      <c r="J52" s="112" t="str">
        <f>CONCATENATE("var ",RIGHT(I51,2),"/",RIGHT(G51,2))</f>
        <v>var 22/21</v>
      </c>
      <c r="K52" s="113" t="s">
        <v>69</v>
      </c>
      <c r="L52" s="112" t="str">
        <f>CONCATENATE("var ",RIGHT(K51,2),"/",RIGHT(I51,2))</f>
        <v>var 23/22</v>
      </c>
      <c r="M52" s="113" t="s">
        <v>69</v>
      </c>
      <c r="N52" s="112" t="s">
        <v>273</v>
      </c>
      <c r="O52" s="112" t="s">
        <v>274</v>
      </c>
    </row>
    <row r="53" spans="2:17" x14ac:dyDescent="0.25">
      <c r="B53" s="114" t="s">
        <v>71</v>
      </c>
      <c r="C53" s="193">
        <v>0.54079999999999995</v>
      </c>
      <c r="D53" s="116"/>
      <c r="E53" s="193" t="s">
        <v>229</v>
      </c>
      <c r="F53" s="116" t="str">
        <f t="shared" ref="F53:J64" si="3">IFERROR(E53/C53-1,"-")</f>
        <v>-</v>
      </c>
      <c r="G53" s="193" t="s">
        <v>229</v>
      </c>
      <c r="H53" s="116" t="str">
        <f t="shared" si="3"/>
        <v>-</v>
      </c>
      <c r="I53" s="193">
        <v>0</v>
      </c>
      <c r="J53" s="116" t="str">
        <f t="shared" si="3"/>
        <v>-</v>
      </c>
      <c r="K53" s="193">
        <v>0.69739999999999991</v>
      </c>
      <c r="L53" s="116" t="str">
        <f t="shared" ref="L53:L64" si="4">IFERROR(K53/I53-1,"-")</f>
        <v>-</v>
      </c>
      <c r="M53" s="193">
        <v>0.70389999999999997</v>
      </c>
      <c r="N53" s="116">
        <v>9.3203326641813078E-3</v>
      </c>
      <c r="O53" s="116">
        <v>0.30159023668639051</v>
      </c>
    </row>
    <row r="54" spans="2:17" x14ac:dyDescent="0.25">
      <c r="B54" s="114" t="s">
        <v>73</v>
      </c>
      <c r="C54" s="193">
        <v>0.6522</v>
      </c>
      <c r="D54" s="116"/>
      <c r="E54" s="193" t="s">
        <v>229</v>
      </c>
      <c r="F54" s="116" t="str">
        <f t="shared" si="3"/>
        <v>-</v>
      </c>
      <c r="G54" s="193" t="s">
        <v>229</v>
      </c>
      <c r="H54" s="116" t="str">
        <f t="shared" si="3"/>
        <v>-</v>
      </c>
      <c r="I54" s="193">
        <v>0</v>
      </c>
      <c r="J54" s="116" t="str">
        <f t="shared" si="3"/>
        <v>-</v>
      </c>
      <c r="K54" s="193">
        <v>0.76840000000000008</v>
      </c>
      <c r="L54" s="116" t="str">
        <f t="shared" si="4"/>
        <v>-</v>
      </c>
      <c r="M54" s="193">
        <v>0.80169999999999997</v>
      </c>
      <c r="N54" s="116">
        <v>4.3336803748047714E-2</v>
      </c>
      <c r="O54" s="116">
        <v>0.22922416436675852</v>
      </c>
    </row>
    <row r="55" spans="2:17" x14ac:dyDescent="0.25">
      <c r="B55" s="114" t="s">
        <v>75</v>
      </c>
      <c r="C55" s="193">
        <v>0.5706</v>
      </c>
      <c r="D55" s="116"/>
      <c r="E55" s="193" t="s">
        <v>229</v>
      </c>
      <c r="F55" s="116" t="str">
        <f t="shared" si="3"/>
        <v>-</v>
      </c>
      <c r="G55" s="193" t="s">
        <v>229</v>
      </c>
      <c r="H55" s="116" t="str">
        <f t="shared" si="3"/>
        <v>-</v>
      </c>
      <c r="I55" s="193">
        <v>0</v>
      </c>
      <c r="J55" s="116" t="str">
        <f t="shared" si="3"/>
        <v>-</v>
      </c>
      <c r="K55" s="193">
        <v>0.76249999999999996</v>
      </c>
      <c r="L55" s="116" t="str">
        <f t="shared" si="4"/>
        <v>-</v>
      </c>
      <c r="M55" s="193">
        <v>0.73939999999999995</v>
      </c>
      <c r="N55" s="116">
        <v>-3.0295081967213089E-2</v>
      </c>
      <c r="O55" s="116">
        <v>0.2958289519803714</v>
      </c>
    </row>
    <row r="56" spans="2:17" x14ac:dyDescent="0.25">
      <c r="B56" s="114" t="s">
        <v>77</v>
      </c>
      <c r="C56" s="193">
        <v>0.52600000000000002</v>
      </c>
      <c r="D56" s="116"/>
      <c r="E56" s="193" t="s">
        <v>229</v>
      </c>
      <c r="F56" s="116" t="str">
        <f t="shared" si="3"/>
        <v>-</v>
      </c>
      <c r="G56" s="193" t="s">
        <v>229</v>
      </c>
      <c r="H56" s="116" t="str">
        <f t="shared" si="3"/>
        <v>-</v>
      </c>
      <c r="I56" s="193">
        <v>0.63450000000000006</v>
      </c>
      <c r="J56" s="116" t="str">
        <f t="shared" si="3"/>
        <v>-</v>
      </c>
      <c r="K56" s="193">
        <v>0.63890000000000002</v>
      </c>
      <c r="L56" s="116">
        <f t="shared" si="4"/>
        <v>6.9345941686367318E-3</v>
      </c>
      <c r="M56" s="193">
        <v>0.68159999999999998</v>
      </c>
      <c r="N56" s="116">
        <v>6.6833620284864503E-2</v>
      </c>
      <c r="O56" s="116">
        <v>0.29581749049429651</v>
      </c>
    </row>
    <row r="57" spans="2:17" x14ac:dyDescent="0.25">
      <c r="B57" s="114" t="s">
        <v>79</v>
      </c>
      <c r="C57" s="193">
        <v>0.46779999999999999</v>
      </c>
      <c r="D57" s="116"/>
      <c r="E57" s="193" t="s">
        <v>229</v>
      </c>
      <c r="F57" s="116" t="str">
        <f t="shared" si="3"/>
        <v>-</v>
      </c>
      <c r="G57" s="193" t="s">
        <v>229</v>
      </c>
      <c r="H57" s="116" t="str">
        <f t="shared" si="3"/>
        <v>-</v>
      </c>
      <c r="I57" s="193">
        <v>0.4965</v>
      </c>
      <c r="J57" s="116" t="str">
        <f t="shared" si="3"/>
        <v>-</v>
      </c>
      <c r="K57" s="193">
        <v>0.63979999999999992</v>
      </c>
      <c r="L57" s="116">
        <f t="shared" si="4"/>
        <v>0.28862034239677725</v>
      </c>
      <c r="M57" s="193">
        <v>0.61899999999999999</v>
      </c>
      <c r="N57" s="116">
        <v>-3.2510159424820162E-2</v>
      </c>
      <c r="O57" s="116">
        <v>0.32321504916631039</v>
      </c>
    </row>
    <row r="58" spans="2:17" x14ac:dyDescent="0.25">
      <c r="B58" s="114" t="s">
        <v>81</v>
      </c>
      <c r="C58" s="193">
        <v>0.4864</v>
      </c>
      <c r="D58" s="116"/>
      <c r="E58" s="193" t="s">
        <v>229</v>
      </c>
      <c r="F58" s="116" t="str">
        <f t="shared" si="3"/>
        <v>-</v>
      </c>
      <c r="G58" s="193" t="s">
        <v>229</v>
      </c>
      <c r="H58" s="116" t="str">
        <f t="shared" si="3"/>
        <v>-</v>
      </c>
      <c r="I58" s="193">
        <v>0.58509999999999995</v>
      </c>
      <c r="J58" s="116" t="str">
        <f t="shared" si="3"/>
        <v>-</v>
      </c>
      <c r="K58" s="193">
        <v>0.52880000000000005</v>
      </c>
      <c r="L58" s="116">
        <f t="shared" si="4"/>
        <v>-9.6222867885831342E-2</v>
      </c>
      <c r="M58" s="193">
        <v>0.50340000000000007</v>
      </c>
      <c r="N58" s="116">
        <v>-4.8033282904689778E-2</v>
      </c>
      <c r="O58" s="116">
        <v>3.4950657894736947E-2</v>
      </c>
    </row>
    <row r="59" spans="2:17" x14ac:dyDescent="0.25">
      <c r="B59" s="114" t="s">
        <v>83</v>
      </c>
      <c r="C59" s="193">
        <v>0.53700000000000003</v>
      </c>
      <c r="D59" s="116"/>
      <c r="E59" s="193" t="s">
        <v>229</v>
      </c>
      <c r="F59" s="116" t="str">
        <f t="shared" si="3"/>
        <v>-</v>
      </c>
      <c r="G59" s="193" t="s">
        <v>229</v>
      </c>
      <c r="H59" s="116" t="str">
        <f t="shared" si="3"/>
        <v>-</v>
      </c>
      <c r="I59" s="193">
        <v>0.5232</v>
      </c>
      <c r="J59" s="116" t="str">
        <f t="shared" si="3"/>
        <v>-</v>
      </c>
      <c r="K59" s="193">
        <v>0</v>
      </c>
      <c r="L59" s="116">
        <f t="shared" si="4"/>
        <v>-1</v>
      </c>
      <c r="M59" s="193">
        <v>0.4763</v>
      </c>
      <c r="N59" s="116" t="s">
        <v>229</v>
      </c>
      <c r="O59" s="116">
        <v>-0.11303538175046557</v>
      </c>
    </row>
    <row r="60" spans="2:17" x14ac:dyDescent="0.25">
      <c r="B60" s="114" t="s">
        <v>85</v>
      </c>
      <c r="C60" s="193">
        <v>0.55200000000000005</v>
      </c>
      <c r="D60" s="116"/>
      <c r="E60" s="193" t="s">
        <v>229</v>
      </c>
      <c r="F60" s="116" t="str">
        <f t="shared" si="3"/>
        <v>-</v>
      </c>
      <c r="G60" s="193" t="s">
        <v>229</v>
      </c>
      <c r="H60" s="116" t="str">
        <f t="shared" si="3"/>
        <v>-</v>
      </c>
      <c r="I60" s="193">
        <v>0.50629999999999997</v>
      </c>
      <c r="J60" s="116" t="str">
        <f t="shared" si="3"/>
        <v>-</v>
      </c>
      <c r="K60" s="193">
        <v>0</v>
      </c>
      <c r="L60" s="116">
        <f t="shared" si="4"/>
        <v>-1</v>
      </c>
      <c r="M60" s="193">
        <v>0.47450000000000003</v>
      </c>
      <c r="N60" s="116" t="s">
        <v>229</v>
      </c>
      <c r="O60" s="116">
        <v>-0.14039855072463769</v>
      </c>
    </row>
    <row r="61" spans="2:17" x14ac:dyDescent="0.25">
      <c r="B61" s="114" t="s">
        <v>87</v>
      </c>
      <c r="C61" s="193">
        <v>0.44770000000000004</v>
      </c>
      <c r="D61" s="116"/>
      <c r="E61" s="193" t="s">
        <v>229</v>
      </c>
      <c r="F61" s="116" t="str">
        <f t="shared" si="3"/>
        <v>-</v>
      </c>
      <c r="G61" s="193" t="s">
        <v>229</v>
      </c>
      <c r="H61" s="116" t="str">
        <f t="shared" si="3"/>
        <v>-</v>
      </c>
      <c r="I61" s="193">
        <v>0.55810000000000004</v>
      </c>
      <c r="J61" s="116" t="str">
        <f t="shared" si="3"/>
        <v>-</v>
      </c>
      <c r="K61" s="193">
        <v>0.53720000000000001</v>
      </c>
      <c r="L61" s="116">
        <f t="shared" si="4"/>
        <v>-3.7448485934420406E-2</v>
      </c>
      <c r="M61" s="193">
        <v>0.56759999999999999</v>
      </c>
      <c r="N61" s="116">
        <v>5.6589724497393856E-2</v>
      </c>
      <c r="O61" s="116">
        <v>0.26781326781326764</v>
      </c>
    </row>
    <row r="62" spans="2:17" x14ac:dyDescent="0.25">
      <c r="B62" s="114" t="s">
        <v>89</v>
      </c>
      <c r="C62" s="193">
        <v>0.43259999999999998</v>
      </c>
      <c r="D62" s="116"/>
      <c r="E62" s="193" t="s">
        <v>229</v>
      </c>
      <c r="F62" s="116" t="str">
        <f t="shared" si="3"/>
        <v>-</v>
      </c>
      <c r="G62" s="193" t="s">
        <v>229</v>
      </c>
      <c r="H62" s="116" t="str">
        <f t="shared" si="3"/>
        <v>-</v>
      </c>
      <c r="I62" s="193">
        <v>0.55259999999999998</v>
      </c>
      <c r="J62" s="116" t="str">
        <f t="shared" si="3"/>
        <v>-</v>
      </c>
      <c r="K62" s="193">
        <v>0.52969999999999995</v>
      </c>
      <c r="L62" s="116">
        <f t="shared" si="4"/>
        <v>-4.1440463264567517E-2</v>
      </c>
      <c r="M62" s="193"/>
      <c r="N62" s="116" t="s">
        <v>229</v>
      </c>
      <c r="O62" s="116" t="s">
        <v>229</v>
      </c>
    </row>
    <row r="63" spans="2:17" x14ac:dyDescent="0.25">
      <c r="B63" s="114" t="s">
        <v>91</v>
      </c>
      <c r="C63" s="193">
        <v>0.62130000000000007</v>
      </c>
      <c r="D63" s="116"/>
      <c r="E63" s="193" t="s">
        <v>229</v>
      </c>
      <c r="F63" s="116" t="str">
        <f t="shared" si="3"/>
        <v>-</v>
      </c>
      <c r="G63" s="193" t="s">
        <v>229</v>
      </c>
      <c r="H63" s="116" t="str">
        <f t="shared" si="3"/>
        <v>-</v>
      </c>
      <c r="I63" s="193">
        <v>0.65920000000000001</v>
      </c>
      <c r="J63" s="116" t="str">
        <f t="shared" si="3"/>
        <v>-</v>
      </c>
      <c r="K63" s="193">
        <v>0.65010000000000001</v>
      </c>
      <c r="L63" s="116">
        <f t="shared" si="4"/>
        <v>-1.380461165048541E-2</v>
      </c>
      <c r="M63" s="193"/>
      <c r="N63" s="116" t="s">
        <v>229</v>
      </c>
      <c r="O63" s="116" t="s">
        <v>229</v>
      </c>
    </row>
    <row r="64" spans="2:17" x14ac:dyDescent="0.25">
      <c r="B64" s="114" t="s">
        <v>93</v>
      </c>
      <c r="C64" s="193">
        <v>0.53110000000000002</v>
      </c>
      <c r="D64" s="116"/>
      <c r="E64" s="193" t="s">
        <v>229</v>
      </c>
      <c r="F64" s="116" t="str">
        <f t="shared" si="3"/>
        <v>-</v>
      </c>
      <c r="G64" s="193" t="s">
        <v>229</v>
      </c>
      <c r="H64" s="116" t="str">
        <f t="shared" si="3"/>
        <v>-</v>
      </c>
      <c r="I64" s="193">
        <v>0.58630000000000004</v>
      </c>
      <c r="J64" s="116" t="str">
        <f t="shared" si="3"/>
        <v>-</v>
      </c>
      <c r="K64" s="193">
        <v>0.55459999999999998</v>
      </c>
      <c r="L64" s="116">
        <f t="shared" si="4"/>
        <v>-5.406788333617607E-2</v>
      </c>
      <c r="M64" s="193"/>
      <c r="N64" s="116" t="s">
        <v>229</v>
      </c>
      <c r="O64" s="116" t="s">
        <v>229</v>
      </c>
    </row>
    <row r="65" spans="2:17" ht="15.75" x14ac:dyDescent="0.25">
      <c r="B65" s="117" t="s">
        <v>30</v>
      </c>
      <c r="C65" s="195">
        <v>0.53227032255517392</v>
      </c>
      <c r="D65" s="119"/>
      <c r="E65" s="195">
        <v>0</v>
      </c>
      <c r="F65" s="119">
        <v>-1</v>
      </c>
      <c r="G65" s="195" t="s">
        <v>229</v>
      </c>
      <c r="H65" s="119" t="s">
        <v>229</v>
      </c>
      <c r="I65" s="195">
        <v>0.58309999999999995</v>
      </c>
      <c r="J65" s="119" t="s">
        <v>229</v>
      </c>
      <c r="K65" s="195">
        <v>0.6139</v>
      </c>
      <c r="L65" s="119">
        <v>5.282112845138065E-2</v>
      </c>
      <c r="M65" s="200"/>
      <c r="N65" s="199" t="s">
        <v>229</v>
      </c>
      <c r="O65" s="199" t="s">
        <v>229</v>
      </c>
    </row>
    <row r="66" spans="2:17" ht="6" customHeight="1" x14ac:dyDescent="0.25"/>
    <row r="67" spans="2:17" x14ac:dyDescent="0.25">
      <c r="B67" s="105" t="s">
        <v>55</v>
      </c>
      <c r="C67" s="105"/>
      <c r="D67" s="105"/>
      <c r="E67" s="105"/>
      <c r="F67" s="105"/>
      <c r="G67" s="105"/>
      <c r="H67" s="105"/>
      <c r="I67" s="105"/>
      <c r="J67" s="105"/>
      <c r="K67" s="105"/>
      <c r="L67" s="105"/>
      <c r="M67" s="105"/>
      <c r="N67" s="105"/>
      <c r="O67" s="105"/>
    </row>
    <row r="68" spans="2:17" x14ac:dyDescent="0.25">
      <c r="C68" s="197"/>
      <c r="K68" s="197"/>
      <c r="L68" s="197"/>
    </row>
    <row r="70" spans="2:17" ht="21.75" customHeight="1" thickBot="1" x14ac:dyDescent="0.3">
      <c r="B70" s="270" t="s">
        <v>312</v>
      </c>
      <c r="C70" s="270"/>
      <c r="D70" s="270"/>
      <c r="E70" s="270"/>
      <c r="F70" s="270"/>
      <c r="G70" s="270"/>
      <c r="H70" s="270"/>
      <c r="I70" s="270"/>
      <c r="J70" s="270"/>
      <c r="K70" s="270"/>
      <c r="L70" s="270"/>
      <c r="M70" s="270"/>
      <c r="N70" s="270"/>
      <c r="O70" s="270"/>
      <c r="Q70" s="1" t="s">
        <v>157</v>
      </c>
    </row>
    <row r="71" spans="2:17" ht="10.5" customHeight="1" thickBot="1" x14ac:dyDescent="0.3">
      <c r="B71" s="106"/>
      <c r="C71" s="107"/>
      <c r="D71" s="106"/>
      <c r="E71" s="106"/>
      <c r="F71" s="106"/>
      <c r="G71" s="106"/>
      <c r="H71" s="106"/>
      <c r="I71" s="106"/>
      <c r="J71" s="106"/>
      <c r="K71" s="106"/>
      <c r="L71" s="106"/>
      <c r="M71" s="4"/>
      <c r="N71" s="4"/>
      <c r="Q71" s="1" t="s">
        <v>158</v>
      </c>
    </row>
    <row r="72" spans="2:17" ht="22.5" thickTop="1" thickBot="1" x14ac:dyDescent="0.3">
      <c r="B72" s="109"/>
      <c r="C72" s="292" t="s">
        <v>62</v>
      </c>
      <c r="D72" s="293"/>
      <c r="E72" s="293"/>
      <c r="F72" s="293"/>
      <c r="G72" s="293"/>
      <c r="H72" s="293"/>
      <c r="I72" s="293"/>
      <c r="J72" s="293"/>
      <c r="K72" s="293"/>
      <c r="L72" s="293"/>
      <c r="M72" s="293"/>
      <c r="N72" s="293"/>
      <c r="O72" s="294"/>
    </row>
    <row r="73" spans="2:17" ht="22.5" thickTop="1" thickBot="1" x14ac:dyDescent="0.3">
      <c r="B73" s="109"/>
      <c r="C73" s="295">
        <v>2019</v>
      </c>
      <c r="D73" s="296"/>
      <c r="E73" s="297" t="s">
        <v>285</v>
      </c>
      <c r="F73" s="296"/>
      <c r="G73" s="297" t="s">
        <v>286</v>
      </c>
      <c r="H73" s="296"/>
      <c r="I73" s="297" t="s">
        <v>287</v>
      </c>
      <c r="J73" s="296"/>
      <c r="K73" s="297">
        <v>2023</v>
      </c>
      <c r="L73" s="296"/>
      <c r="M73" s="297">
        <v>2024</v>
      </c>
      <c r="N73" s="298"/>
      <c r="O73" s="299"/>
    </row>
    <row r="74" spans="2:17" ht="16.5" thickTop="1" thickBot="1" x14ac:dyDescent="0.3">
      <c r="B74" s="85"/>
      <c r="C74" s="111" t="s">
        <v>69</v>
      </c>
      <c r="D74" s="112" t="str">
        <f>CONCATENATE("var ",RIGHT(C73,2),"/",RIGHT(C73-1,2))</f>
        <v>var 19/18</v>
      </c>
      <c r="E74" s="113" t="s">
        <v>69</v>
      </c>
      <c r="F74" s="112" t="str">
        <f>CONCATENATE("var ",RIGHT(E73,2),"/",RIGHT(C73,2))</f>
        <v>var 20/19</v>
      </c>
      <c r="G74" s="113" t="s">
        <v>69</v>
      </c>
      <c r="H74" s="112" t="str">
        <f>CONCATENATE("var ",RIGHT(G73,2),"/",RIGHT(E73,2))</f>
        <v>var 21/20</v>
      </c>
      <c r="I74" s="113" t="s">
        <v>69</v>
      </c>
      <c r="J74" s="112" t="str">
        <f>CONCATENATE("var ",RIGHT(I73,2),"/",RIGHT(G73,2))</f>
        <v>var 22/21</v>
      </c>
      <c r="K74" s="113" t="s">
        <v>69</v>
      </c>
      <c r="L74" s="112" t="str">
        <f>CONCATENATE("var ",RIGHT(K73,2),"/",RIGHT(I73,2))</f>
        <v>var 23/22</v>
      </c>
      <c r="M74" s="113" t="s">
        <v>69</v>
      </c>
      <c r="N74" s="112" t="s">
        <v>273</v>
      </c>
      <c r="O74" s="112" t="s">
        <v>274</v>
      </c>
    </row>
    <row r="75" spans="2:17" x14ac:dyDescent="0.25">
      <c r="B75" s="114" t="s">
        <v>71</v>
      </c>
      <c r="C75" s="193">
        <v>0.41549999999999998</v>
      </c>
      <c r="D75" s="116"/>
      <c r="E75" s="193" t="s">
        <v>229</v>
      </c>
      <c r="F75" s="116" t="str">
        <f t="shared" ref="F75:J86" si="5">IFERROR(E75/C75-1,"-")</f>
        <v>-</v>
      </c>
      <c r="G75" s="193" t="s">
        <v>229</v>
      </c>
      <c r="H75" s="116" t="str">
        <f t="shared" si="5"/>
        <v>-</v>
      </c>
      <c r="I75" s="193">
        <v>0</v>
      </c>
      <c r="J75" s="116" t="str">
        <f t="shared" si="5"/>
        <v>-</v>
      </c>
      <c r="K75" s="193">
        <v>0.70709999999999995</v>
      </c>
      <c r="L75" s="116" t="str">
        <f t="shared" ref="L75:L86" si="6">IFERROR(K75/I75-1,"-")</f>
        <v>-</v>
      </c>
      <c r="M75" s="193">
        <v>0.65749999999999997</v>
      </c>
      <c r="N75" s="116">
        <v>-7.0145665393862244E-2</v>
      </c>
      <c r="O75" s="116">
        <v>0.58243080625752097</v>
      </c>
    </row>
    <row r="76" spans="2:17" x14ac:dyDescent="0.25">
      <c r="B76" s="114" t="s">
        <v>73</v>
      </c>
      <c r="C76" s="193">
        <v>0.48170000000000002</v>
      </c>
      <c r="D76" s="116"/>
      <c r="E76" s="193" t="s">
        <v>229</v>
      </c>
      <c r="F76" s="116" t="str">
        <f t="shared" si="5"/>
        <v>-</v>
      </c>
      <c r="G76" s="193" t="s">
        <v>229</v>
      </c>
      <c r="H76" s="116" t="str">
        <f t="shared" si="5"/>
        <v>-</v>
      </c>
      <c r="I76" s="193">
        <v>0</v>
      </c>
      <c r="J76" s="116" t="str">
        <f t="shared" si="5"/>
        <v>-</v>
      </c>
      <c r="K76" s="193">
        <v>0.76080000000000003</v>
      </c>
      <c r="L76" s="116" t="str">
        <f t="shared" si="6"/>
        <v>-</v>
      </c>
      <c r="M76" s="193">
        <v>0.81700000000000006</v>
      </c>
      <c r="N76" s="116">
        <v>7.3869610935856977E-2</v>
      </c>
      <c r="O76" s="116">
        <v>0.69607639609715588</v>
      </c>
    </row>
    <row r="77" spans="2:17" x14ac:dyDescent="0.25">
      <c r="B77" s="114" t="s">
        <v>75</v>
      </c>
      <c r="C77" s="193">
        <v>0.60489999999999999</v>
      </c>
      <c r="D77" s="116"/>
      <c r="E77" s="193" t="s">
        <v>229</v>
      </c>
      <c r="F77" s="116" t="str">
        <f t="shared" si="5"/>
        <v>-</v>
      </c>
      <c r="G77" s="193" t="s">
        <v>229</v>
      </c>
      <c r="H77" s="116" t="str">
        <f t="shared" si="5"/>
        <v>-</v>
      </c>
      <c r="I77" s="193">
        <v>0</v>
      </c>
      <c r="J77" s="116" t="str">
        <f t="shared" si="5"/>
        <v>-</v>
      </c>
      <c r="K77" s="193">
        <v>0.72709999999999997</v>
      </c>
      <c r="L77" s="116" t="str">
        <f t="shared" si="6"/>
        <v>-</v>
      </c>
      <c r="M77" s="193">
        <v>0.68010000000000004</v>
      </c>
      <c r="N77" s="116">
        <v>-6.4640352083619734E-2</v>
      </c>
      <c r="O77" s="116">
        <v>0.12431806910233112</v>
      </c>
    </row>
    <row r="78" spans="2:17" x14ac:dyDescent="0.25">
      <c r="B78" s="114" t="s">
        <v>77</v>
      </c>
      <c r="C78" s="193">
        <v>0.52359999999999995</v>
      </c>
      <c r="D78" s="116"/>
      <c r="E78" s="193" t="s">
        <v>229</v>
      </c>
      <c r="F78" s="116" t="str">
        <f t="shared" si="5"/>
        <v>-</v>
      </c>
      <c r="G78" s="193" t="s">
        <v>229</v>
      </c>
      <c r="H78" s="116" t="str">
        <f t="shared" si="5"/>
        <v>-</v>
      </c>
      <c r="I78" s="193">
        <v>0.40850000000000003</v>
      </c>
      <c r="J78" s="116" t="str">
        <f t="shared" si="5"/>
        <v>-</v>
      </c>
      <c r="K78" s="193">
        <v>0.63600000000000001</v>
      </c>
      <c r="L78" s="116">
        <f t="shared" si="6"/>
        <v>0.55691554467564242</v>
      </c>
      <c r="M78" s="193">
        <v>0.53420000000000001</v>
      </c>
      <c r="N78" s="116">
        <v>-0.16006289308176103</v>
      </c>
      <c r="O78" s="116">
        <v>2.0244461420932058E-2</v>
      </c>
    </row>
    <row r="79" spans="2:17" x14ac:dyDescent="0.25">
      <c r="B79" s="114" t="s">
        <v>79</v>
      </c>
      <c r="C79" s="193">
        <v>0.48</v>
      </c>
      <c r="D79" s="116"/>
      <c r="E79" s="193" t="s">
        <v>229</v>
      </c>
      <c r="F79" s="116" t="str">
        <f t="shared" si="5"/>
        <v>-</v>
      </c>
      <c r="G79" s="193" t="s">
        <v>229</v>
      </c>
      <c r="H79" s="116" t="str">
        <f t="shared" si="5"/>
        <v>-</v>
      </c>
      <c r="I79" s="193">
        <v>0.43520000000000003</v>
      </c>
      <c r="J79" s="116" t="str">
        <f t="shared" si="5"/>
        <v>-</v>
      </c>
      <c r="K79" s="193">
        <v>0.45669999999999999</v>
      </c>
      <c r="L79" s="116">
        <f t="shared" si="6"/>
        <v>4.9402573529411686E-2</v>
      </c>
      <c r="M79" s="193">
        <v>0.44140000000000001</v>
      </c>
      <c r="N79" s="116">
        <v>-3.3501204291657483E-2</v>
      </c>
      <c r="O79" s="116">
        <v>-8.0416666666666581E-2</v>
      </c>
    </row>
    <row r="80" spans="2:17" x14ac:dyDescent="0.25">
      <c r="B80" s="114" t="s">
        <v>81</v>
      </c>
      <c r="C80" s="193">
        <v>0.48710000000000003</v>
      </c>
      <c r="D80" s="116"/>
      <c r="E80" s="193" t="s">
        <v>229</v>
      </c>
      <c r="F80" s="116" t="str">
        <f t="shared" si="5"/>
        <v>-</v>
      </c>
      <c r="G80" s="193" t="s">
        <v>229</v>
      </c>
      <c r="H80" s="116" t="str">
        <f t="shared" si="5"/>
        <v>-</v>
      </c>
      <c r="I80" s="193">
        <v>0.3947</v>
      </c>
      <c r="J80" s="116" t="str">
        <f t="shared" si="5"/>
        <v>-</v>
      </c>
      <c r="K80" s="193">
        <v>0.45240000000000002</v>
      </c>
      <c r="L80" s="116">
        <f t="shared" si="6"/>
        <v>0.14618697745122877</v>
      </c>
      <c r="M80" s="193">
        <v>0.48080000000000001</v>
      </c>
      <c r="N80" s="116">
        <v>6.2776304155614415E-2</v>
      </c>
      <c r="O80" s="116">
        <v>-1.2933689180866459E-2</v>
      </c>
    </row>
    <row r="81" spans="2:17" x14ac:dyDescent="0.25">
      <c r="B81" s="114" t="s">
        <v>83</v>
      </c>
      <c r="C81" s="193">
        <v>0.42749999999999999</v>
      </c>
      <c r="D81" s="116"/>
      <c r="E81" s="193" t="s">
        <v>229</v>
      </c>
      <c r="F81" s="116" t="str">
        <f t="shared" si="5"/>
        <v>-</v>
      </c>
      <c r="G81" s="193" t="s">
        <v>229</v>
      </c>
      <c r="H81" s="116" t="str">
        <f t="shared" si="5"/>
        <v>-</v>
      </c>
      <c r="I81" s="193">
        <v>0.50130000000000008</v>
      </c>
      <c r="J81" s="116" t="str">
        <f t="shared" si="5"/>
        <v>-</v>
      </c>
      <c r="K81" s="193">
        <v>0</v>
      </c>
      <c r="L81" s="116">
        <f t="shared" si="6"/>
        <v>-1</v>
      </c>
      <c r="M81" s="193">
        <v>0.56559999999999999</v>
      </c>
      <c r="N81" s="116" t="s">
        <v>229</v>
      </c>
      <c r="O81" s="116">
        <v>0.32304093567251457</v>
      </c>
    </row>
    <row r="82" spans="2:17" x14ac:dyDescent="0.25">
      <c r="B82" s="114" t="s">
        <v>85</v>
      </c>
      <c r="C82" s="193">
        <v>0.3851</v>
      </c>
      <c r="D82" s="116"/>
      <c r="E82" s="193" t="s">
        <v>229</v>
      </c>
      <c r="F82" s="116" t="str">
        <f t="shared" si="5"/>
        <v>-</v>
      </c>
      <c r="G82" s="193" t="s">
        <v>229</v>
      </c>
      <c r="H82" s="116" t="str">
        <f t="shared" si="5"/>
        <v>-</v>
      </c>
      <c r="I82" s="193">
        <v>0.43680000000000002</v>
      </c>
      <c r="J82" s="116" t="str">
        <f t="shared" si="5"/>
        <v>-</v>
      </c>
      <c r="K82" s="193">
        <v>0</v>
      </c>
      <c r="L82" s="116">
        <f t="shared" si="6"/>
        <v>-1</v>
      </c>
      <c r="M82" s="193">
        <v>0.1913</v>
      </c>
      <c r="N82" s="116" t="s">
        <v>229</v>
      </c>
      <c r="O82" s="116">
        <v>-0.50324591015320697</v>
      </c>
    </row>
    <row r="83" spans="2:17" x14ac:dyDescent="0.25">
      <c r="B83" s="114" t="s">
        <v>87</v>
      </c>
      <c r="C83" s="193">
        <v>0.48119999999999996</v>
      </c>
      <c r="D83" s="116"/>
      <c r="E83" s="193" t="s">
        <v>229</v>
      </c>
      <c r="F83" s="116" t="str">
        <f t="shared" si="5"/>
        <v>-</v>
      </c>
      <c r="G83" s="193" t="s">
        <v>229</v>
      </c>
      <c r="H83" s="116" t="str">
        <f t="shared" si="5"/>
        <v>-</v>
      </c>
      <c r="I83" s="193">
        <v>0.48729999999999996</v>
      </c>
      <c r="J83" s="116" t="str">
        <f t="shared" si="5"/>
        <v>-</v>
      </c>
      <c r="K83" s="193">
        <v>0.49520000000000003</v>
      </c>
      <c r="L83" s="116">
        <f t="shared" si="6"/>
        <v>1.6211779191463327E-2</v>
      </c>
      <c r="M83" s="193">
        <v>0.5151</v>
      </c>
      <c r="N83" s="116">
        <v>4.0185783521809348E-2</v>
      </c>
      <c r="O83" s="116">
        <v>7.0448877805486365E-2</v>
      </c>
    </row>
    <row r="84" spans="2:17" x14ac:dyDescent="0.25">
      <c r="B84" s="114" t="s">
        <v>89</v>
      </c>
      <c r="C84" s="193">
        <v>0.47409999999999997</v>
      </c>
      <c r="D84" s="116"/>
      <c r="E84" s="193" t="s">
        <v>229</v>
      </c>
      <c r="F84" s="116" t="str">
        <f t="shared" si="5"/>
        <v>-</v>
      </c>
      <c r="G84" s="193" t="s">
        <v>229</v>
      </c>
      <c r="H84" s="116" t="str">
        <f t="shared" si="5"/>
        <v>-</v>
      </c>
      <c r="I84" s="193">
        <v>0.67430000000000012</v>
      </c>
      <c r="J84" s="116" t="str">
        <f t="shared" si="5"/>
        <v>-</v>
      </c>
      <c r="K84" s="193">
        <v>0.55409999999999993</v>
      </c>
      <c r="L84" s="116">
        <f t="shared" si="6"/>
        <v>-0.17825893519205127</v>
      </c>
      <c r="M84" s="193"/>
      <c r="N84" s="116" t="s">
        <v>229</v>
      </c>
      <c r="O84" s="116" t="s">
        <v>229</v>
      </c>
    </row>
    <row r="85" spans="2:17" x14ac:dyDescent="0.25">
      <c r="B85" s="114" t="s">
        <v>91</v>
      </c>
      <c r="C85" s="193">
        <v>0.54959999999999998</v>
      </c>
      <c r="D85" s="116"/>
      <c r="E85" s="193" t="s">
        <v>229</v>
      </c>
      <c r="F85" s="116" t="str">
        <f t="shared" si="5"/>
        <v>-</v>
      </c>
      <c r="G85" s="193" t="s">
        <v>229</v>
      </c>
      <c r="H85" s="116" t="str">
        <f t="shared" si="5"/>
        <v>-</v>
      </c>
      <c r="I85" s="193">
        <v>0.62860000000000005</v>
      </c>
      <c r="J85" s="116" t="str">
        <f t="shared" si="5"/>
        <v>-</v>
      </c>
      <c r="K85" s="193">
        <v>0.69180000000000008</v>
      </c>
      <c r="L85" s="116">
        <f t="shared" si="6"/>
        <v>0.10054088450524978</v>
      </c>
      <c r="M85" s="193"/>
      <c r="N85" s="116" t="s">
        <v>229</v>
      </c>
      <c r="O85" s="116" t="s">
        <v>229</v>
      </c>
    </row>
    <row r="86" spans="2:17" x14ac:dyDescent="0.25">
      <c r="B86" s="114" t="s">
        <v>93</v>
      </c>
      <c r="C86" s="193">
        <v>0.57409999999999994</v>
      </c>
      <c r="D86" s="116"/>
      <c r="E86" s="193" t="s">
        <v>229</v>
      </c>
      <c r="F86" s="116" t="str">
        <f t="shared" si="5"/>
        <v>-</v>
      </c>
      <c r="G86" s="193" t="s">
        <v>229</v>
      </c>
      <c r="H86" s="116" t="str">
        <f t="shared" si="5"/>
        <v>-</v>
      </c>
      <c r="I86" s="193">
        <v>0.61899999999999999</v>
      </c>
      <c r="J86" s="116" t="str">
        <f t="shared" si="5"/>
        <v>-</v>
      </c>
      <c r="K86" s="193">
        <v>0.6845</v>
      </c>
      <c r="L86" s="116">
        <f t="shared" si="6"/>
        <v>0.10581583198707589</v>
      </c>
      <c r="M86" s="193"/>
      <c r="N86" s="116" t="s">
        <v>229</v>
      </c>
      <c r="O86" s="116" t="s">
        <v>229</v>
      </c>
    </row>
    <row r="87" spans="2:17" ht="15.75" x14ac:dyDescent="0.25">
      <c r="B87" s="117" t="s">
        <v>30</v>
      </c>
      <c r="C87" s="195">
        <v>0.49036666666666662</v>
      </c>
      <c r="D87" s="119"/>
      <c r="E87" s="195" t="s">
        <v>229</v>
      </c>
      <c r="F87" s="119" t="s">
        <v>229</v>
      </c>
      <c r="G87" s="195" t="s">
        <v>229</v>
      </c>
      <c r="H87" s="119" t="s">
        <v>229</v>
      </c>
      <c r="I87" s="195">
        <v>0.58309999999999995</v>
      </c>
      <c r="J87" s="119" t="s">
        <v>229</v>
      </c>
      <c r="K87" s="195">
        <v>0.6139</v>
      </c>
      <c r="L87" s="119">
        <v>5.282112845138065E-2</v>
      </c>
      <c r="M87" s="198">
        <v>0.54255555555555557</v>
      </c>
      <c r="N87" s="199">
        <v>-0.10162045341305426</v>
      </c>
      <c r="O87" s="199">
        <v>0.13981060458471317</v>
      </c>
    </row>
    <row r="88" spans="2:17" ht="6" customHeight="1" x14ac:dyDescent="0.25"/>
    <row r="89" spans="2:17" x14ac:dyDescent="0.25">
      <c r="B89" s="105" t="s">
        <v>55</v>
      </c>
      <c r="C89" s="105"/>
      <c r="D89" s="105"/>
      <c r="E89" s="105"/>
      <c r="F89" s="105"/>
      <c r="G89" s="105"/>
      <c r="H89" s="105"/>
      <c r="I89" s="105"/>
      <c r="J89" s="105"/>
      <c r="K89" s="105"/>
      <c r="L89" s="105"/>
      <c r="M89" s="105"/>
      <c r="N89" s="105"/>
      <c r="O89" s="105"/>
    </row>
    <row r="92" spans="2:17" ht="21.75" customHeight="1" thickBot="1" x14ac:dyDescent="0.3">
      <c r="B92" s="270" t="s">
        <v>313</v>
      </c>
      <c r="C92" s="270"/>
      <c r="D92" s="270"/>
      <c r="E92" s="270"/>
      <c r="F92" s="270"/>
      <c r="G92" s="270"/>
      <c r="H92" s="270"/>
      <c r="I92" s="270"/>
      <c r="J92" s="270"/>
      <c r="K92" s="270"/>
      <c r="L92" s="270"/>
      <c r="M92" s="270"/>
      <c r="N92" s="270"/>
      <c r="O92" s="270"/>
      <c r="Q92" s="1" t="s">
        <v>159</v>
      </c>
    </row>
    <row r="93" spans="2:17" ht="10.5" customHeight="1" thickBot="1" x14ac:dyDescent="0.3">
      <c r="B93" s="106"/>
      <c r="M93" s="4"/>
      <c r="N93" s="4"/>
      <c r="Q93" s="1" t="s">
        <v>160</v>
      </c>
    </row>
    <row r="94" spans="2:17" ht="22.5" thickTop="1" thickBot="1" x14ac:dyDescent="0.3">
      <c r="B94" s="109"/>
      <c r="C94" s="292" t="s">
        <v>32</v>
      </c>
      <c r="D94" s="293"/>
      <c r="E94" s="293"/>
      <c r="F94" s="293"/>
      <c r="G94" s="293"/>
      <c r="H94" s="293"/>
      <c r="I94" s="293"/>
      <c r="J94" s="293"/>
      <c r="K94" s="293"/>
      <c r="L94" s="293"/>
      <c r="M94" s="293"/>
      <c r="N94" s="293"/>
      <c r="O94" s="294"/>
    </row>
    <row r="95" spans="2:17" ht="22.5" thickTop="1" thickBot="1" x14ac:dyDescent="0.3">
      <c r="B95" s="109"/>
      <c r="M95" s="297">
        <v>2024</v>
      </c>
      <c r="N95" s="298"/>
      <c r="O95" s="299"/>
    </row>
    <row r="96" spans="2:17" ht="16.5" thickTop="1" thickBot="1" x14ac:dyDescent="0.3">
      <c r="B96" s="85"/>
      <c r="M96" s="113" t="s">
        <v>69</v>
      </c>
      <c r="N96" s="112" t="s">
        <v>327</v>
      </c>
      <c r="O96" s="112" t="s">
        <v>327</v>
      </c>
    </row>
    <row r="97" spans="2:15" x14ac:dyDescent="0.25">
      <c r="B97" s="114" t="s">
        <v>71</v>
      </c>
      <c r="M97" s="193"/>
      <c r="N97" s="116" t="s">
        <v>229</v>
      </c>
      <c r="O97" s="116" t="s">
        <v>229</v>
      </c>
    </row>
    <row r="98" spans="2:15" x14ac:dyDescent="0.25">
      <c r="B98" s="114" t="s">
        <v>73</v>
      </c>
      <c r="M98" s="193"/>
      <c r="N98" s="116" t="s">
        <v>229</v>
      </c>
      <c r="O98" s="116" t="s">
        <v>229</v>
      </c>
    </row>
    <row r="99" spans="2:15" x14ac:dyDescent="0.25">
      <c r="B99" s="114" t="s">
        <v>75</v>
      </c>
      <c r="M99" s="193"/>
      <c r="N99" s="116" t="s">
        <v>229</v>
      </c>
      <c r="O99" s="116" t="s">
        <v>229</v>
      </c>
    </row>
    <row r="100" spans="2:15" x14ac:dyDescent="0.25">
      <c r="B100" s="114" t="s">
        <v>77</v>
      </c>
      <c r="M100" s="193"/>
      <c r="N100" s="116" t="s">
        <v>229</v>
      </c>
      <c r="O100" s="116" t="s">
        <v>229</v>
      </c>
    </row>
    <row r="101" spans="2:15" x14ac:dyDescent="0.25">
      <c r="B101" s="114" t="s">
        <v>79</v>
      </c>
      <c r="M101" s="193"/>
      <c r="N101" s="116" t="s">
        <v>229</v>
      </c>
      <c r="O101" s="116" t="s">
        <v>229</v>
      </c>
    </row>
    <row r="102" spans="2:15" x14ac:dyDescent="0.25">
      <c r="B102" s="114" t="s">
        <v>81</v>
      </c>
      <c r="M102" s="193"/>
      <c r="N102" s="116" t="s">
        <v>229</v>
      </c>
      <c r="O102" s="116" t="s">
        <v>229</v>
      </c>
    </row>
    <row r="103" spans="2:15" x14ac:dyDescent="0.25">
      <c r="B103" s="114" t="s">
        <v>83</v>
      </c>
      <c r="M103" s="193"/>
      <c r="N103" s="116" t="s">
        <v>229</v>
      </c>
      <c r="O103" s="116" t="s">
        <v>229</v>
      </c>
    </row>
    <row r="104" spans="2:15" x14ac:dyDescent="0.25">
      <c r="B104" s="114" t="s">
        <v>85</v>
      </c>
      <c r="M104" s="193"/>
      <c r="N104" s="116" t="s">
        <v>229</v>
      </c>
      <c r="O104" s="116" t="s">
        <v>229</v>
      </c>
    </row>
    <row r="105" spans="2:15" x14ac:dyDescent="0.25">
      <c r="B105" s="114" t="s">
        <v>87</v>
      </c>
      <c r="M105" s="193"/>
      <c r="N105" s="116" t="s">
        <v>229</v>
      </c>
      <c r="O105" s="116" t="s">
        <v>229</v>
      </c>
    </row>
    <row r="106" spans="2:15" x14ac:dyDescent="0.25">
      <c r="B106" s="114" t="s">
        <v>89</v>
      </c>
      <c r="M106" s="193"/>
      <c r="N106" s="116" t="s">
        <v>229</v>
      </c>
      <c r="O106" s="116" t="s">
        <v>229</v>
      </c>
    </row>
    <row r="107" spans="2:15" x14ac:dyDescent="0.25">
      <c r="B107" s="114" t="s">
        <v>91</v>
      </c>
      <c r="M107" s="193"/>
      <c r="N107" s="116" t="s">
        <v>229</v>
      </c>
      <c r="O107" s="116" t="s">
        <v>229</v>
      </c>
    </row>
    <row r="108" spans="2:15" x14ac:dyDescent="0.25">
      <c r="B108" s="114" t="s">
        <v>93</v>
      </c>
      <c r="M108" s="193"/>
      <c r="N108" s="116" t="s">
        <v>229</v>
      </c>
      <c r="O108" s="116" t="s">
        <v>229</v>
      </c>
    </row>
    <row r="109" spans="2:15" ht="15.75" x14ac:dyDescent="0.25">
      <c r="B109" s="117" t="s">
        <v>30</v>
      </c>
      <c r="M109" s="201"/>
      <c r="N109" s="119" t="s">
        <v>229</v>
      </c>
      <c r="O109" s="119" t="s">
        <v>229</v>
      </c>
    </row>
    <row r="110" spans="2:15" ht="6" customHeight="1" x14ac:dyDescent="0.25"/>
    <row r="111" spans="2:15" x14ac:dyDescent="0.25">
      <c r="B111" s="105" t="s">
        <v>55</v>
      </c>
      <c r="M111" s="105"/>
      <c r="N111" s="105"/>
      <c r="O111" s="105"/>
    </row>
    <row r="112" spans="2:15" x14ac:dyDescent="0.25">
      <c r="O112" s="197"/>
    </row>
    <row r="114" spans="15:15" x14ac:dyDescent="0.25">
      <c r="O114" s="197"/>
    </row>
  </sheetData>
  <mergeCells count="36">
    <mergeCell ref="B4:O4"/>
    <mergeCell ref="C6:O6"/>
    <mergeCell ref="C7:D7"/>
    <mergeCell ref="E7:F7"/>
    <mergeCell ref="G7:H7"/>
    <mergeCell ref="I7:J7"/>
    <mergeCell ref="K7:L7"/>
    <mergeCell ref="M7:O7"/>
    <mergeCell ref="P21:P24"/>
    <mergeCell ref="B26:O26"/>
    <mergeCell ref="C28:O28"/>
    <mergeCell ref="C29:D29"/>
    <mergeCell ref="E29:F29"/>
    <mergeCell ref="G29:H29"/>
    <mergeCell ref="I29:J29"/>
    <mergeCell ref="K29:L29"/>
    <mergeCell ref="M29:O29"/>
    <mergeCell ref="B48:O48"/>
    <mergeCell ref="C50:O50"/>
    <mergeCell ref="C51:D51"/>
    <mergeCell ref="E51:F51"/>
    <mergeCell ref="G51:H51"/>
    <mergeCell ref="I51:J51"/>
    <mergeCell ref="K51:L51"/>
    <mergeCell ref="M51:O51"/>
    <mergeCell ref="B70:O70"/>
    <mergeCell ref="C72:O72"/>
    <mergeCell ref="C73:D73"/>
    <mergeCell ref="E73:F73"/>
    <mergeCell ref="G73:H73"/>
    <mergeCell ref="I73:J73"/>
    <mergeCell ref="K73:L73"/>
    <mergeCell ref="M73:O73"/>
    <mergeCell ref="B92:O92"/>
    <mergeCell ref="C94:O94"/>
    <mergeCell ref="M95:O95"/>
  </mergeCells>
  <pageMargins left="0.7" right="0.7" top="0.75" bottom="0.75" header="0.3" footer="0.3"/>
  <pageSetup paperSize="9"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34AD66-FC1F-4796-BED4-474986147EBA}">
  <sheetPr>
    <tabColor theme="2" tint="-0.499984740745262"/>
  </sheetPr>
  <dimension ref="B4:B25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spans="2:2" ht="15" customHeight="1" x14ac:dyDescent="0.25"/>
    <row r="18" spans="2:2" ht="15" customHeight="1" x14ac:dyDescent="0.25"/>
    <row r="19" spans="2:2" ht="15" customHeight="1" x14ac:dyDescent="0.25"/>
    <row r="20" spans="2:2" ht="15" customHeight="1" x14ac:dyDescent="0.25"/>
    <row r="21" spans="2:2" ht="15" customHeight="1" x14ac:dyDescent="0.25"/>
    <row r="22" spans="2:2" ht="15" customHeight="1" x14ac:dyDescent="0.25"/>
    <row r="23" spans="2:2" ht="15" customHeight="1" x14ac:dyDescent="0.25"/>
    <row r="24" spans="2:2" ht="15" customHeight="1" x14ac:dyDescent="0.25"/>
    <row r="25" spans="2:2" x14ac:dyDescent="0.25">
      <c r="B25" t="s">
        <v>161</v>
      </c>
    </row>
  </sheetData>
  <pageMargins left="0.7" right="0.7" top="0.75" bottom="0.75" header="0.3" footer="0.3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6FF5C9-68F7-4A73-82A7-A823CD05EB41}">
  <sheetPr>
    <tabColor theme="2" tint="-9.9978637043366805E-2"/>
  </sheetPr>
  <dimension ref="B1:BB44"/>
  <sheetViews>
    <sheetView showGridLines="0" workbookViewId="0"/>
  </sheetViews>
  <sheetFormatPr baseColWidth="10" defaultRowHeight="15" x14ac:dyDescent="0.25"/>
  <cols>
    <col min="1" max="1" width="15.5703125" customWidth="1"/>
    <col min="2" max="2" width="24" customWidth="1"/>
    <col min="3" max="3" width="13.42578125" customWidth="1"/>
    <col min="4" max="4" width="16" customWidth="1"/>
    <col min="5" max="5" width="18.42578125" customWidth="1"/>
    <col min="6" max="6" width="15.42578125" customWidth="1"/>
    <col min="7" max="7" width="16.42578125" customWidth="1"/>
    <col min="8" max="8" width="16" customWidth="1"/>
    <col min="9" max="9" width="10.85546875" customWidth="1"/>
    <col min="10" max="10" width="11" hidden="1" customWidth="1"/>
    <col min="11" max="11" width="13.85546875" hidden="1" customWidth="1"/>
    <col min="12" max="12" width="11" hidden="1" customWidth="1"/>
    <col min="13" max="13" width="0" hidden="1" customWidth="1"/>
    <col min="14" max="14" width="11.42578125" hidden="1" customWidth="1"/>
    <col min="15" max="16" width="0" hidden="1" customWidth="1"/>
    <col min="18" max="18" width="25" customWidth="1"/>
    <col min="19" max="19" width="11.28515625" customWidth="1"/>
    <col min="20" max="20" width="14.85546875" customWidth="1"/>
    <col min="21" max="21" width="14.42578125" customWidth="1"/>
    <col min="22" max="23" width="14.28515625" customWidth="1"/>
    <col min="24" max="24" width="14.42578125" customWidth="1"/>
    <col min="25" max="25" width="15" customWidth="1"/>
    <col min="26" max="26" width="11.42578125" hidden="1" customWidth="1"/>
    <col min="27" max="27" width="14.85546875" hidden="1" customWidth="1"/>
    <col min="28" max="28" width="11.42578125" hidden="1" customWidth="1"/>
    <col min="29" max="29" width="12.42578125" hidden="1" customWidth="1"/>
    <col min="30" max="30" width="10.85546875" hidden="1" customWidth="1"/>
    <col min="31" max="31" width="9.85546875" hidden="1" customWidth="1"/>
    <col min="32" max="32" width="9.42578125" hidden="1" customWidth="1"/>
    <col min="33" max="33" width="14.5703125" customWidth="1"/>
    <col min="34" max="34" width="28.42578125" customWidth="1"/>
    <col min="35" max="39" width="17.7109375" customWidth="1"/>
    <col min="40" max="40" width="9.28515625" customWidth="1"/>
    <col min="41" max="41" width="14.140625" customWidth="1"/>
    <col min="42" max="42" width="9.42578125" customWidth="1"/>
    <col min="43" max="43" width="13.140625" customWidth="1"/>
    <col min="44" max="44" width="7.85546875" customWidth="1"/>
    <col min="45" max="49" width="14.42578125" hidden="1" customWidth="1"/>
    <col min="50" max="50" width="9.85546875" hidden="1" customWidth="1"/>
    <col min="51" max="51" width="13" hidden="1" customWidth="1"/>
    <col min="52" max="52" width="9.5703125" hidden="1" customWidth="1"/>
    <col min="53" max="53" width="11.85546875" hidden="1" customWidth="1"/>
    <col min="54" max="54" width="9" hidden="1" customWidth="1"/>
  </cols>
  <sheetData>
    <row r="1" spans="2:54" ht="42.75" customHeight="1" x14ac:dyDescent="0.25"/>
    <row r="3" spans="2:54" x14ac:dyDescent="0.25">
      <c r="O3" s="202"/>
    </row>
    <row r="5" spans="2:54" ht="50.25" customHeight="1" thickBot="1" x14ac:dyDescent="0.3">
      <c r="B5" s="270" t="s">
        <v>162</v>
      </c>
      <c r="C5" s="270"/>
      <c r="D5" s="270"/>
      <c r="E5" s="270"/>
      <c r="F5" s="270"/>
      <c r="G5" s="270"/>
      <c r="H5" s="270"/>
      <c r="I5" s="270"/>
      <c r="J5" s="270"/>
      <c r="K5" s="270"/>
      <c r="L5" s="270"/>
      <c r="M5" s="270"/>
      <c r="N5" s="270"/>
      <c r="O5" s="270"/>
      <c r="P5" s="270"/>
      <c r="R5" s="270" t="s">
        <v>163</v>
      </c>
      <c r="S5" s="270"/>
      <c r="T5" s="270"/>
      <c r="U5" s="270"/>
      <c r="V5" s="270"/>
      <c r="W5" s="270"/>
      <c r="X5" s="270"/>
      <c r="Y5" s="270"/>
      <c r="Z5" s="270"/>
      <c r="AA5" s="270"/>
      <c r="AB5" s="270"/>
      <c r="AC5" s="270"/>
      <c r="AD5" s="270"/>
      <c r="AE5" s="270"/>
      <c r="AF5" s="270"/>
      <c r="AH5" s="270" t="s">
        <v>164</v>
      </c>
      <c r="AI5" s="270"/>
      <c r="AJ5" s="270"/>
      <c r="AK5" s="270"/>
      <c r="AL5" s="270"/>
      <c r="AM5" s="270"/>
      <c r="AN5" s="270"/>
      <c r="AO5" s="270"/>
      <c r="AP5" s="270"/>
      <c r="AQ5" s="270"/>
      <c r="AR5" s="270"/>
      <c r="AS5" s="270"/>
      <c r="AT5" s="270"/>
      <c r="AU5" s="270"/>
      <c r="AV5" s="270"/>
      <c r="AW5" s="270"/>
      <c r="AX5" s="270"/>
      <c r="AY5" s="270"/>
      <c r="AZ5" s="270"/>
      <c r="BA5" s="270"/>
      <c r="BB5" s="270"/>
    </row>
    <row r="6" spans="2:54" ht="6" customHeight="1" thickBot="1" x14ac:dyDescent="0.3">
      <c r="B6" s="83"/>
      <c r="C6" s="83"/>
      <c r="D6" s="83"/>
      <c r="E6" s="83"/>
      <c r="F6" s="83"/>
      <c r="G6" s="83"/>
      <c r="H6" s="83"/>
      <c r="I6" s="84"/>
      <c r="J6" s="83"/>
      <c r="K6" s="83"/>
      <c r="L6" s="83"/>
      <c r="M6" s="83"/>
      <c r="N6" s="84"/>
      <c r="O6" s="84"/>
      <c r="P6" s="84"/>
      <c r="R6" s="83"/>
      <c r="S6" s="83"/>
      <c r="T6" s="83"/>
      <c r="U6" s="83"/>
      <c r="V6" s="83"/>
      <c r="W6" s="83"/>
      <c r="X6" s="83"/>
      <c r="Y6" s="84"/>
      <c r="Z6" s="83"/>
      <c r="AA6" s="83"/>
      <c r="AB6" s="83"/>
      <c r="AC6" s="83"/>
      <c r="AD6" s="84"/>
      <c r="AE6" s="84"/>
      <c r="AF6" s="84"/>
      <c r="AH6" s="84"/>
      <c r="AI6" s="84"/>
      <c r="AJ6" s="84"/>
      <c r="AK6" s="84"/>
      <c r="AL6" s="84"/>
      <c r="AM6" s="84"/>
      <c r="AN6" s="84"/>
      <c r="AO6" s="84"/>
      <c r="AP6" s="84"/>
      <c r="AQ6" s="84"/>
      <c r="AR6" s="84"/>
      <c r="AS6" s="84"/>
      <c r="AT6" s="84"/>
      <c r="AU6" s="84"/>
      <c r="AV6" s="84"/>
      <c r="AW6" s="84"/>
      <c r="AX6" s="84"/>
      <c r="AY6" s="84"/>
      <c r="AZ6" s="84"/>
      <c r="BA6" s="84"/>
      <c r="BB6" s="84"/>
    </row>
    <row r="7" spans="2:54" ht="51.75" customHeight="1" thickBot="1" x14ac:dyDescent="0.3">
      <c r="B7" s="85"/>
      <c r="C7" s="203" t="s">
        <v>262</v>
      </c>
      <c r="D7" s="203" t="s">
        <v>269</v>
      </c>
      <c r="E7" s="203" t="s">
        <v>264</v>
      </c>
      <c r="F7" s="90" t="s">
        <v>265</v>
      </c>
      <c r="G7" s="90" t="s">
        <v>266</v>
      </c>
      <c r="H7" s="14" t="str">
        <f>CONCATENATE("var. ",RIGHT(G7,2),"/",RIGHT(F7,2))</f>
        <v>var. 24/23</v>
      </c>
      <c r="I7" s="204" t="str">
        <f>CONCATENATE("var. ",RIGHT(G7,2),"/",RIGHT(C7,2))</f>
        <v>var. 24/19</v>
      </c>
      <c r="J7" s="203" t="s">
        <v>235</v>
      </c>
      <c r="K7" s="205" t="s">
        <v>225</v>
      </c>
      <c r="L7" s="205" t="s">
        <v>226</v>
      </c>
      <c r="M7" s="13" t="s">
        <v>227</v>
      </c>
      <c r="N7" s="13" t="s">
        <v>228</v>
      </c>
      <c r="O7" s="14" t="str">
        <f>CONCATENATE("var. ",RIGHT(N7,2),"/",RIGHT(M7,2))</f>
        <v>var. 24/23</v>
      </c>
      <c r="P7" s="14" t="str">
        <f>CONCATENATE("var. ",RIGHT(N7,2),"/",RIGHT(J7,2))</f>
        <v>var. 24/20</v>
      </c>
      <c r="R7" s="85"/>
      <c r="S7" s="203" t="s">
        <v>262</v>
      </c>
      <c r="T7" s="205" t="s">
        <v>269</v>
      </c>
      <c r="U7" s="205" t="s">
        <v>264</v>
      </c>
      <c r="V7" s="90" t="s">
        <v>265</v>
      </c>
      <c r="W7" s="90" t="s">
        <v>266</v>
      </c>
      <c r="X7" s="14" t="str">
        <f>CONCATENATE("var. ",RIGHT(W7,2),"/",RIGHT(V7,2))</f>
        <v>var. 24/23</v>
      </c>
      <c r="Y7" s="204" t="str">
        <f>CONCATENATE("var. ",RIGHT(W7,2),"/",RIGHT(S7,2))</f>
        <v>var. 24/19</v>
      </c>
      <c r="Z7" s="203" t="s">
        <v>235</v>
      </c>
      <c r="AA7" s="203" t="s">
        <v>225</v>
      </c>
      <c r="AB7" s="203" t="s">
        <v>226</v>
      </c>
      <c r="AC7" s="13" t="s">
        <v>227</v>
      </c>
      <c r="AD7" s="13" t="s">
        <v>228</v>
      </c>
      <c r="AE7" s="14" t="str">
        <f>CONCATENATE("var. ",RIGHT(AD7,2),"/",RIGHT(AC7,2))</f>
        <v>var. 24/23</v>
      </c>
      <c r="AF7" s="14" t="str">
        <f>CONCATENATE("var. ",RIGHT(AD7,2),"/",RIGHT(Z7,2))</f>
        <v>var. 24/20</v>
      </c>
      <c r="AH7" s="85"/>
      <c r="AI7" s="203" t="s">
        <v>262</v>
      </c>
      <c r="AJ7" s="205" t="s">
        <v>269</v>
      </c>
      <c r="AK7" s="205" t="s">
        <v>264</v>
      </c>
      <c r="AL7" s="90" t="s">
        <v>265</v>
      </c>
      <c r="AM7" s="90" t="s">
        <v>266</v>
      </c>
      <c r="AN7" s="14" t="str">
        <f>CONCATENATE("var. ",RIGHT(AM7,2),"/",RIGHT(AL7,2))</f>
        <v>var. 24/23</v>
      </c>
      <c r="AO7" s="204" t="str">
        <f>CONCATENATE("dif. ",RIGHT(AM7,2),"/",RIGHT(AL7,2))</f>
        <v>dif. 24/23</v>
      </c>
      <c r="AP7" s="204" t="str">
        <f>CONCATENATE("var. ",RIGHT(AM7,2),"/",RIGHT(AI7,2))</f>
        <v>var. 24/19</v>
      </c>
      <c r="AQ7" s="204" t="str">
        <f>CONCATENATE("dif. ",RIGHT(AM7,2),"/",RIGHT(AI7,2))</f>
        <v>dif. 24/19</v>
      </c>
      <c r="AR7" s="206" t="str">
        <f>CONCATENATE("cuota ",RIGHT(AM7,2))</f>
        <v>cuota 24</v>
      </c>
      <c r="AS7" s="203" t="s">
        <v>235</v>
      </c>
      <c r="AT7" s="205" t="s">
        <v>225</v>
      </c>
      <c r="AU7" s="205" t="s">
        <v>226</v>
      </c>
      <c r="AV7" s="13" t="s">
        <v>227</v>
      </c>
      <c r="AW7" s="13" t="s">
        <v>228</v>
      </c>
      <c r="AX7" s="14" t="str">
        <f>CONCATENATE("var. ",RIGHT(AW7,2),"/",RIGHT(AV7,2))</f>
        <v>var. 24/23</v>
      </c>
      <c r="AY7" s="204" t="str">
        <f>CONCATENATE("dif. ",RIGHT(AW7,2),"/",RIGHT(AV7,2))</f>
        <v>dif. 24/23</v>
      </c>
      <c r="AZ7" s="204" t="str">
        <f>CONCATENATE("var. ",RIGHT(AW7,2),"/",RIGHT(AS7,2))</f>
        <v>var. 24/20</v>
      </c>
      <c r="BA7" s="204" t="str">
        <f>CONCATENATE("dif. ",RIGHT(AW7,2),"/",RIGHT(AS7,2))</f>
        <v>dif. 24/20</v>
      </c>
      <c r="BB7" s="206" t="str">
        <f>CONCATENATE("cuota ",RIGHT(AW7,2))</f>
        <v>cuota 24</v>
      </c>
    </row>
    <row r="8" spans="2:54" ht="15.75" x14ac:dyDescent="0.25">
      <c r="B8" s="207" t="s">
        <v>43</v>
      </c>
      <c r="C8" s="208">
        <v>86.837280333461948</v>
      </c>
      <c r="D8" s="209">
        <v>91.069380211097865</v>
      </c>
      <c r="E8" s="209">
        <v>103.29823765091633</v>
      </c>
      <c r="F8" s="210">
        <v>109.9946319260003</v>
      </c>
      <c r="G8" s="209">
        <v>121.66499039316359</v>
      </c>
      <c r="H8" s="132">
        <f>G8/F8-1</f>
        <v>0.1060993456027437</v>
      </c>
      <c r="I8" s="132">
        <f t="shared" ref="I8:I18" si="0">G8/C8-1</f>
        <v>0.40106864155533795</v>
      </c>
      <c r="J8" s="208">
        <v>83.06</v>
      </c>
      <c r="K8" s="211">
        <v>90.79</v>
      </c>
      <c r="L8" s="211">
        <v>95.91</v>
      </c>
      <c r="M8" s="211">
        <v>2490.0100000000002</v>
      </c>
      <c r="N8" s="211">
        <v>114.99</v>
      </c>
      <c r="O8" s="132">
        <f t="shared" ref="O8:O18" si="1">N8/M8-1</f>
        <v>-0.95381946257243944</v>
      </c>
      <c r="P8" s="212">
        <f t="shared" ref="P8:P18" si="2">N8/J8-1</f>
        <v>0.38442090055381639</v>
      </c>
      <c r="R8" s="207" t="s">
        <v>43</v>
      </c>
      <c r="S8" s="208">
        <v>69.440209401728779</v>
      </c>
      <c r="T8" s="210">
        <v>39.070215757544972</v>
      </c>
      <c r="U8" s="210">
        <v>76.933465226428424</v>
      </c>
      <c r="V8" s="210">
        <v>89.062594194965328</v>
      </c>
      <c r="W8" s="210">
        <v>100.79709840889498</v>
      </c>
      <c r="X8" s="132">
        <f t="shared" ref="X8:X18" si="3">W8/V8-1</f>
        <v>0.13175569743950932</v>
      </c>
      <c r="Y8" s="132">
        <f t="shared" ref="Y8:Y18" si="4">W8/S8-1</f>
        <v>0.45156674032704669</v>
      </c>
      <c r="Z8" s="208">
        <v>25.3</v>
      </c>
      <c r="AA8" s="211">
        <v>58.86</v>
      </c>
      <c r="AB8" s="211">
        <v>76.260000000000005</v>
      </c>
      <c r="AC8" s="211">
        <v>2028.6000000000001</v>
      </c>
      <c r="AD8" s="211">
        <v>96.18</v>
      </c>
      <c r="AE8" s="132">
        <f t="shared" ref="AE8:AE18" si="5">AD8/AC8-1</f>
        <v>-0.95258799171842645</v>
      </c>
      <c r="AF8" s="132">
        <f t="shared" ref="AF8:AF18" si="6">AD8/Z8-1</f>
        <v>2.8015810276679844</v>
      </c>
      <c r="AH8" s="63" t="s">
        <v>43</v>
      </c>
      <c r="AI8" s="213">
        <v>1045543907.38</v>
      </c>
      <c r="AJ8" s="131">
        <v>306312245.67000002</v>
      </c>
      <c r="AK8" s="131">
        <v>1085607020.7099998</v>
      </c>
      <c r="AL8" s="131">
        <v>1282076798.0699999</v>
      </c>
      <c r="AM8" s="131">
        <v>1472254155.6700001</v>
      </c>
      <c r="AN8" s="132">
        <f t="shared" ref="AN8:AN18" si="7">AM8/AL8-1</f>
        <v>0.14833538668376756</v>
      </c>
      <c r="AO8" s="131">
        <f t="shared" ref="AO8:AO18" si="8">AM8-AL8</f>
        <v>190177357.60000014</v>
      </c>
      <c r="AP8" s="132">
        <f t="shared" ref="AP8:AP18" si="9">AM8/AI8-1</f>
        <v>0.40812274384466707</v>
      </c>
      <c r="AQ8" s="131">
        <f t="shared" ref="AQ8:AQ18" si="10">AM8-AI8</f>
        <v>426710248.29000008</v>
      </c>
      <c r="AR8" s="133">
        <f t="shared" ref="AR8:AR18" si="11">AM8/AM$8</f>
        <v>1</v>
      </c>
      <c r="AS8" s="214">
        <v>20716474.809999999</v>
      </c>
      <c r="AT8" s="215">
        <v>79488939.680000007</v>
      </c>
      <c r="AU8" s="215">
        <v>119657578.95999999</v>
      </c>
      <c r="AV8" s="215">
        <v>409596343.76000005</v>
      </c>
      <c r="AW8" s="215">
        <v>154898697.19999999</v>
      </c>
      <c r="AX8" s="132">
        <f t="shared" ref="AX8:AX18" si="12">AW8/AV8-1</f>
        <v>-0.62182597681887086</v>
      </c>
      <c r="AY8" s="131">
        <f t="shared" ref="AY8:AY18" si="13">AW8-AV8</f>
        <v>-254697646.56000006</v>
      </c>
      <c r="AZ8" s="132">
        <f t="shared" ref="AZ8:AZ18" si="14">AW8/AS8-1</f>
        <v>6.4770779594812735</v>
      </c>
      <c r="BA8" s="131">
        <f t="shared" ref="BA8:BA18" si="15">AW8-AS8</f>
        <v>134182222.38999999</v>
      </c>
      <c r="BB8" s="133">
        <f t="shared" ref="BB8:BB18" si="16">AW8/AW$8</f>
        <v>1</v>
      </c>
    </row>
    <row r="9" spans="2:54" x14ac:dyDescent="0.25">
      <c r="B9" s="15" t="s">
        <v>44</v>
      </c>
      <c r="C9" s="216">
        <v>105.83803653049004</v>
      </c>
      <c r="D9" s="217">
        <v>116.11456663753094</v>
      </c>
      <c r="E9" s="217">
        <v>127.56544838319554</v>
      </c>
      <c r="F9" s="217">
        <v>133.71815371019682</v>
      </c>
      <c r="G9" s="217">
        <v>146.60236764592418</v>
      </c>
      <c r="H9" s="74">
        <f>G9/F9-1</f>
        <v>9.6353513552474901E-2</v>
      </c>
      <c r="I9" s="74">
        <f t="shared" si="0"/>
        <v>0.385157665918062</v>
      </c>
      <c r="J9" s="216">
        <v>96.03</v>
      </c>
      <c r="K9" s="217">
        <v>110.59</v>
      </c>
      <c r="L9" s="217">
        <v>113.51</v>
      </c>
      <c r="M9" s="217">
        <v>121.09</v>
      </c>
      <c r="N9" s="217">
        <v>133.80000000000001</v>
      </c>
      <c r="O9" s="74">
        <f t="shared" si="1"/>
        <v>0.10496325047485344</v>
      </c>
      <c r="P9" s="74">
        <f t="shared" si="2"/>
        <v>0.39331458919087803</v>
      </c>
      <c r="R9" s="15" t="s">
        <v>44</v>
      </c>
      <c r="S9" s="216">
        <v>88.85877070875992</v>
      </c>
      <c r="T9" s="217">
        <v>54.260030644457672</v>
      </c>
      <c r="U9" s="217">
        <v>103.08931734441472</v>
      </c>
      <c r="V9" s="217">
        <v>114.07144773444791</v>
      </c>
      <c r="W9" s="217">
        <v>125.80164989616743</v>
      </c>
      <c r="X9" s="74">
        <f t="shared" si="3"/>
        <v>0.10283206178838711</v>
      </c>
      <c r="Y9" s="74">
        <f t="shared" si="4"/>
        <v>0.41574825864393361</v>
      </c>
      <c r="Z9" s="216">
        <v>28.74</v>
      </c>
      <c r="AA9" s="217">
        <v>81.239999999999995</v>
      </c>
      <c r="AB9" s="217">
        <v>96.8</v>
      </c>
      <c r="AC9" s="217">
        <v>104.87</v>
      </c>
      <c r="AD9" s="217">
        <v>116.86</v>
      </c>
      <c r="AE9" s="74">
        <f t="shared" si="5"/>
        <v>0.114332030132545</v>
      </c>
      <c r="AF9" s="74">
        <f t="shared" si="6"/>
        <v>3.0661099512874044</v>
      </c>
      <c r="AH9" s="15" t="s">
        <v>44</v>
      </c>
      <c r="AI9" s="218">
        <v>468431127.44</v>
      </c>
      <c r="AJ9" s="52">
        <v>159592697.41000003</v>
      </c>
      <c r="AK9" s="52">
        <v>529239752.11999995</v>
      </c>
      <c r="AL9" s="52">
        <v>610441225.04999995</v>
      </c>
      <c r="AM9" s="52">
        <v>682827011.81999993</v>
      </c>
      <c r="AN9" s="74">
        <f t="shared" si="7"/>
        <v>0.11857945335207498</v>
      </c>
      <c r="AO9" s="52">
        <f t="shared" si="8"/>
        <v>72385786.769999981</v>
      </c>
      <c r="AP9" s="74">
        <f t="shared" si="9"/>
        <v>0.45768923502518799</v>
      </c>
      <c r="AQ9" s="52">
        <f t="shared" si="10"/>
        <v>214395884.37999994</v>
      </c>
      <c r="AR9" s="98">
        <f t="shared" si="11"/>
        <v>0.46379696684181265</v>
      </c>
      <c r="AS9" s="219">
        <v>8536263.7100000009</v>
      </c>
      <c r="AT9" s="220">
        <v>40620231.170000002</v>
      </c>
      <c r="AU9" s="220">
        <v>54807801.740000002</v>
      </c>
      <c r="AV9" s="220">
        <v>62550119.329999998</v>
      </c>
      <c r="AW9" s="220">
        <v>69335684.719999999</v>
      </c>
      <c r="AX9" s="74">
        <f t="shared" si="12"/>
        <v>0.10848205347460538</v>
      </c>
      <c r="AY9" s="52">
        <f t="shared" si="13"/>
        <v>6785565.3900000006</v>
      </c>
      <c r="AZ9" s="74">
        <f t="shared" si="14"/>
        <v>7.122486262786742</v>
      </c>
      <c r="BA9" s="52">
        <f t="shared" si="15"/>
        <v>60799421.009999998</v>
      </c>
      <c r="BB9" s="98">
        <f t="shared" si="16"/>
        <v>0.44761954731275821</v>
      </c>
    </row>
    <row r="10" spans="2:54" x14ac:dyDescent="0.25">
      <c r="B10" s="19" t="s">
        <v>45</v>
      </c>
      <c r="C10" s="216">
        <v>83.94854979315879</v>
      </c>
      <c r="D10" s="217">
        <v>77.447569223898185</v>
      </c>
      <c r="E10" s="217">
        <v>91.156906794478274</v>
      </c>
      <c r="F10" s="217">
        <v>98.386754095227644</v>
      </c>
      <c r="G10" s="217">
        <v>112.4581434025299</v>
      </c>
      <c r="H10" s="74">
        <f>G10/F10-1</f>
        <v>0.14302117634333866</v>
      </c>
      <c r="I10" s="74">
        <f t="shared" si="0"/>
        <v>0.33960793461728667</v>
      </c>
      <c r="J10" s="216">
        <v>75.73</v>
      </c>
      <c r="K10" s="217">
        <v>83.36</v>
      </c>
      <c r="L10" s="217">
        <v>92.01</v>
      </c>
      <c r="M10" s="217">
        <v>95.26</v>
      </c>
      <c r="N10" s="217">
        <v>109.97</v>
      </c>
      <c r="O10" s="74">
        <f t="shared" si="1"/>
        <v>0.15441948351879065</v>
      </c>
      <c r="P10" s="74">
        <f t="shared" si="2"/>
        <v>0.45213257625775771</v>
      </c>
      <c r="R10" s="19" t="s">
        <v>45</v>
      </c>
      <c r="S10" s="216">
        <v>67.350854140699994</v>
      </c>
      <c r="T10" s="217">
        <v>28.096422265804478</v>
      </c>
      <c r="U10" s="217">
        <v>67.596043762907556</v>
      </c>
      <c r="V10" s="217">
        <v>80.07520949776405</v>
      </c>
      <c r="W10" s="217">
        <v>93.934784079687773</v>
      </c>
      <c r="X10" s="74">
        <f t="shared" si="3"/>
        <v>0.17308196467860282</v>
      </c>
      <c r="Y10" s="74">
        <f t="shared" si="4"/>
        <v>0.39470813367047053</v>
      </c>
      <c r="Z10" s="216">
        <v>19.190000000000001</v>
      </c>
      <c r="AA10" s="217">
        <v>45.21</v>
      </c>
      <c r="AB10" s="217">
        <v>73.95</v>
      </c>
      <c r="AC10" s="217">
        <v>79.42</v>
      </c>
      <c r="AD10" s="217">
        <v>92.31</v>
      </c>
      <c r="AE10" s="74">
        <f t="shared" si="5"/>
        <v>0.16230168723243521</v>
      </c>
      <c r="AF10" s="74">
        <f t="shared" si="6"/>
        <v>3.810317873892652</v>
      </c>
      <c r="AH10" s="19" t="s">
        <v>45</v>
      </c>
      <c r="AI10" s="218">
        <v>289056270.31999999</v>
      </c>
      <c r="AJ10" s="52">
        <v>54643721.259999998</v>
      </c>
      <c r="AK10" s="52">
        <v>268240407.28</v>
      </c>
      <c r="AL10" s="52">
        <v>313022583.24000001</v>
      </c>
      <c r="AM10" s="52">
        <v>371808488.12</v>
      </c>
      <c r="AN10" s="74">
        <f t="shared" si="7"/>
        <v>0.18780084258306617</v>
      </c>
      <c r="AO10" s="52">
        <f t="shared" si="8"/>
        <v>58785904.879999995</v>
      </c>
      <c r="AP10" s="74">
        <f t="shared" si="9"/>
        <v>0.28628411246152563</v>
      </c>
      <c r="AQ10" s="52">
        <f t="shared" si="10"/>
        <v>82752217.800000012</v>
      </c>
      <c r="AR10" s="98">
        <f t="shared" si="11"/>
        <v>0.25254368390680187</v>
      </c>
      <c r="AS10" s="219">
        <v>4075824.7</v>
      </c>
      <c r="AT10" s="220">
        <v>17332275.870000001</v>
      </c>
      <c r="AU10" s="220">
        <v>33224281.379999999</v>
      </c>
      <c r="AV10" s="220">
        <v>35088456.539999999</v>
      </c>
      <c r="AW10" s="220">
        <v>40692426.149999999</v>
      </c>
      <c r="AX10" s="74">
        <f t="shared" si="12"/>
        <v>0.15970977816056431</v>
      </c>
      <c r="AY10" s="52">
        <f t="shared" si="13"/>
        <v>5603969.6099999994</v>
      </c>
      <c r="AZ10" s="74">
        <f t="shared" si="14"/>
        <v>8.9838509124300643</v>
      </c>
      <c r="BA10" s="52">
        <f t="shared" si="15"/>
        <v>36616601.449999996</v>
      </c>
      <c r="BB10" s="98">
        <f t="shared" si="16"/>
        <v>0.26270347579140257</v>
      </c>
    </row>
    <row r="11" spans="2:54" x14ac:dyDescent="0.25">
      <c r="B11" s="19" t="s">
        <v>46</v>
      </c>
      <c r="C11" s="216">
        <v>67.176998090791216</v>
      </c>
      <c r="D11" s="217">
        <v>62.252206793155345</v>
      </c>
      <c r="E11" s="217">
        <v>73.115820519666087</v>
      </c>
      <c r="F11" s="217">
        <v>77.188792727031</v>
      </c>
      <c r="G11" s="217">
        <v>85.301941675456575</v>
      </c>
      <c r="H11" s="74">
        <f>G11/F11-1</f>
        <v>0.10510786166998054</v>
      </c>
      <c r="I11" s="74">
        <f t="shared" si="0"/>
        <v>0.26980877532171199</v>
      </c>
      <c r="J11" s="216">
        <v>53.28</v>
      </c>
      <c r="K11" s="217">
        <v>66.47</v>
      </c>
      <c r="L11" s="217">
        <v>78.08</v>
      </c>
      <c r="M11" s="217">
        <v>78.900000000000006</v>
      </c>
      <c r="N11" s="217">
        <v>82.41</v>
      </c>
      <c r="O11" s="74">
        <f t="shared" si="1"/>
        <v>4.448669201520894E-2</v>
      </c>
      <c r="P11" s="74">
        <f t="shared" si="2"/>
        <v>0.54673423423423406</v>
      </c>
      <c r="R11" s="19" t="s">
        <v>46</v>
      </c>
      <c r="S11" s="216">
        <v>45.864424342831967</v>
      </c>
      <c r="T11" s="217">
        <v>27.88787801648812</v>
      </c>
      <c r="U11" s="217">
        <v>49.359293251360633</v>
      </c>
      <c r="V11" s="217">
        <v>48.672757237708105</v>
      </c>
      <c r="W11" s="217">
        <v>59.208941638137979</v>
      </c>
      <c r="X11" s="74">
        <f t="shared" si="3"/>
        <v>0.21646984881035691</v>
      </c>
      <c r="Y11" s="74">
        <f t="shared" si="4"/>
        <v>0.29095573500622374</v>
      </c>
      <c r="Z11" s="216">
        <v>9.67</v>
      </c>
      <c r="AA11" s="217">
        <v>41.39</v>
      </c>
      <c r="AB11" s="217">
        <v>52.42</v>
      </c>
      <c r="AC11" s="217">
        <v>46.32</v>
      </c>
      <c r="AD11" s="217">
        <v>56.32</v>
      </c>
      <c r="AE11" s="74">
        <f t="shared" si="5"/>
        <v>0.21588946459412783</v>
      </c>
      <c r="AF11" s="74">
        <f t="shared" si="6"/>
        <v>4.824198552223371</v>
      </c>
      <c r="AH11" s="19" t="s">
        <v>46</v>
      </c>
      <c r="AI11" s="218">
        <v>6473308.3900000006</v>
      </c>
      <c r="AJ11" s="52">
        <v>2313894.2200000002</v>
      </c>
      <c r="AK11" s="52">
        <v>5496393.5700000003</v>
      </c>
      <c r="AL11" s="52">
        <v>5867835.2400000002</v>
      </c>
      <c r="AM11" s="52">
        <v>7172406.2599999998</v>
      </c>
      <c r="AN11" s="74">
        <f t="shared" si="7"/>
        <v>0.22232577545923049</v>
      </c>
      <c r="AO11" s="52">
        <f t="shared" si="8"/>
        <v>1304571.0199999996</v>
      </c>
      <c r="AP11" s="74">
        <f t="shared" si="9"/>
        <v>0.10799699749821423</v>
      </c>
      <c r="AQ11" s="52">
        <f t="shared" si="10"/>
        <v>699097.86999999918</v>
      </c>
      <c r="AR11" s="98">
        <f t="shared" si="11"/>
        <v>4.8717174493122413E-3</v>
      </c>
      <c r="AS11" s="219">
        <v>41779.67</v>
      </c>
      <c r="AT11" s="220">
        <v>481806.9</v>
      </c>
      <c r="AU11" s="220">
        <v>682570.84</v>
      </c>
      <c r="AV11" s="220">
        <v>625306.80000000005</v>
      </c>
      <c r="AW11" s="220">
        <v>763726.75</v>
      </c>
      <c r="AX11" s="74">
        <f t="shared" si="12"/>
        <v>0.22136325720430339</v>
      </c>
      <c r="AY11" s="52">
        <f t="shared" si="13"/>
        <v>138419.94999999995</v>
      </c>
      <c r="AZ11" s="74">
        <f t="shared" si="14"/>
        <v>17.279865542260147</v>
      </c>
      <c r="BA11" s="52">
        <f t="shared" si="15"/>
        <v>721947.08</v>
      </c>
      <c r="BB11" s="98">
        <f t="shared" si="16"/>
        <v>4.9304917588422429E-3</v>
      </c>
    </row>
    <row r="12" spans="2:54" x14ac:dyDescent="0.25">
      <c r="B12" s="19" t="s">
        <v>47</v>
      </c>
      <c r="C12" s="216">
        <v>137.80014866794448</v>
      </c>
      <c r="D12" s="217">
        <v>145.02541470990838</v>
      </c>
      <c r="E12" s="217">
        <v>197.70591627292606</v>
      </c>
      <c r="F12" s="217">
        <v>190.78024471132977</v>
      </c>
      <c r="G12" s="217">
        <v>196.95834405586862</v>
      </c>
      <c r="H12" s="74">
        <f t="shared" ref="H12:H18" si="17">G12/F12-1</f>
        <v>3.238332854581949E-2</v>
      </c>
      <c r="I12" s="74">
        <f t="shared" si="0"/>
        <v>0.42930429291826822</v>
      </c>
      <c r="J12" s="216">
        <v>137.37</v>
      </c>
      <c r="K12" s="217">
        <v>145.12</v>
      </c>
      <c r="L12" s="217">
        <v>117.11</v>
      </c>
      <c r="M12" s="217">
        <v>206.94</v>
      </c>
      <c r="N12" s="217">
        <v>201.77</v>
      </c>
      <c r="O12" s="74">
        <f t="shared" si="1"/>
        <v>-2.4983086885087435E-2</v>
      </c>
      <c r="P12" s="74">
        <f t="shared" si="2"/>
        <v>0.46880687195166337</v>
      </c>
      <c r="R12" s="19" t="s">
        <v>47</v>
      </c>
      <c r="S12" s="216">
        <v>101.6440287574876</v>
      </c>
      <c r="T12" s="217">
        <v>32.24572252464683</v>
      </c>
      <c r="U12" s="217">
        <v>98.304300114448282</v>
      </c>
      <c r="V12" s="217">
        <v>102.10838505580971</v>
      </c>
      <c r="W12" s="217">
        <v>116.31423703748221</v>
      </c>
      <c r="X12" s="74">
        <f t="shared" si="3"/>
        <v>0.13912522437709662</v>
      </c>
      <c r="Y12" s="74">
        <f t="shared" si="4"/>
        <v>0.1443292681264754</v>
      </c>
      <c r="Z12" s="216">
        <v>31.88</v>
      </c>
      <c r="AA12" s="217">
        <v>71.989999999999995</v>
      </c>
      <c r="AB12" s="217">
        <v>61.82</v>
      </c>
      <c r="AC12" s="217">
        <v>97.35</v>
      </c>
      <c r="AD12" s="217">
        <v>109.32</v>
      </c>
      <c r="AE12" s="74">
        <f t="shared" si="5"/>
        <v>0.12295839753466864</v>
      </c>
      <c r="AF12" s="74">
        <f t="shared" si="6"/>
        <v>2.4291091593475533</v>
      </c>
      <c r="AH12" s="19" t="s">
        <v>47</v>
      </c>
      <c r="AI12" s="218">
        <v>43399086.400000006</v>
      </c>
      <c r="AJ12" s="52">
        <v>11528851.700000001</v>
      </c>
      <c r="AK12" s="52">
        <v>43858486.32</v>
      </c>
      <c r="AL12" s="52">
        <v>42685134.180000007</v>
      </c>
      <c r="AM12" s="52">
        <v>41549701.189999998</v>
      </c>
      <c r="AN12" s="74">
        <f t="shared" si="7"/>
        <v>-2.6600197277393378E-2</v>
      </c>
      <c r="AO12" s="52">
        <f t="shared" si="8"/>
        <v>-1135432.9900000095</v>
      </c>
      <c r="AP12" s="74">
        <f t="shared" si="9"/>
        <v>-4.261345948517492E-2</v>
      </c>
      <c r="AQ12" s="52">
        <f t="shared" si="10"/>
        <v>-1849385.2100000083</v>
      </c>
      <c r="AR12" s="98">
        <f t="shared" si="11"/>
        <v>2.8221826394567977E-2</v>
      </c>
      <c r="AS12" s="219">
        <v>1591276.45</v>
      </c>
      <c r="AT12" s="220">
        <v>2984832.55</v>
      </c>
      <c r="AU12" s="220">
        <v>3062020.17</v>
      </c>
      <c r="AV12" s="220">
        <v>4468236.7300000004</v>
      </c>
      <c r="AW12" s="220">
        <v>5073498.01</v>
      </c>
      <c r="AX12" s="74">
        <f t="shared" si="12"/>
        <v>0.13545864209392477</v>
      </c>
      <c r="AY12" s="52">
        <f t="shared" si="13"/>
        <v>605261.27999999933</v>
      </c>
      <c r="AZ12" s="74">
        <f t="shared" si="14"/>
        <v>2.1883196725496692</v>
      </c>
      <c r="BA12" s="52">
        <f t="shared" si="15"/>
        <v>3482221.5599999996</v>
      </c>
      <c r="BB12" s="98">
        <f t="shared" si="16"/>
        <v>3.2753651913865159E-2</v>
      </c>
    </row>
    <row r="13" spans="2:54" x14ac:dyDescent="0.25">
      <c r="B13" s="19" t="s">
        <v>48</v>
      </c>
      <c r="C13" s="216">
        <v>52.345899812926</v>
      </c>
      <c r="D13" s="217">
        <v>45.431996001572195</v>
      </c>
      <c r="E13" s="217">
        <v>57.011049776373788</v>
      </c>
      <c r="F13" s="217">
        <v>64.242639587111185</v>
      </c>
      <c r="G13" s="217">
        <v>72.971924235634589</v>
      </c>
      <c r="H13" s="74">
        <f t="shared" si="17"/>
        <v>0.13587991876776395</v>
      </c>
      <c r="I13" s="74">
        <f t="shared" si="0"/>
        <v>0.39403323844698379</v>
      </c>
      <c r="J13" s="216">
        <v>43.02</v>
      </c>
      <c r="K13" s="217">
        <v>49.5</v>
      </c>
      <c r="L13" s="217">
        <v>56.54</v>
      </c>
      <c r="M13" s="217">
        <v>63.46</v>
      </c>
      <c r="N13" s="217">
        <v>71.25</v>
      </c>
      <c r="O13" s="74">
        <f t="shared" si="1"/>
        <v>0.1227544910179641</v>
      </c>
      <c r="P13" s="74">
        <f t="shared" si="2"/>
        <v>0.65620641562064153</v>
      </c>
      <c r="R13" s="19" t="s">
        <v>48</v>
      </c>
      <c r="S13" s="216">
        <v>41.055269642731616</v>
      </c>
      <c r="T13" s="217">
        <v>22.074445220351141</v>
      </c>
      <c r="U13" s="217">
        <v>39.178031482317891</v>
      </c>
      <c r="V13" s="217">
        <v>50.356831767424417</v>
      </c>
      <c r="W13" s="217">
        <v>59.253101479720442</v>
      </c>
      <c r="X13" s="74">
        <f t="shared" si="3"/>
        <v>0.17666460339252277</v>
      </c>
      <c r="Y13" s="74">
        <f t="shared" si="4"/>
        <v>0.44325203549626546</v>
      </c>
      <c r="Z13" s="216">
        <v>14.52</v>
      </c>
      <c r="AA13" s="217">
        <v>32.75</v>
      </c>
      <c r="AB13" s="217">
        <v>43.87</v>
      </c>
      <c r="AC13" s="217">
        <v>51.13</v>
      </c>
      <c r="AD13" s="217">
        <v>59.56</v>
      </c>
      <c r="AE13" s="74">
        <f t="shared" si="5"/>
        <v>0.16487385096812046</v>
      </c>
      <c r="AF13" s="74">
        <f t="shared" si="6"/>
        <v>3.1019283746556479</v>
      </c>
      <c r="AH13" s="19" t="s">
        <v>48</v>
      </c>
      <c r="AI13" s="218">
        <v>115136718.49000001</v>
      </c>
      <c r="AJ13" s="52">
        <v>26544946.129999999</v>
      </c>
      <c r="AK13" s="52">
        <v>95422144.319999993</v>
      </c>
      <c r="AL13" s="52">
        <v>128217417.26000001</v>
      </c>
      <c r="AM13" s="52">
        <v>158145908.91000003</v>
      </c>
      <c r="AN13" s="74">
        <f t="shared" si="7"/>
        <v>0.23341986049610441</v>
      </c>
      <c r="AO13" s="52">
        <f t="shared" si="8"/>
        <v>29928491.650000021</v>
      </c>
      <c r="AP13" s="74">
        <f t="shared" si="9"/>
        <v>0.3735488642029996</v>
      </c>
      <c r="AQ13" s="52">
        <f t="shared" si="10"/>
        <v>43009190.420000017</v>
      </c>
      <c r="AR13" s="98">
        <f t="shared" si="11"/>
        <v>0.10741753270041222</v>
      </c>
      <c r="AS13" s="219">
        <v>1919548.67</v>
      </c>
      <c r="AT13" s="220">
        <v>7411200.8499999996</v>
      </c>
      <c r="AU13" s="220">
        <v>11547651.800000001</v>
      </c>
      <c r="AV13" s="220">
        <v>14509974.98</v>
      </c>
      <c r="AW13" s="220">
        <v>17443566.960000001</v>
      </c>
      <c r="AX13" s="74">
        <f t="shared" si="12"/>
        <v>0.2021776043062482</v>
      </c>
      <c r="AY13" s="52">
        <f t="shared" si="13"/>
        <v>2933591.9800000004</v>
      </c>
      <c r="AZ13" s="74">
        <f t="shared" si="14"/>
        <v>8.0873272621943997</v>
      </c>
      <c r="BA13" s="52">
        <f t="shared" si="15"/>
        <v>15524018.290000001</v>
      </c>
      <c r="BB13" s="98">
        <f t="shared" si="16"/>
        <v>0.11261274158734501</v>
      </c>
    </row>
    <row r="14" spans="2:54" x14ac:dyDescent="0.25">
      <c r="B14" s="19" t="s">
        <v>49</v>
      </c>
      <c r="C14" s="216">
        <v>80.429611760688061</v>
      </c>
      <c r="D14" s="217">
        <v>78.991272382036271</v>
      </c>
      <c r="E14" s="217">
        <v>85.661357201086574</v>
      </c>
      <c r="F14" s="217">
        <v>93.622227435458925</v>
      </c>
      <c r="G14" s="217">
        <v>105.5707711259422</v>
      </c>
      <c r="H14" s="74">
        <f t="shared" si="17"/>
        <v>0.12762507385033461</v>
      </c>
      <c r="I14" s="74">
        <f t="shared" si="0"/>
        <v>0.31258586004442823</v>
      </c>
      <c r="J14" s="216">
        <v>74.3</v>
      </c>
      <c r="K14" s="217">
        <v>77.52</v>
      </c>
      <c r="L14" s="217">
        <v>83.08</v>
      </c>
      <c r="M14" s="217">
        <v>86.77</v>
      </c>
      <c r="N14" s="217">
        <v>96.5</v>
      </c>
      <c r="O14" s="74">
        <f t="shared" si="1"/>
        <v>0.11213553071338023</v>
      </c>
      <c r="P14" s="74">
        <f t="shared" si="2"/>
        <v>0.29878869448183054</v>
      </c>
      <c r="R14" s="19" t="s">
        <v>49</v>
      </c>
      <c r="S14" s="216">
        <v>50.336852935250718</v>
      </c>
      <c r="T14" s="217">
        <v>36.686693882791289</v>
      </c>
      <c r="U14" s="217">
        <v>61.442744882519797</v>
      </c>
      <c r="V14" s="217">
        <v>68.753626238540946</v>
      </c>
      <c r="W14" s="217">
        <v>77.062558176548762</v>
      </c>
      <c r="X14" s="74">
        <f t="shared" si="3"/>
        <v>0.1208508175144094</v>
      </c>
      <c r="Y14" s="74">
        <f t="shared" si="4"/>
        <v>0.53093715007721776</v>
      </c>
      <c r="Z14" s="216">
        <v>41.37</v>
      </c>
      <c r="AA14" s="217">
        <v>45.93</v>
      </c>
      <c r="AB14" s="217">
        <v>57.49</v>
      </c>
      <c r="AC14" s="217">
        <v>58.36</v>
      </c>
      <c r="AD14" s="217">
        <v>62.89</v>
      </c>
      <c r="AE14" s="74">
        <f t="shared" si="5"/>
        <v>7.7621658670322224E-2</v>
      </c>
      <c r="AF14" s="74">
        <f t="shared" si="6"/>
        <v>0.52018370800096703</v>
      </c>
      <c r="AH14" s="19" t="s">
        <v>49</v>
      </c>
      <c r="AI14" s="218">
        <v>4864541.8199999994</v>
      </c>
      <c r="AJ14" s="52">
        <v>2550448.44</v>
      </c>
      <c r="AK14" s="52">
        <v>5559044.9500000002</v>
      </c>
      <c r="AL14" s="52">
        <v>6320545.1600000001</v>
      </c>
      <c r="AM14" s="52">
        <v>7263595.96</v>
      </c>
      <c r="AN14" s="74">
        <f t="shared" si="7"/>
        <v>0.14920402847022762</v>
      </c>
      <c r="AO14" s="52">
        <f t="shared" si="8"/>
        <v>943050.79999999981</v>
      </c>
      <c r="AP14" s="74">
        <f t="shared" si="9"/>
        <v>0.49317165496174131</v>
      </c>
      <c r="AQ14" s="52">
        <f t="shared" si="10"/>
        <v>2399054.1400000006</v>
      </c>
      <c r="AR14" s="98">
        <f t="shared" si="11"/>
        <v>4.9336562794040474E-3</v>
      </c>
      <c r="AS14" s="219">
        <v>182424.42</v>
      </c>
      <c r="AT14" s="220">
        <v>435462.52</v>
      </c>
      <c r="AU14" s="220">
        <v>584682.71</v>
      </c>
      <c r="AV14" s="220">
        <v>593567.82999999996</v>
      </c>
      <c r="AW14" s="220">
        <v>648994.98</v>
      </c>
      <c r="AX14" s="74">
        <f t="shared" si="12"/>
        <v>9.3379639526623315E-2</v>
      </c>
      <c r="AY14" s="52">
        <f t="shared" si="13"/>
        <v>55427.150000000023</v>
      </c>
      <c r="AZ14" s="74">
        <f t="shared" si="14"/>
        <v>2.5576102146850732</v>
      </c>
      <c r="BA14" s="52">
        <f t="shared" si="15"/>
        <v>466570.55999999994</v>
      </c>
      <c r="BB14" s="98">
        <f t="shared" si="16"/>
        <v>4.1898027015814052E-3</v>
      </c>
    </row>
    <row r="15" spans="2:54" x14ac:dyDescent="0.25">
      <c r="B15" s="19" t="s">
        <v>50</v>
      </c>
      <c r="C15" s="216">
        <v>84.913085272508027</v>
      </c>
      <c r="D15" s="217">
        <v>128.89620347432535</v>
      </c>
      <c r="E15" s="217">
        <v>122.8160418558389</v>
      </c>
      <c r="F15" s="217">
        <v>142.94760608122846</v>
      </c>
      <c r="G15" s="217">
        <v>161.79594661580293</v>
      </c>
      <c r="H15" s="74">
        <f t="shared" si="17"/>
        <v>0.13185488761430619</v>
      </c>
      <c r="I15" s="74">
        <f t="shared" si="0"/>
        <v>0.90543007707890877</v>
      </c>
      <c r="J15" s="216">
        <v>134.34</v>
      </c>
      <c r="K15" s="217">
        <v>125.98</v>
      </c>
      <c r="L15" s="217">
        <v>139.87</v>
      </c>
      <c r="M15" s="217">
        <v>139.94</v>
      </c>
      <c r="N15" s="217">
        <v>154.79</v>
      </c>
      <c r="O15" s="74">
        <f t="shared" si="1"/>
        <v>0.10611690724596246</v>
      </c>
      <c r="P15" s="74">
        <f t="shared" si="2"/>
        <v>0.15222569599523594</v>
      </c>
      <c r="R15" s="19" t="s">
        <v>50</v>
      </c>
      <c r="S15" s="216">
        <v>67.273663638327747</v>
      </c>
      <c r="T15" s="217">
        <v>76.200138860540562</v>
      </c>
      <c r="U15" s="217">
        <v>91.107067991600289</v>
      </c>
      <c r="V15" s="217">
        <v>116.21249856704911</v>
      </c>
      <c r="W15" s="217">
        <v>138.79785121848454</v>
      </c>
      <c r="X15" s="74">
        <f t="shared" si="3"/>
        <v>0.19434529788037169</v>
      </c>
      <c r="Y15" s="74">
        <f t="shared" si="4"/>
        <v>1.0631825845650451</v>
      </c>
      <c r="Z15" s="216">
        <v>89.19</v>
      </c>
      <c r="AA15" s="217">
        <v>99.24</v>
      </c>
      <c r="AB15" s="217">
        <v>105.09</v>
      </c>
      <c r="AC15" s="217">
        <v>121.4</v>
      </c>
      <c r="AD15" s="217">
        <v>137.01</v>
      </c>
      <c r="AE15" s="74">
        <f t="shared" si="5"/>
        <v>0.12858319604612833</v>
      </c>
      <c r="AF15" s="74">
        <f t="shared" si="6"/>
        <v>0.53615876219307101</v>
      </c>
      <c r="AH15" s="19" t="s">
        <v>50</v>
      </c>
      <c r="AI15" s="218">
        <v>31460592.870000001</v>
      </c>
      <c r="AJ15" s="52">
        <v>17746584.68</v>
      </c>
      <c r="AK15" s="52">
        <v>40132076.579999998</v>
      </c>
      <c r="AL15" s="52">
        <v>56631055.870000005</v>
      </c>
      <c r="AM15" s="52">
        <v>67997947.560000002</v>
      </c>
      <c r="AN15" s="74">
        <f t="shared" si="7"/>
        <v>0.200718342884042</v>
      </c>
      <c r="AO15" s="52">
        <f t="shared" si="8"/>
        <v>11366891.689999998</v>
      </c>
      <c r="AP15" s="74">
        <f t="shared" si="9"/>
        <v>1.1613689176481179</v>
      </c>
      <c r="AQ15" s="52">
        <f t="shared" si="10"/>
        <v>36537354.689999998</v>
      </c>
      <c r="AR15" s="98">
        <f t="shared" si="11"/>
        <v>4.618628332487551E-2</v>
      </c>
      <c r="AS15" s="219">
        <v>1795414.56</v>
      </c>
      <c r="AT15" s="220">
        <v>3751303.38</v>
      </c>
      <c r="AU15" s="220">
        <v>5627386.9400000004</v>
      </c>
      <c r="AV15" s="220">
        <v>6501029.0499999998</v>
      </c>
      <c r="AW15" s="220">
        <v>7349095.2000000002</v>
      </c>
      <c r="AX15" s="74">
        <f t="shared" si="12"/>
        <v>0.13045106297440712</v>
      </c>
      <c r="AY15" s="52">
        <f t="shared" si="13"/>
        <v>848066.15000000037</v>
      </c>
      <c r="AZ15" s="74">
        <f t="shared" si="14"/>
        <v>3.0932581052478483</v>
      </c>
      <c r="BA15" s="52">
        <f t="shared" si="15"/>
        <v>5553680.6400000006</v>
      </c>
      <c r="BB15" s="98">
        <f t="shared" si="16"/>
        <v>4.7444525569579808E-2</v>
      </c>
    </row>
    <row r="16" spans="2:54" x14ac:dyDescent="0.25">
      <c r="B16" s="19" t="s">
        <v>51</v>
      </c>
      <c r="C16" s="216">
        <v>63.29684259747895</v>
      </c>
      <c r="D16" s="217">
        <v>64.909324555774006</v>
      </c>
      <c r="E16" s="217">
        <v>75.108727733898903</v>
      </c>
      <c r="F16" s="217">
        <v>84.656473184680365</v>
      </c>
      <c r="G16" s="217">
        <v>93.883759765557116</v>
      </c>
      <c r="H16" s="74">
        <f t="shared" si="17"/>
        <v>0.1089968224963398</v>
      </c>
      <c r="I16" s="74">
        <f t="shared" si="0"/>
        <v>0.48322974595412771</v>
      </c>
      <c r="J16" s="216">
        <v>61.97</v>
      </c>
      <c r="K16" s="217">
        <v>68.05</v>
      </c>
      <c r="L16" s="217">
        <v>72.56</v>
      </c>
      <c r="M16" s="217">
        <v>82.4</v>
      </c>
      <c r="N16" s="217">
        <v>91.02</v>
      </c>
      <c r="O16" s="74">
        <f t="shared" si="1"/>
        <v>0.10461165048543686</v>
      </c>
      <c r="P16" s="74">
        <f t="shared" si="2"/>
        <v>0.46877521381313536</v>
      </c>
      <c r="R16" s="19" t="s">
        <v>51</v>
      </c>
      <c r="S16" s="216">
        <v>42.153454960155749</v>
      </c>
      <c r="T16" s="217">
        <v>30.775807978887137</v>
      </c>
      <c r="U16" s="217">
        <v>51.325970929787438</v>
      </c>
      <c r="V16" s="217">
        <v>58.967543053684317</v>
      </c>
      <c r="W16" s="217">
        <v>65.698341490115709</v>
      </c>
      <c r="X16" s="74">
        <f t="shared" si="3"/>
        <v>0.11414412213687863</v>
      </c>
      <c r="Y16" s="74">
        <f t="shared" si="4"/>
        <v>0.55855176170529885</v>
      </c>
      <c r="Z16" s="216">
        <v>26.13</v>
      </c>
      <c r="AA16" s="217">
        <v>40.89</v>
      </c>
      <c r="AB16" s="217">
        <v>44.25</v>
      </c>
      <c r="AC16" s="217">
        <v>56.46</v>
      </c>
      <c r="AD16" s="217">
        <v>59.57</v>
      </c>
      <c r="AE16" s="74">
        <f t="shared" si="5"/>
        <v>5.508324477506199E-2</v>
      </c>
      <c r="AF16" s="74">
        <f t="shared" si="6"/>
        <v>1.2797550707998471</v>
      </c>
      <c r="AH16" s="19" t="s">
        <v>51</v>
      </c>
      <c r="AI16" s="218">
        <v>16850122.48</v>
      </c>
      <c r="AJ16" s="52">
        <v>9798679.8099999968</v>
      </c>
      <c r="AK16" s="52">
        <v>19595798.870000001</v>
      </c>
      <c r="AL16" s="52">
        <v>23892952.149999995</v>
      </c>
      <c r="AM16" s="52">
        <v>26020653.029999997</v>
      </c>
      <c r="AN16" s="74">
        <f t="shared" si="7"/>
        <v>8.9051401712199274E-2</v>
      </c>
      <c r="AO16" s="52">
        <f t="shared" si="8"/>
        <v>2127700.8800000027</v>
      </c>
      <c r="AP16" s="74">
        <f t="shared" si="9"/>
        <v>0.54424118049496784</v>
      </c>
      <c r="AQ16" s="52">
        <f t="shared" si="10"/>
        <v>9170530.549999997</v>
      </c>
      <c r="AR16" s="98">
        <f t="shared" si="11"/>
        <v>1.7674022470772651E-2</v>
      </c>
      <c r="AS16" s="219">
        <v>710880.42</v>
      </c>
      <c r="AT16" s="220">
        <v>1605890.04</v>
      </c>
      <c r="AU16" s="220">
        <v>2019161.55</v>
      </c>
      <c r="AV16" s="220">
        <v>2477918.77</v>
      </c>
      <c r="AW16" s="220">
        <v>2358907.9</v>
      </c>
      <c r="AX16" s="74">
        <f t="shared" si="12"/>
        <v>-4.8028559870830656E-2</v>
      </c>
      <c r="AY16" s="52">
        <f t="shared" si="13"/>
        <v>-119010.87000000011</v>
      </c>
      <c r="AZ16" s="74">
        <f t="shared" si="14"/>
        <v>2.3182907189932167</v>
      </c>
      <c r="BA16" s="52">
        <f t="shared" si="15"/>
        <v>1648027.48</v>
      </c>
      <c r="BB16" s="98">
        <f t="shared" si="16"/>
        <v>1.5228713621485514E-2</v>
      </c>
    </row>
    <row r="17" spans="2:54" x14ac:dyDescent="0.25">
      <c r="B17" s="19" t="s">
        <v>52</v>
      </c>
      <c r="C17" s="216">
        <v>93.724877655279869</v>
      </c>
      <c r="D17" s="217">
        <v>87.976173759410173</v>
      </c>
      <c r="E17" s="217">
        <v>113.54222224282209</v>
      </c>
      <c r="F17" s="217">
        <v>127.20271219527278</v>
      </c>
      <c r="G17" s="217">
        <v>141.34515008100104</v>
      </c>
      <c r="H17" s="74">
        <f t="shared" si="17"/>
        <v>0.111180317161931</v>
      </c>
      <c r="I17" s="74">
        <f t="shared" si="0"/>
        <v>0.50808572512485473</v>
      </c>
      <c r="J17" s="216">
        <v>97.71</v>
      </c>
      <c r="K17" s="217">
        <v>81.89</v>
      </c>
      <c r="L17" s="217">
        <v>100.88</v>
      </c>
      <c r="M17" s="217">
        <v>114.9</v>
      </c>
      <c r="N17" s="217">
        <v>133.37</v>
      </c>
      <c r="O17" s="74">
        <f t="shared" si="1"/>
        <v>0.16074847693646643</v>
      </c>
      <c r="P17" s="74">
        <f t="shared" si="2"/>
        <v>0.36495752737693188</v>
      </c>
      <c r="R17" s="19" t="s">
        <v>52</v>
      </c>
      <c r="S17" s="216">
        <v>70.808517443568078</v>
      </c>
      <c r="T17" s="217">
        <v>38.30690146288255</v>
      </c>
      <c r="U17" s="217">
        <v>85.768592345001522</v>
      </c>
      <c r="V17" s="217">
        <v>106.23360360033993</v>
      </c>
      <c r="W17" s="217">
        <v>121.4923751774291</v>
      </c>
      <c r="X17" s="74">
        <f t="shared" si="3"/>
        <v>0.14363413326816987</v>
      </c>
      <c r="Y17" s="74">
        <f t="shared" si="4"/>
        <v>0.7157875855013387</v>
      </c>
      <c r="Z17" s="216">
        <v>35.96</v>
      </c>
      <c r="AA17" s="217">
        <v>55.6</v>
      </c>
      <c r="AB17" s="217">
        <v>83.34</v>
      </c>
      <c r="AC17" s="217">
        <v>97.6</v>
      </c>
      <c r="AD17" s="217">
        <v>115.05</v>
      </c>
      <c r="AE17" s="74">
        <f t="shared" si="5"/>
        <v>0.17879098360655732</v>
      </c>
      <c r="AF17" s="74">
        <f t="shared" si="6"/>
        <v>2.1993882091212456</v>
      </c>
      <c r="AH17" s="19" t="s">
        <v>52</v>
      </c>
      <c r="AI17" s="218">
        <v>54725159.789999992</v>
      </c>
      <c r="AJ17" s="52">
        <v>14746931.270000001</v>
      </c>
      <c r="AK17" s="52">
        <v>63716539.430000007</v>
      </c>
      <c r="AL17" s="52">
        <v>77821341.640000015</v>
      </c>
      <c r="AM17" s="52">
        <v>90611134.789999992</v>
      </c>
      <c r="AN17" s="74">
        <f t="shared" si="7"/>
        <v>0.16434814512920259</v>
      </c>
      <c r="AO17" s="52">
        <f t="shared" si="8"/>
        <v>12789793.149999976</v>
      </c>
      <c r="AP17" s="74">
        <f t="shared" si="9"/>
        <v>0.65574911316307372</v>
      </c>
      <c r="AQ17" s="52">
        <f t="shared" si="10"/>
        <v>35885975</v>
      </c>
      <c r="AR17" s="98">
        <f t="shared" si="11"/>
        <v>6.154585092596615E-2</v>
      </c>
      <c r="AS17" s="219">
        <v>1579390.75</v>
      </c>
      <c r="AT17" s="220">
        <v>3674888.49</v>
      </c>
      <c r="AU17" s="220">
        <v>6805555.3399999999</v>
      </c>
      <c r="AV17" s="220">
        <v>7969784.6900000004</v>
      </c>
      <c r="AW17" s="220">
        <v>9394902.0399999991</v>
      </c>
      <c r="AX17" s="74">
        <f t="shared" si="12"/>
        <v>0.17881503772468887</v>
      </c>
      <c r="AY17" s="52">
        <f t="shared" si="13"/>
        <v>1425117.3499999987</v>
      </c>
      <c r="AZ17" s="74">
        <f t="shared" si="14"/>
        <v>4.9484342554241243</v>
      </c>
      <c r="BA17" s="52">
        <f t="shared" si="15"/>
        <v>7815511.2899999991</v>
      </c>
      <c r="BB17" s="98">
        <f t="shared" si="16"/>
        <v>6.065191128024542E-2</v>
      </c>
    </row>
    <row r="18" spans="2:54" x14ac:dyDescent="0.25">
      <c r="B18" s="23" t="s">
        <v>53</v>
      </c>
      <c r="C18" s="216">
        <v>54.255392349063989</v>
      </c>
      <c r="D18" s="217">
        <v>72.80868191370773</v>
      </c>
      <c r="E18" s="217">
        <v>61.43364458127553</v>
      </c>
      <c r="F18" s="217">
        <v>67.118639328002203</v>
      </c>
      <c r="G18" s="217">
        <v>70.510168822446659</v>
      </c>
      <c r="H18" s="74">
        <f t="shared" si="17"/>
        <v>5.0530367248215358E-2</v>
      </c>
      <c r="I18" s="74">
        <f t="shared" si="0"/>
        <v>0.29959743667143712</v>
      </c>
      <c r="J18" s="216">
        <v>45.21</v>
      </c>
      <c r="K18" s="217">
        <v>62.96</v>
      </c>
      <c r="L18" s="217">
        <v>58.98</v>
      </c>
      <c r="M18" s="217">
        <v>64.19</v>
      </c>
      <c r="N18" s="217">
        <v>63.32</v>
      </c>
      <c r="O18" s="74">
        <f t="shared" si="1"/>
        <v>-1.355351300825669E-2</v>
      </c>
      <c r="P18" s="74">
        <f t="shared" si="2"/>
        <v>0.40057509400575086</v>
      </c>
      <c r="R18" s="23" t="s">
        <v>53</v>
      </c>
      <c r="S18" s="216">
        <v>39.460924753672209</v>
      </c>
      <c r="T18" s="217">
        <v>22.424748770603909</v>
      </c>
      <c r="U18" s="217">
        <v>39.849310605114908</v>
      </c>
      <c r="V18" s="217">
        <v>51.606305178527741</v>
      </c>
      <c r="W18" s="217">
        <v>54.367415463873591</v>
      </c>
      <c r="X18" s="74">
        <f t="shared" si="3"/>
        <v>5.3503351495403972E-2</v>
      </c>
      <c r="Y18" s="74">
        <f t="shared" si="4"/>
        <v>0.3777532027759738</v>
      </c>
      <c r="Z18" s="216">
        <v>10.38</v>
      </c>
      <c r="AA18" s="217">
        <v>33.9</v>
      </c>
      <c r="AB18" s="217">
        <v>35.25</v>
      </c>
      <c r="AC18" s="217">
        <v>47.95</v>
      </c>
      <c r="AD18" s="217">
        <v>47.97</v>
      </c>
      <c r="AE18" s="74">
        <f t="shared" si="5"/>
        <v>4.1710114702797618E-4</v>
      </c>
      <c r="AF18" s="74">
        <f t="shared" si="6"/>
        <v>3.6213872832369933</v>
      </c>
      <c r="AH18" s="23" t="s">
        <v>53</v>
      </c>
      <c r="AI18" s="218">
        <v>15146979.370000001</v>
      </c>
      <c r="AJ18" s="52">
        <v>6845490.75</v>
      </c>
      <c r="AK18" s="52">
        <v>14346377.300000001</v>
      </c>
      <c r="AL18" s="52">
        <v>17176708.300000001</v>
      </c>
      <c r="AM18" s="52">
        <v>18857308.010000002</v>
      </c>
      <c r="AN18" s="74">
        <f t="shared" si="7"/>
        <v>9.7841779731451917E-2</v>
      </c>
      <c r="AO18" s="52">
        <f t="shared" si="8"/>
        <v>1680599.7100000009</v>
      </c>
      <c r="AP18" s="74">
        <f t="shared" si="9"/>
        <v>0.2449550203619244</v>
      </c>
      <c r="AQ18" s="52">
        <f t="shared" si="10"/>
        <v>3710328.6400000006</v>
      </c>
      <c r="AR18" s="98">
        <f t="shared" si="11"/>
        <v>1.2808459692489938E-2</v>
      </c>
      <c r="AS18" s="219">
        <v>283671.45</v>
      </c>
      <c r="AT18" s="220">
        <v>1191047.9099999999</v>
      </c>
      <c r="AU18" s="220">
        <v>1296466.51</v>
      </c>
      <c r="AV18" s="220">
        <v>1747719.86</v>
      </c>
      <c r="AW18" s="220">
        <v>1837894.48</v>
      </c>
      <c r="AX18" s="74">
        <f t="shared" si="12"/>
        <v>5.1595580083412251E-2</v>
      </c>
      <c r="AY18" s="52">
        <f t="shared" si="13"/>
        <v>90174.619999999879</v>
      </c>
      <c r="AZ18" s="74">
        <f t="shared" si="14"/>
        <v>5.4789547203287459</v>
      </c>
      <c r="BA18" s="52">
        <f t="shared" si="15"/>
        <v>1554223.03</v>
      </c>
      <c r="BB18" s="98">
        <f t="shared" si="16"/>
        <v>1.1865138398336382E-2</v>
      </c>
    </row>
    <row r="19" spans="2:54" x14ac:dyDescent="0.25">
      <c r="B19" s="101"/>
      <c r="C19" s="102"/>
      <c r="D19" s="102"/>
      <c r="E19" s="102"/>
      <c r="F19" s="102"/>
      <c r="G19" s="103"/>
      <c r="H19" s="102"/>
      <c r="I19" s="104"/>
      <c r="J19" s="102"/>
      <c r="K19" s="102"/>
      <c r="L19" s="102"/>
      <c r="M19" s="102"/>
      <c r="N19" s="104"/>
      <c r="O19" s="104"/>
      <c r="P19" s="104"/>
      <c r="R19" s="101"/>
      <c r="S19" s="102"/>
      <c r="T19" s="102"/>
      <c r="U19" s="102"/>
      <c r="V19" s="102"/>
      <c r="W19" s="103"/>
      <c r="X19" s="102"/>
      <c r="Y19" s="104"/>
      <c r="Z19" s="102"/>
      <c r="AA19" s="102"/>
      <c r="AB19" s="102"/>
      <c r="AC19" s="102"/>
      <c r="AD19" s="104"/>
      <c r="AE19" s="104"/>
      <c r="AF19" s="104"/>
      <c r="AH19" s="101"/>
      <c r="AI19" s="101"/>
      <c r="AJ19" s="101"/>
      <c r="AK19" s="101"/>
      <c r="AL19" s="102"/>
      <c r="AM19" s="103"/>
      <c r="AN19" s="104"/>
      <c r="AO19" s="104"/>
      <c r="AP19" s="102"/>
      <c r="AQ19" s="102"/>
      <c r="AR19" s="104"/>
      <c r="AS19" s="102"/>
      <c r="AT19" s="102"/>
      <c r="AU19" s="102"/>
      <c r="AV19" s="102"/>
      <c r="AW19" s="104"/>
      <c r="AX19" s="104"/>
      <c r="AY19" s="104"/>
      <c r="AZ19" s="104"/>
      <c r="BA19" s="221"/>
      <c r="BB19" s="104"/>
    </row>
    <row r="20" spans="2:54" x14ac:dyDescent="0.25">
      <c r="B20" s="105" t="s">
        <v>55</v>
      </c>
      <c r="C20" s="105"/>
      <c r="D20" s="105"/>
      <c r="E20" s="105"/>
      <c r="F20" s="105"/>
      <c r="G20" s="105"/>
      <c r="H20" s="105"/>
      <c r="I20" s="105"/>
      <c r="J20" s="105"/>
      <c r="K20" s="105"/>
      <c r="L20" s="105"/>
      <c r="M20" s="105"/>
      <c r="N20" s="105"/>
      <c r="O20" s="105"/>
      <c r="P20" s="105"/>
      <c r="R20" s="105" t="s">
        <v>55</v>
      </c>
      <c r="S20" s="105"/>
      <c r="T20" s="105"/>
      <c r="U20" s="105"/>
      <c r="V20" s="105"/>
      <c r="W20" s="105"/>
      <c r="X20" s="105"/>
      <c r="Y20" s="105"/>
      <c r="Z20" s="105"/>
      <c r="AA20" s="105"/>
      <c r="AB20" s="105"/>
      <c r="AC20" s="105"/>
      <c r="AD20" s="105"/>
      <c r="AE20" s="105"/>
      <c r="AF20" s="105"/>
      <c r="AH20" s="105" t="s">
        <v>55</v>
      </c>
      <c r="AI20" s="105"/>
      <c r="AJ20" s="105"/>
      <c r="AK20" s="105"/>
      <c r="AL20" s="105"/>
      <c r="AM20" s="105"/>
      <c r="AN20" s="105"/>
      <c r="AO20" s="105"/>
      <c r="AP20" s="105"/>
      <c r="AQ20" s="105"/>
      <c r="AR20" s="105"/>
      <c r="AS20" s="105"/>
      <c r="AT20" s="105"/>
      <c r="AU20" s="105"/>
      <c r="AV20" s="105"/>
      <c r="AW20" s="105"/>
      <c r="AX20" s="105"/>
      <c r="AY20" s="105"/>
      <c r="AZ20" s="105"/>
      <c r="BA20" s="105"/>
      <c r="BB20" s="105"/>
    </row>
    <row r="21" spans="2:54" ht="39" customHeight="1" x14ac:dyDescent="0.25">
      <c r="B21" s="268" t="s">
        <v>165</v>
      </c>
      <c r="C21" s="268"/>
      <c r="D21" s="268"/>
      <c r="E21" s="268"/>
      <c r="F21" s="268"/>
      <c r="G21" s="268"/>
      <c r="H21" s="268"/>
      <c r="I21" s="268"/>
      <c r="J21" s="268"/>
      <c r="K21" s="268"/>
      <c r="L21" s="268"/>
      <c r="M21" s="268"/>
      <c r="N21" s="268"/>
      <c r="O21" s="268"/>
      <c r="P21" s="268"/>
      <c r="R21" s="268" t="s">
        <v>166</v>
      </c>
      <c r="S21" s="268"/>
      <c r="T21" s="268"/>
      <c r="U21" s="268"/>
      <c r="V21" s="268"/>
      <c r="W21" s="268"/>
      <c r="X21" s="268"/>
      <c r="Y21" s="268"/>
      <c r="Z21" s="268"/>
      <c r="AA21" s="268"/>
      <c r="AB21" s="268"/>
      <c r="AC21" s="268"/>
      <c r="AD21" s="268"/>
      <c r="AE21" s="268"/>
      <c r="AF21" s="268"/>
      <c r="AH21" s="309" t="s">
        <v>167</v>
      </c>
      <c r="AI21" s="309"/>
      <c r="AJ21" s="309"/>
      <c r="AK21" s="309"/>
      <c r="AL21" s="309"/>
      <c r="AM21" s="309"/>
      <c r="AN21" s="309"/>
      <c r="AO21" s="309"/>
      <c r="AP21" s="309"/>
      <c r="AQ21" s="309"/>
      <c r="AR21" s="309"/>
      <c r="AS21" s="309"/>
      <c r="AT21" s="309"/>
      <c r="AU21" s="309"/>
      <c r="AV21" s="309"/>
      <c r="AW21" s="309"/>
      <c r="AX21" s="309"/>
      <c r="AY21" s="309"/>
      <c r="AZ21" s="309"/>
      <c r="BA21" s="309"/>
      <c r="BB21" s="309"/>
    </row>
    <row r="22" spans="2:54" ht="24" customHeight="1" x14ac:dyDescent="0.25">
      <c r="B22" s="268" t="s">
        <v>168</v>
      </c>
      <c r="C22" s="268"/>
      <c r="D22" s="268"/>
      <c r="E22" s="268"/>
      <c r="F22" s="268"/>
      <c r="G22" s="268"/>
      <c r="H22" s="268"/>
      <c r="I22" s="268"/>
      <c r="J22" s="268"/>
      <c r="K22" s="268"/>
      <c r="L22" s="268"/>
      <c r="M22" s="268"/>
      <c r="N22" s="268"/>
      <c r="O22" s="268"/>
      <c r="P22" s="268"/>
      <c r="R22" s="310" t="s">
        <v>169</v>
      </c>
      <c r="S22" s="310"/>
      <c r="T22" s="310"/>
      <c r="U22" s="310"/>
      <c r="V22" s="310"/>
      <c r="W22" s="310"/>
      <c r="X22" s="310"/>
      <c r="Y22" s="310"/>
      <c r="Z22" s="310"/>
      <c r="AA22" s="310"/>
      <c r="AB22" s="310"/>
      <c r="AC22" s="310"/>
      <c r="AD22" s="310"/>
      <c r="AE22" s="310"/>
      <c r="AF22" s="310"/>
      <c r="AP22" s="120"/>
      <c r="AQ22" s="120"/>
      <c r="AW22" s="52">
        <f>AW11/N11</f>
        <v>9267.4038344861056</v>
      </c>
    </row>
    <row r="23" spans="2:54" x14ac:dyDescent="0.25">
      <c r="B23" s="268"/>
      <c r="C23" s="268"/>
      <c r="D23" s="268"/>
      <c r="E23" s="268"/>
      <c r="F23" s="268"/>
      <c r="G23" s="268"/>
      <c r="H23" s="268"/>
      <c r="I23" s="268"/>
      <c r="J23" s="268"/>
      <c r="K23" s="268"/>
      <c r="L23" s="268"/>
      <c r="M23" s="268"/>
      <c r="N23" s="268"/>
      <c r="O23" s="268"/>
      <c r="P23" s="268"/>
      <c r="R23" s="222"/>
      <c r="S23" s="222"/>
      <c r="T23" s="222"/>
      <c r="U23" s="222"/>
      <c r="V23" s="222"/>
      <c r="W23" s="222"/>
      <c r="X23" s="222"/>
      <c r="Y23" s="222"/>
      <c r="Z23" s="222"/>
      <c r="AA23" s="222"/>
      <c r="AB23" s="222"/>
      <c r="AC23" s="222"/>
      <c r="AD23" s="222"/>
      <c r="AE23" s="222"/>
      <c r="AF23" s="222"/>
    </row>
    <row r="27" spans="2:54" ht="50.25" customHeight="1" thickBot="1" x14ac:dyDescent="0.3">
      <c r="B27" s="270" t="s">
        <v>170</v>
      </c>
      <c r="C27" s="270"/>
      <c r="D27" s="270"/>
      <c r="E27" s="270"/>
      <c r="F27" s="270"/>
      <c r="G27" s="270"/>
      <c r="H27" s="270"/>
      <c r="I27" s="270"/>
      <c r="R27" s="270" t="s">
        <v>171</v>
      </c>
      <c r="S27" s="270"/>
      <c r="T27" s="270"/>
      <c r="U27" s="270"/>
      <c r="V27" s="270"/>
      <c r="W27" s="270"/>
      <c r="X27" s="270"/>
      <c r="Y27" s="270"/>
      <c r="AH27" s="270" t="s">
        <v>172</v>
      </c>
      <c r="AI27" s="270"/>
      <c r="AJ27" s="270"/>
      <c r="AK27" s="270"/>
      <c r="AL27" s="270"/>
      <c r="AM27" s="270"/>
      <c r="AN27" s="270"/>
      <c r="AO27" s="270"/>
    </row>
    <row r="28" spans="2:54" ht="6" customHeight="1" thickBot="1" x14ac:dyDescent="0.3">
      <c r="B28" s="83"/>
      <c r="C28" s="83"/>
      <c r="D28" s="83"/>
      <c r="E28" s="83"/>
      <c r="F28" s="83"/>
      <c r="G28" s="83"/>
      <c r="H28" s="83"/>
      <c r="I28" s="84"/>
      <c r="R28" s="83"/>
      <c r="S28" s="83"/>
      <c r="T28" s="83"/>
      <c r="U28" s="83"/>
      <c r="V28" s="83"/>
      <c r="W28" s="83"/>
      <c r="X28" s="83"/>
      <c r="Y28" s="84"/>
      <c r="AH28" s="84"/>
      <c r="AI28" s="84"/>
      <c r="AJ28" s="84"/>
      <c r="AK28" s="84"/>
      <c r="AL28" s="84"/>
      <c r="AM28" s="84"/>
      <c r="AN28" s="84"/>
      <c r="AO28" s="84"/>
    </row>
    <row r="29" spans="2:54" ht="30.75" thickBot="1" x14ac:dyDescent="0.3">
      <c r="B29" s="85"/>
      <c r="C29" s="182">
        <v>2019</v>
      </c>
      <c r="D29" s="182">
        <v>2020</v>
      </c>
      <c r="E29" s="182">
        <v>2021</v>
      </c>
      <c r="F29" s="182">
        <v>2022</v>
      </c>
      <c r="G29" s="182">
        <v>2023</v>
      </c>
      <c r="H29" s="14" t="str">
        <f>CONCATENATE("var. ",RIGHT(G29,2),"/",RIGHT(F29,2))</f>
        <v>var. 23/22</v>
      </c>
      <c r="I29" s="204" t="str">
        <f>CONCATENATE("var. ",RIGHT(G29,2),"/",RIGHT(D29,2))</f>
        <v>var. 23/20</v>
      </c>
      <c r="R29" s="85"/>
      <c r="S29" s="182">
        <v>2019</v>
      </c>
      <c r="T29" s="182">
        <v>2020</v>
      </c>
      <c r="U29" s="182">
        <v>2021</v>
      </c>
      <c r="V29" s="182">
        <v>2022</v>
      </c>
      <c r="W29" s="182">
        <v>2023</v>
      </c>
      <c r="X29" s="14" t="str">
        <f>CONCATENATE("var. ",RIGHT(W29,2),"/",RIGHT(V29,2))</f>
        <v>var. 23/22</v>
      </c>
      <c r="Y29" s="204" t="str">
        <f>CONCATENATE("var. ",RIGHT(W29,2),"/",RIGHT(T29,2))</f>
        <v>var. 23/20</v>
      </c>
      <c r="AH29" s="85"/>
      <c r="AI29" s="182">
        <v>2019</v>
      </c>
      <c r="AJ29" s="182">
        <v>2020</v>
      </c>
      <c r="AK29" s="182">
        <v>2021</v>
      </c>
      <c r="AL29" s="182">
        <v>2022</v>
      </c>
      <c r="AM29" s="182">
        <v>2023</v>
      </c>
      <c r="AN29" s="14" t="str">
        <f>CONCATENATE("var. ",RIGHT(AM29,2),"/",RIGHT(AL29,2))</f>
        <v>var. 23/22</v>
      </c>
      <c r="AO29" s="204" t="str">
        <f>CONCATENATE("var. ",RIGHT(AM29,2),"/",RIGHT(AJ29,2))</f>
        <v>var. 23/20</v>
      </c>
    </row>
    <row r="30" spans="2:54" ht="15.75" x14ac:dyDescent="0.25">
      <c r="B30" s="207" t="s">
        <v>43</v>
      </c>
      <c r="C30" s="208">
        <v>87.94</v>
      </c>
      <c r="D30" s="208">
        <v>95.05</v>
      </c>
      <c r="E30" s="208">
        <v>99.07</v>
      </c>
      <c r="F30" s="208">
        <v>105.63</v>
      </c>
      <c r="G30" s="208">
        <v>113.88</v>
      </c>
      <c r="H30" s="132">
        <f>G30/F30-1</f>
        <v>7.8102811701221242E-2</v>
      </c>
      <c r="I30" s="132">
        <f t="shared" ref="I30:I40" si="18">G30/D30-1</f>
        <v>0.19810625986322994</v>
      </c>
      <c r="R30" s="207" t="s">
        <v>43</v>
      </c>
      <c r="S30" s="208">
        <v>70.459999999999994</v>
      </c>
      <c r="T30" s="208">
        <v>47.83</v>
      </c>
      <c r="U30" s="208">
        <v>53</v>
      </c>
      <c r="V30" s="208">
        <v>80.58</v>
      </c>
      <c r="W30" s="208">
        <v>93.24</v>
      </c>
      <c r="X30" s="132">
        <f>W30/V30-1</f>
        <v>0.15711094564408046</v>
      </c>
      <c r="Y30" s="132">
        <f t="shared" ref="Y30:Y40" si="19">W30/T30-1</f>
        <v>0.94940413966130044</v>
      </c>
      <c r="AH30" s="207" t="s">
        <v>43</v>
      </c>
      <c r="AI30" s="214">
        <v>1422023576.4000001</v>
      </c>
      <c r="AJ30" s="214">
        <v>477122731.20999998</v>
      </c>
      <c r="AK30" s="214">
        <v>651901800.17999995</v>
      </c>
      <c r="AL30" s="214">
        <v>1528879517.8</v>
      </c>
      <c r="AM30" s="214">
        <v>1797799676.5999999</v>
      </c>
      <c r="AN30" s="132">
        <f>AM30/AL30-1</f>
        <v>0.1758936238396116</v>
      </c>
      <c r="AO30" s="132">
        <f t="shared" ref="AO30:AO40" si="20">AM30/AJ30-1</f>
        <v>2.7680025683134333</v>
      </c>
    </row>
    <row r="31" spans="2:54" ht="15.75" customHeight="1" x14ac:dyDescent="0.25">
      <c r="B31" s="15" t="s">
        <v>44</v>
      </c>
      <c r="C31" s="216">
        <v>107.11</v>
      </c>
      <c r="D31" s="216">
        <v>119.42</v>
      </c>
      <c r="E31" s="216">
        <v>126.49</v>
      </c>
      <c r="F31" s="216">
        <v>131.02000000000001</v>
      </c>
      <c r="G31" s="216">
        <v>139.02000000000001</v>
      </c>
      <c r="H31" s="74">
        <f t="shared" ref="H31:H35" si="21">G31/F31-1</f>
        <v>6.1059380247290518E-2</v>
      </c>
      <c r="I31" s="74">
        <f t="shared" si="18"/>
        <v>0.16412661195779599</v>
      </c>
      <c r="R31" s="15" t="s">
        <v>44</v>
      </c>
      <c r="S31" s="216">
        <v>89.94</v>
      </c>
      <c r="T31" s="217">
        <v>61.17</v>
      </c>
      <c r="U31" s="217">
        <v>72.88</v>
      </c>
      <c r="V31" s="217">
        <v>107.72</v>
      </c>
      <c r="W31" s="217">
        <v>119.35</v>
      </c>
      <c r="X31" s="74">
        <f t="shared" ref="X31:X40" si="22">W31/V31-1</f>
        <v>0.10796509468993687</v>
      </c>
      <c r="Y31" s="74">
        <f t="shared" si="19"/>
        <v>0.95111982998201716</v>
      </c>
      <c r="AH31" s="15" t="s">
        <v>44</v>
      </c>
      <c r="AI31" s="219">
        <v>636659325.91999996</v>
      </c>
      <c r="AJ31" s="220">
        <v>217815325.03999999</v>
      </c>
      <c r="AK31" s="220">
        <v>333738906.93000001</v>
      </c>
      <c r="AL31" s="220">
        <v>743382276.49000001</v>
      </c>
      <c r="AM31" s="220">
        <v>857710368.34000003</v>
      </c>
      <c r="AN31" s="74">
        <f t="shared" ref="AN31:AN40" si="23">AM31/AL31-1</f>
        <v>0.15379448160886833</v>
      </c>
      <c r="AO31" s="74">
        <f t="shared" si="20"/>
        <v>2.9377870596684992</v>
      </c>
    </row>
    <row r="32" spans="2:54" ht="15.75" customHeight="1" x14ac:dyDescent="0.25">
      <c r="B32" s="19" t="s">
        <v>45</v>
      </c>
      <c r="C32" s="216">
        <v>84.930000000000021</v>
      </c>
      <c r="D32" s="216">
        <v>89.5</v>
      </c>
      <c r="E32" s="216">
        <v>85.87</v>
      </c>
      <c r="F32" s="216">
        <v>93.47</v>
      </c>
      <c r="G32" s="216">
        <v>101.28999999999999</v>
      </c>
      <c r="H32" s="74">
        <f t="shared" si="21"/>
        <v>8.366320744623934E-2</v>
      </c>
      <c r="I32" s="74">
        <f t="shared" si="18"/>
        <v>0.13173184357541889</v>
      </c>
      <c r="R32" s="19" t="s">
        <v>45</v>
      </c>
      <c r="S32" s="216">
        <v>68.489999999999995</v>
      </c>
      <c r="T32" s="217">
        <v>44.55</v>
      </c>
      <c r="U32" s="217">
        <v>43.14</v>
      </c>
      <c r="V32" s="217">
        <v>71.23</v>
      </c>
      <c r="W32" s="217">
        <v>83.79</v>
      </c>
      <c r="X32" s="74">
        <f t="shared" si="22"/>
        <v>0.1763301979503018</v>
      </c>
      <c r="Y32" s="74">
        <f t="shared" si="19"/>
        <v>0.88080808080808115</v>
      </c>
      <c r="AH32" s="19" t="s">
        <v>45</v>
      </c>
      <c r="AI32" s="219">
        <v>393325543.29000002</v>
      </c>
      <c r="AJ32" s="220">
        <v>122348722.31</v>
      </c>
      <c r="AK32" s="220">
        <v>137154616.22</v>
      </c>
      <c r="AL32" s="220">
        <v>381071528.48000002</v>
      </c>
      <c r="AM32" s="220">
        <v>437636228.67000002</v>
      </c>
      <c r="AN32" s="74">
        <f t="shared" si="23"/>
        <v>0.14843591284718283</v>
      </c>
      <c r="AO32" s="74">
        <f t="shared" si="20"/>
        <v>2.5769578987604222</v>
      </c>
    </row>
    <row r="33" spans="2:44" ht="15.75" customHeight="1" x14ac:dyDescent="0.25">
      <c r="B33" s="19" t="s">
        <v>46</v>
      </c>
      <c r="C33" s="216">
        <v>67.28</v>
      </c>
      <c r="D33" s="216">
        <v>70.819999999999993</v>
      </c>
      <c r="E33" s="216">
        <v>66.41</v>
      </c>
      <c r="F33" s="216">
        <v>77.45</v>
      </c>
      <c r="G33" s="216">
        <v>80.180000000000007</v>
      </c>
      <c r="H33" s="74">
        <f t="shared" si="21"/>
        <v>3.5248547449967749E-2</v>
      </c>
      <c r="I33" s="74">
        <f t="shared" si="18"/>
        <v>0.13216605478678356</v>
      </c>
      <c r="R33" s="19" t="s">
        <v>46</v>
      </c>
      <c r="S33" s="216">
        <v>47.78</v>
      </c>
      <c r="T33" s="217">
        <v>38.090000000000003</v>
      </c>
      <c r="U33" s="217">
        <v>36.92</v>
      </c>
      <c r="V33" s="217">
        <v>53.920000000000009</v>
      </c>
      <c r="W33" s="217">
        <v>54.70000000000001</v>
      </c>
      <c r="X33" s="74">
        <f t="shared" si="22"/>
        <v>1.4465875370919923E-2</v>
      </c>
      <c r="Y33" s="74">
        <f t="shared" si="19"/>
        <v>0.43607245996324506</v>
      </c>
      <c r="AH33" s="19" t="s">
        <v>46</v>
      </c>
      <c r="AI33" s="219">
        <v>9017206.9299999997</v>
      </c>
      <c r="AJ33" s="220">
        <v>2812428.07</v>
      </c>
      <c r="AK33" s="220">
        <v>4381169.17</v>
      </c>
      <c r="AL33" s="220">
        <v>8179727.9699999997</v>
      </c>
      <c r="AM33" s="220">
        <v>8858381.8200000003</v>
      </c>
      <c r="AN33" s="74">
        <f t="shared" si="23"/>
        <v>8.2967777472433557E-2</v>
      </c>
      <c r="AO33" s="74">
        <f t="shared" si="20"/>
        <v>2.1497274239621711</v>
      </c>
    </row>
    <row r="34" spans="2:44" ht="15.75" customHeight="1" x14ac:dyDescent="0.25">
      <c r="B34" s="19" t="s">
        <v>47</v>
      </c>
      <c r="C34" s="216">
        <v>145.08000000000001</v>
      </c>
      <c r="D34" s="216">
        <v>135.87</v>
      </c>
      <c r="E34" s="216">
        <v>154.08000000000001</v>
      </c>
      <c r="F34" s="216">
        <v>185.51</v>
      </c>
      <c r="G34" s="216">
        <v>208.15999999999997</v>
      </c>
      <c r="H34" s="74">
        <f t="shared" si="21"/>
        <v>0.1220958438898172</v>
      </c>
      <c r="I34" s="74">
        <f t="shared" si="18"/>
        <v>0.53205269743136796</v>
      </c>
      <c r="R34" s="19" t="s">
        <v>47</v>
      </c>
      <c r="S34" s="216">
        <v>107</v>
      </c>
      <c r="T34" s="217">
        <v>44.86</v>
      </c>
      <c r="U34" s="217">
        <v>46.13</v>
      </c>
      <c r="V34" s="217">
        <v>94.79</v>
      </c>
      <c r="W34" s="217">
        <v>114.31</v>
      </c>
      <c r="X34" s="74">
        <f t="shared" si="22"/>
        <v>0.20592889545310689</v>
      </c>
      <c r="Y34" s="74">
        <f t="shared" si="19"/>
        <v>1.5481497993758362</v>
      </c>
      <c r="AH34" s="19" t="s">
        <v>47</v>
      </c>
      <c r="AI34" s="219">
        <v>61080446.18</v>
      </c>
      <c r="AJ34" s="220">
        <v>19929247.640000001</v>
      </c>
      <c r="AK34" s="220">
        <v>22694182.550000001</v>
      </c>
      <c r="AL34" s="220">
        <v>56687870.049999997</v>
      </c>
      <c r="AM34" s="220">
        <v>62672686.409999996</v>
      </c>
      <c r="AN34" s="74">
        <f t="shared" si="23"/>
        <v>0.10557490261534364</v>
      </c>
      <c r="AO34" s="74">
        <f t="shared" si="20"/>
        <v>2.1447592775258419</v>
      </c>
    </row>
    <row r="35" spans="2:44" ht="15.75" customHeight="1" x14ac:dyDescent="0.25">
      <c r="B35" s="19" t="s">
        <v>48</v>
      </c>
      <c r="C35" s="216">
        <v>53.04999999999999</v>
      </c>
      <c r="D35" s="216">
        <v>53.52</v>
      </c>
      <c r="E35" s="216">
        <v>51.25</v>
      </c>
      <c r="F35" s="216">
        <v>59.12</v>
      </c>
      <c r="G35" s="216">
        <v>65.87</v>
      </c>
      <c r="H35" s="74">
        <f t="shared" si="21"/>
        <v>0.11417456021650896</v>
      </c>
      <c r="I35" s="74">
        <f t="shared" si="18"/>
        <v>0.23075485799701045</v>
      </c>
      <c r="R35" s="19" t="s">
        <v>48</v>
      </c>
      <c r="S35" s="216">
        <v>41.28</v>
      </c>
      <c r="T35" s="217">
        <v>28.760000000000005</v>
      </c>
      <c r="U35" s="217">
        <v>28.24</v>
      </c>
      <c r="V35" s="217">
        <v>42.01</v>
      </c>
      <c r="W35" s="217">
        <v>51.99</v>
      </c>
      <c r="X35" s="74">
        <f t="shared" si="22"/>
        <v>0.23756248512258993</v>
      </c>
      <c r="Y35" s="74">
        <f t="shared" si="19"/>
        <v>0.80771905424200252</v>
      </c>
      <c r="AH35" s="19" t="s">
        <v>48</v>
      </c>
      <c r="AI35" s="219">
        <v>155171276.53999999</v>
      </c>
      <c r="AJ35" s="220">
        <v>46497100.399999999</v>
      </c>
      <c r="AK35" s="220">
        <v>54944687.289999999</v>
      </c>
      <c r="AL35" s="220">
        <v>136922674.63999999</v>
      </c>
      <c r="AM35" s="220">
        <v>177625996.66999999</v>
      </c>
      <c r="AN35" s="74">
        <f t="shared" si="23"/>
        <v>0.29727232642086521</v>
      </c>
      <c r="AO35" s="74">
        <f t="shared" si="20"/>
        <v>2.8201521200663944</v>
      </c>
    </row>
    <row r="36" spans="2:44" x14ac:dyDescent="0.25">
      <c r="B36" s="19" t="s">
        <v>49</v>
      </c>
      <c r="C36" s="216">
        <v>81.38</v>
      </c>
      <c r="D36" s="216">
        <v>86.79</v>
      </c>
      <c r="E36" s="216">
        <v>84.44</v>
      </c>
      <c r="F36" s="216">
        <v>89.45</v>
      </c>
      <c r="G36" s="216">
        <v>98.5</v>
      </c>
      <c r="H36" s="74">
        <f>G36/F36-1</f>
        <v>0.10117384013415309</v>
      </c>
      <c r="I36" s="74">
        <f t="shared" si="18"/>
        <v>0.13492337826938572</v>
      </c>
      <c r="R36" s="19" t="s">
        <v>49</v>
      </c>
      <c r="S36" s="216">
        <v>51.62</v>
      </c>
      <c r="T36" s="217">
        <v>49.1</v>
      </c>
      <c r="U36" s="217">
        <v>45.63</v>
      </c>
      <c r="V36" s="217">
        <v>64.64</v>
      </c>
      <c r="W36" s="217">
        <v>73.62</v>
      </c>
      <c r="X36" s="74">
        <f t="shared" si="22"/>
        <v>0.13892326732673266</v>
      </c>
      <c r="Y36" s="74">
        <f t="shared" si="19"/>
        <v>0.49938900203666003</v>
      </c>
      <c r="AH36" s="19" t="s">
        <v>49</v>
      </c>
      <c r="AI36" s="219">
        <v>6868734.8799999999</v>
      </c>
      <c r="AJ36" s="220">
        <v>3114952.08</v>
      </c>
      <c r="AK36" s="220">
        <v>4498900.47</v>
      </c>
      <c r="AL36" s="220">
        <v>7864755.4299999997</v>
      </c>
      <c r="AM36" s="220">
        <v>9097368.0999999996</v>
      </c>
      <c r="AN36" s="74">
        <f t="shared" si="23"/>
        <v>0.15672612848178558</v>
      </c>
      <c r="AO36" s="74">
        <f t="shared" si="20"/>
        <v>1.9205483315171898</v>
      </c>
    </row>
    <row r="37" spans="2:44" x14ac:dyDescent="0.25">
      <c r="B37" s="19" t="s">
        <v>50</v>
      </c>
      <c r="C37" s="216">
        <v>85.19</v>
      </c>
      <c r="D37" s="216">
        <v>106.13</v>
      </c>
      <c r="E37" s="216">
        <v>125.31</v>
      </c>
      <c r="F37" s="216">
        <v>128.06</v>
      </c>
      <c r="G37" s="216">
        <v>149.08000000000001</v>
      </c>
      <c r="H37" s="74">
        <f t="shared" ref="H37:H40" si="24">G37/F37-1</f>
        <v>0.16414180852725302</v>
      </c>
      <c r="I37" s="74">
        <f t="shared" si="18"/>
        <v>0.40469235842834284</v>
      </c>
      <c r="R37" s="19" t="s">
        <v>50</v>
      </c>
      <c r="S37" s="216">
        <v>67.78</v>
      </c>
      <c r="T37" s="217">
        <v>64.31</v>
      </c>
      <c r="U37" s="217">
        <v>82.55</v>
      </c>
      <c r="V37" s="217">
        <v>96.70999999999998</v>
      </c>
      <c r="W37" s="217">
        <v>122.12</v>
      </c>
      <c r="X37" s="74">
        <f t="shared" si="22"/>
        <v>0.26274428704373931</v>
      </c>
      <c r="Y37" s="74">
        <f t="shared" si="19"/>
        <v>0.8989270719950242</v>
      </c>
      <c r="AH37" s="19" t="s">
        <v>50</v>
      </c>
      <c r="AI37" s="219">
        <v>42420393.43</v>
      </c>
      <c r="AJ37" s="220">
        <v>18804870.850000001</v>
      </c>
      <c r="AK37" s="220">
        <v>30921945.879999999</v>
      </c>
      <c r="AL37" s="220">
        <v>58482134.030000001</v>
      </c>
      <c r="AM37" s="220">
        <v>79534420.480000004</v>
      </c>
      <c r="AN37" s="74">
        <f t="shared" si="23"/>
        <v>0.35997808218148575</v>
      </c>
      <c r="AO37" s="74">
        <f t="shared" si="20"/>
        <v>3.2294584799022958</v>
      </c>
    </row>
    <row r="38" spans="2:44" x14ac:dyDescent="0.25">
      <c r="B38" s="19" t="s">
        <v>51</v>
      </c>
      <c r="C38" s="216">
        <v>63.43</v>
      </c>
      <c r="D38" s="216">
        <v>64.19</v>
      </c>
      <c r="E38" s="216">
        <v>68.989999999999995</v>
      </c>
      <c r="F38" s="216">
        <v>76.34</v>
      </c>
      <c r="G38" s="216">
        <v>86.65</v>
      </c>
      <c r="H38" s="74">
        <f t="shared" si="24"/>
        <v>0.13505370709981657</v>
      </c>
      <c r="I38" s="74">
        <f t="shared" si="18"/>
        <v>0.34989873812120287</v>
      </c>
      <c r="R38" s="19" t="s">
        <v>51</v>
      </c>
      <c r="S38" s="216">
        <v>43.26</v>
      </c>
      <c r="T38" s="217">
        <v>33.54</v>
      </c>
      <c r="U38" s="217">
        <v>37.840000000000003</v>
      </c>
      <c r="V38" s="217">
        <v>53.16</v>
      </c>
      <c r="W38" s="217">
        <v>62.04999999999999</v>
      </c>
      <c r="X38" s="74">
        <f t="shared" si="22"/>
        <v>0.16723100075244535</v>
      </c>
      <c r="Y38" s="74">
        <f t="shared" si="19"/>
        <v>0.85002981514609388</v>
      </c>
      <c r="AH38" s="19" t="s">
        <v>51</v>
      </c>
      <c r="AI38" s="219">
        <v>23173738.510000002</v>
      </c>
      <c r="AJ38" s="220">
        <v>10173605.369999999</v>
      </c>
      <c r="AK38" s="220">
        <v>16610861.380000001</v>
      </c>
      <c r="AL38" s="220">
        <v>27747259.210000001</v>
      </c>
      <c r="AM38" s="220">
        <v>33504230.199999999</v>
      </c>
      <c r="AN38" s="74">
        <f t="shared" si="23"/>
        <v>0.20747890616617037</v>
      </c>
      <c r="AO38" s="74">
        <f t="shared" si="20"/>
        <v>2.2932504241610858</v>
      </c>
    </row>
    <row r="39" spans="2:44" x14ac:dyDescent="0.25">
      <c r="B39" s="19" t="s">
        <v>52</v>
      </c>
      <c r="C39" s="216">
        <v>92.8</v>
      </c>
      <c r="D39" s="216">
        <v>102.24</v>
      </c>
      <c r="E39" s="216">
        <v>98.71</v>
      </c>
      <c r="F39" s="216">
        <v>114.5</v>
      </c>
      <c r="G39" s="216">
        <v>129.04</v>
      </c>
      <c r="H39" s="74">
        <f t="shared" si="24"/>
        <v>0.12698689956331877</v>
      </c>
      <c r="I39" s="74">
        <f t="shared" si="18"/>
        <v>0.2621283255086071</v>
      </c>
      <c r="R39" s="19" t="s">
        <v>52</v>
      </c>
      <c r="S39" s="216">
        <v>71.48</v>
      </c>
      <c r="T39" s="217">
        <v>50.94</v>
      </c>
      <c r="U39" s="217">
        <v>53.72</v>
      </c>
      <c r="V39" s="217">
        <v>88.72</v>
      </c>
      <c r="W39" s="217">
        <v>108.87</v>
      </c>
      <c r="X39" s="74">
        <f t="shared" si="22"/>
        <v>0.22711902614968449</v>
      </c>
      <c r="Y39" s="74">
        <f t="shared" si="19"/>
        <v>1.1372202591283864</v>
      </c>
      <c r="AH39" s="19" t="s">
        <v>52</v>
      </c>
      <c r="AI39" s="219">
        <v>73857149.140000001</v>
      </c>
      <c r="AJ39" s="220">
        <v>28411183</v>
      </c>
      <c r="AK39" s="220">
        <v>34127770.07</v>
      </c>
      <c r="AL39" s="220">
        <v>88124626.280000001</v>
      </c>
      <c r="AM39" s="220">
        <v>107018992.04000001</v>
      </c>
      <c r="AN39" s="74">
        <f t="shared" si="23"/>
        <v>0.214405059715846</v>
      </c>
      <c r="AO39" s="74">
        <f t="shared" si="20"/>
        <v>2.7667911272825214</v>
      </c>
    </row>
    <row r="40" spans="2:44" x14ac:dyDescent="0.25">
      <c r="B40" s="23" t="s">
        <v>53</v>
      </c>
      <c r="C40" s="216">
        <v>55.1</v>
      </c>
      <c r="D40" s="216">
        <v>58.1</v>
      </c>
      <c r="E40" s="216">
        <v>74.28</v>
      </c>
      <c r="F40" s="216">
        <v>64.23</v>
      </c>
      <c r="G40" s="216">
        <v>69.86</v>
      </c>
      <c r="H40" s="74">
        <f t="shared" si="24"/>
        <v>8.7653744356219754E-2</v>
      </c>
      <c r="I40" s="74">
        <f t="shared" si="18"/>
        <v>0.2024096385542169</v>
      </c>
      <c r="R40" s="23" t="s">
        <v>53</v>
      </c>
      <c r="S40" s="216">
        <v>39.85</v>
      </c>
      <c r="T40" s="217">
        <v>22.7</v>
      </c>
      <c r="U40" s="217">
        <v>29.35</v>
      </c>
      <c r="V40" s="217">
        <v>43.18</v>
      </c>
      <c r="W40" s="217">
        <v>54</v>
      </c>
      <c r="X40" s="74">
        <f t="shared" si="22"/>
        <v>0.25057897174617882</v>
      </c>
      <c r="Y40" s="74">
        <f t="shared" si="19"/>
        <v>1.3788546255506611</v>
      </c>
      <c r="AH40" s="23" t="s">
        <v>53</v>
      </c>
      <c r="AI40" s="219">
        <v>20449761.57</v>
      </c>
      <c r="AJ40" s="220">
        <v>7215296.4500000002</v>
      </c>
      <c r="AK40" s="220">
        <v>12828760.220000001</v>
      </c>
      <c r="AL40" s="220">
        <v>20416665.23</v>
      </c>
      <c r="AM40" s="220">
        <v>24141003.859999999</v>
      </c>
      <c r="AN40" s="74">
        <f t="shared" si="23"/>
        <v>0.18241659879535566</v>
      </c>
      <c r="AO40" s="74">
        <f t="shared" si="20"/>
        <v>2.3458090083048493</v>
      </c>
    </row>
    <row r="41" spans="2:44" x14ac:dyDescent="0.25">
      <c r="B41" s="101"/>
      <c r="C41" s="102"/>
      <c r="D41" s="102"/>
      <c r="E41" s="102"/>
      <c r="F41" s="102"/>
      <c r="G41" s="103"/>
      <c r="H41" s="102"/>
      <c r="I41" s="104"/>
      <c r="R41" s="101"/>
      <c r="S41" s="102"/>
      <c r="T41" s="102"/>
      <c r="U41" s="102"/>
      <c r="V41" s="102"/>
      <c r="W41" s="103"/>
      <c r="X41" s="102"/>
      <c r="Y41" s="104"/>
      <c r="AH41" s="101"/>
      <c r="AI41" s="101"/>
      <c r="AJ41" s="101"/>
      <c r="AK41" s="101"/>
      <c r="AL41" s="102"/>
      <c r="AM41" s="103"/>
      <c r="AN41" s="104"/>
      <c r="AO41" s="104"/>
    </row>
    <row r="42" spans="2:44" x14ac:dyDescent="0.25">
      <c r="B42" s="308" t="s">
        <v>55</v>
      </c>
      <c r="C42" s="308"/>
      <c r="D42" s="308"/>
      <c r="E42" s="308"/>
      <c r="F42" s="308"/>
      <c r="G42" s="308"/>
      <c r="H42" s="308"/>
      <c r="I42" s="308"/>
      <c r="R42" s="308" t="s">
        <v>55</v>
      </c>
      <c r="S42" s="308"/>
      <c r="T42" s="308"/>
      <c r="U42" s="308"/>
      <c r="V42" s="308"/>
      <c r="W42" s="308"/>
      <c r="X42" s="308"/>
      <c r="Y42" s="308"/>
      <c r="AH42" s="105" t="s">
        <v>55</v>
      </c>
      <c r="AI42" s="105"/>
      <c r="AJ42" s="105"/>
      <c r="AK42" s="105"/>
      <c r="AL42" s="105"/>
      <c r="AM42" s="105"/>
      <c r="AN42" s="105"/>
      <c r="AO42" s="105"/>
    </row>
    <row r="43" spans="2:44" ht="39" customHeight="1" x14ac:dyDescent="0.25">
      <c r="B43" s="268" t="s">
        <v>165</v>
      </c>
      <c r="C43" s="268"/>
      <c r="D43" s="268"/>
      <c r="E43" s="268"/>
      <c r="F43" s="268"/>
      <c r="G43" s="268"/>
      <c r="H43" s="268"/>
      <c r="I43" s="268"/>
      <c r="R43" s="268" t="s">
        <v>166</v>
      </c>
      <c r="S43" s="268"/>
      <c r="T43" s="268"/>
      <c r="U43" s="268"/>
      <c r="V43" s="268"/>
      <c r="W43" s="268"/>
      <c r="X43" s="268"/>
      <c r="Y43" s="268"/>
      <c r="AH43" s="309" t="s">
        <v>167</v>
      </c>
      <c r="AI43" s="309"/>
      <c r="AJ43" s="309"/>
      <c r="AK43" s="309"/>
      <c r="AL43" s="309"/>
      <c r="AM43" s="309"/>
      <c r="AN43" s="309"/>
      <c r="AO43" s="309"/>
      <c r="AP43" s="309"/>
      <c r="AQ43" s="309"/>
      <c r="AR43" s="309"/>
    </row>
    <row r="44" spans="2:44" ht="24" customHeight="1" x14ac:dyDescent="0.25">
      <c r="B44" s="268" t="s">
        <v>168</v>
      </c>
      <c r="C44" s="268"/>
      <c r="D44" s="268"/>
      <c r="E44" s="268"/>
      <c r="F44" s="268"/>
      <c r="G44" s="268"/>
      <c r="H44" s="268"/>
      <c r="I44" s="268"/>
      <c r="R44" s="310" t="s">
        <v>169</v>
      </c>
      <c r="S44" s="310"/>
      <c r="T44" s="310"/>
      <c r="U44" s="310"/>
      <c r="V44" s="310"/>
      <c r="W44" s="310"/>
      <c r="X44" s="310"/>
      <c r="Y44" s="310"/>
      <c r="AI44" s="120"/>
      <c r="AJ44" s="120"/>
    </row>
  </sheetData>
  <mergeCells count="19">
    <mergeCell ref="AH27:AO27"/>
    <mergeCell ref="B5:P5"/>
    <mergeCell ref="R5:AF5"/>
    <mergeCell ref="AH5:BB5"/>
    <mergeCell ref="B21:P21"/>
    <mergeCell ref="R21:AF21"/>
    <mergeCell ref="AH21:BB21"/>
    <mergeCell ref="B44:I44"/>
    <mergeCell ref="R44:Y44"/>
    <mergeCell ref="B22:P22"/>
    <mergeCell ref="R22:AF22"/>
    <mergeCell ref="B23:P23"/>
    <mergeCell ref="B27:I27"/>
    <mergeCell ref="R27:Y27"/>
    <mergeCell ref="B42:I42"/>
    <mergeCell ref="R42:Y42"/>
    <mergeCell ref="B43:I43"/>
    <mergeCell ref="R43:Y43"/>
    <mergeCell ref="AH43:AR43"/>
  </mergeCells>
  <pageMargins left="0.7" right="0.7" top="0.75" bottom="0.75" header="0.3" footer="0.3"/>
  <pageSetup paperSize="9" orientation="portrait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DB18C8-4EA9-4B0B-BF10-8C628E1F8950}">
  <sheetPr>
    <tabColor theme="4"/>
  </sheetPr>
  <dimension ref="B4:B25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spans="2:2" ht="15" customHeight="1" x14ac:dyDescent="0.25"/>
    <row r="18" spans="2:2" ht="15" customHeight="1" x14ac:dyDescent="0.25"/>
    <row r="19" spans="2:2" ht="15" customHeight="1" x14ac:dyDescent="0.25"/>
    <row r="20" spans="2:2" ht="15" customHeight="1" x14ac:dyDescent="0.25"/>
    <row r="21" spans="2:2" ht="15" customHeight="1" x14ac:dyDescent="0.25"/>
    <row r="22" spans="2:2" ht="15" customHeight="1" x14ac:dyDescent="0.25"/>
    <row r="23" spans="2:2" ht="15" customHeight="1" x14ac:dyDescent="0.25"/>
    <row r="24" spans="2:2" ht="15" customHeight="1" x14ac:dyDescent="0.25"/>
    <row r="25" spans="2:2" x14ac:dyDescent="0.25">
      <c r="B25" t="s">
        <v>161</v>
      </c>
    </row>
  </sheetData>
  <pageMargins left="0.7" right="0.7" top="0.75" bottom="0.75" header="0.3" footer="0.3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FA9F27-02E7-49A7-894F-A91383B0B1BF}">
  <sheetPr>
    <tabColor theme="4" tint="0.39997558519241921"/>
  </sheetPr>
  <dimension ref="A1:AE13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4" width="14.28515625" customWidth="1"/>
    <col min="5" max="12" width="14.7109375" customWidth="1"/>
    <col min="13" max="13" width="11.42578125" customWidth="1"/>
    <col min="14" max="14" width="14.7109375" customWidth="1"/>
    <col min="20" max="20" width="12.42578125" customWidth="1"/>
    <col min="27" max="27" width="14" customWidth="1"/>
    <col min="31" max="31" width="11.42578125" style="1"/>
  </cols>
  <sheetData>
    <row r="1" spans="1:31" ht="30" customHeight="1" x14ac:dyDescent="0.25">
      <c r="B1" s="1" t="s">
        <v>314</v>
      </c>
      <c r="C1" s="1"/>
      <c r="D1" s="1"/>
      <c r="F1" s="223"/>
      <c r="G1" s="223"/>
      <c r="H1" s="223"/>
      <c r="J1" s="223"/>
    </row>
    <row r="3" spans="1:31" s="4" customFormat="1" ht="25.5" customHeight="1" thickBot="1" x14ac:dyDescent="0.3">
      <c r="B3" s="62" t="s">
        <v>315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45" x14ac:dyDescent="0.25">
      <c r="C5" s="172" t="s">
        <v>262</v>
      </c>
      <c r="D5" s="172" t="s">
        <v>263</v>
      </c>
      <c r="E5" s="172" t="s">
        <v>269</v>
      </c>
      <c r="F5" s="172" t="s">
        <v>264</v>
      </c>
      <c r="G5" s="173" t="str">
        <f>CONCATENATE("var. ",RIGHT(F5,2),"/",RIGHT(E5,2))</f>
        <v>var. 22/21</v>
      </c>
      <c r="H5" s="173" t="str">
        <f>CONCATENATE("dif. ",RIGHT(F5,2),"/",RIGHT(E5,2))</f>
        <v>dif. 22/21</v>
      </c>
      <c r="I5" s="173" t="str">
        <f>CONCATENATE("%/s total España ",RIGHT(F5,4))</f>
        <v>%/s total España 2022</v>
      </c>
      <c r="J5" s="172" t="s">
        <v>265</v>
      </c>
      <c r="K5" s="173" t="str">
        <f>CONCATENATE("var. ",RIGHT(J5,2),"/",RIGHT(F5,2))</f>
        <v>var. 23/22</v>
      </c>
      <c r="L5" s="173" t="str">
        <f>CONCATENATE("dif. ",RIGHT(J5,2),"/",RIGHT(F5,2))</f>
        <v>dif. 23/22</v>
      </c>
      <c r="M5" s="173" t="str">
        <f>CONCATENATE("%/s total España ",RIGHT(J5,4))</f>
        <v>%/s total España 2023</v>
      </c>
      <c r="N5" s="172" t="s">
        <v>266</v>
      </c>
      <c r="O5" s="173" t="str">
        <f>CONCATENATE("var. ",RIGHT(N5,2),"/",RIGHT(J5,2))</f>
        <v>var. 24/23</v>
      </c>
      <c r="P5" s="173" t="str">
        <f>CONCATENATE("dif. ",RIGHT(N5,2),"/",RIGHT(J5,2))</f>
        <v>dif. 24/23</v>
      </c>
      <c r="Q5" s="173" t="str">
        <f>CONCATENATE("var. ",RIGHT(N5,2),"/",RIGHT(C5,2))</f>
        <v>var. 24/19</v>
      </c>
      <c r="R5" s="173" t="str">
        <f>CONCATENATE("dif. ",RIGHT(N5,2),"/",RIGHT(C5,2))</f>
        <v>dif. 24/19</v>
      </c>
      <c r="S5" s="173" t="str">
        <f>CONCATENATE("%/s total España ",RIGHT(N5,4))</f>
        <v>%/s total España 2024</v>
      </c>
      <c r="T5" s="173" t="str">
        <f>CONCATENATE("%/s total Turistas ",RIGHT(N5,4))</f>
        <v>%/s total Turistas 2024</v>
      </c>
      <c r="AE5" s="1"/>
    </row>
    <row r="6" spans="1:31" s="4" customFormat="1" ht="18.75" x14ac:dyDescent="0.3">
      <c r="B6" s="224" t="s">
        <v>173</v>
      </c>
      <c r="C6" s="225">
        <v>39423</v>
      </c>
      <c r="D6" s="225">
        <v>17295</v>
      </c>
      <c r="E6" s="225">
        <v>21073</v>
      </c>
      <c r="F6" s="225">
        <v>37456</v>
      </c>
      <c r="G6" s="226">
        <f t="shared" ref="G6:G11" si="0">F6/E6-1</f>
        <v>0.77744032648412653</v>
      </c>
      <c r="H6" s="225">
        <f t="shared" ref="H6:H11" si="1">F6-E6</f>
        <v>16383</v>
      </c>
      <c r="I6" s="226"/>
      <c r="J6" s="225">
        <v>44189</v>
      </c>
      <c r="K6" s="226">
        <f t="shared" ref="K6:K11" si="2">J6/F6-1</f>
        <v>0.1797575822298163</v>
      </c>
      <c r="L6" s="225">
        <f t="shared" ref="L6:L11" si="3">J6-F6</f>
        <v>6733</v>
      </c>
      <c r="M6" s="226"/>
      <c r="N6" s="225">
        <v>41777</v>
      </c>
      <c r="O6" s="226">
        <f t="shared" ref="O6:O11" si="4">N6/J6-1</f>
        <v>-5.4583719930299424E-2</v>
      </c>
      <c r="P6" s="225">
        <f t="shared" ref="P6:P11" si="5">N6-J6</f>
        <v>-2412</v>
      </c>
      <c r="Q6" s="226">
        <f>N6/C6-1</f>
        <v>5.9711336022119088E-2</v>
      </c>
      <c r="R6" s="225">
        <f>N6-C6</f>
        <v>2354</v>
      </c>
      <c r="S6" s="226"/>
      <c r="T6" s="226"/>
      <c r="V6" s="29"/>
      <c r="AE6" s="1"/>
    </row>
    <row r="7" spans="1:31" ht="18.75" x14ac:dyDescent="0.3">
      <c r="A7" s="4"/>
      <c r="B7" s="224" t="s">
        <v>174</v>
      </c>
      <c r="C7" s="225">
        <v>26258</v>
      </c>
      <c r="D7" s="225">
        <v>11031</v>
      </c>
      <c r="E7" s="225">
        <v>13958</v>
      </c>
      <c r="F7" s="225">
        <v>24786</v>
      </c>
      <c r="G7" s="226">
        <f t="shared" si="0"/>
        <v>0.77575583894540756</v>
      </c>
      <c r="H7" s="225">
        <f t="shared" si="1"/>
        <v>10828</v>
      </c>
      <c r="I7" s="226">
        <f>F7/$F$7</f>
        <v>1</v>
      </c>
      <c r="J7" s="225">
        <v>29860</v>
      </c>
      <c r="K7" s="226">
        <f t="shared" si="2"/>
        <v>0.20471233760994112</v>
      </c>
      <c r="L7" s="225">
        <f t="shared" si="3"/>
        <v>5074</v>
      </c>
      <c r="M7" s="226">
        <f>J7/$J$7</f>
        <v>1</v>
      </c>
      <c r="N7" s="225">
        <v>26153</v>
      </c>
      <c r="O7" s="226">
        <f t="shared" si="4"/>
        <v>-0.12414601473543196</v>
      </c>
      <c r="P7" s="225">
        <f t="shared" si="5"/>
        <v>-3707</v>
      </c>
      <c r="Q7" s="226">
        <f t="shared" ref="Q7:Q11" si="6">N7/C7-1</f>
        <v>-3.9987813237870595E-3</v>
      </c>
      <c r="R7" s="225">
        <f t="shared" ref="R7:R11" si="7">N7-C7</f>
        <v>-105</v>
      </c>
      <c r="S7" s="226">
        <f>N7/$N$7</f>
        <v>1</v>
      </c>
      <c r="T7" s="226">
        <f>N7/$N$6</f>
        <v>0.62601431409627306</v>
      </c>
      <c r="V7" s="29"/>
      <c r="W7" s="79"/>
      <c r="AE7" s="1" t="s">
        <v>175</v>
      </c>
    </row>
    <row r="8" spans="1:31" ht="15.75" x14ac:dyDescent="0.25">
      <c r="A8" s="4"/>
      <c r="B8" s="227" t="s">
        <v>100</v>
      </c>
      <c r="C8" s="228">
        <v>13348</v>
      </c>
      <c r="D8" s="228">
        <v>5101</v>
      </c>
      <c r="E8" s="228">
        <v>6944</v>
      </c>
      <c r="F8" s="228">
        <v>12895</v>
      </c>
      <c r="G8" s="229">
        <f t="shared" si="0"/>
        <v>0.85699884792626735</v>
      </c>
      <c r="H8" s="228">
        <f t="shared" si="1"/>
        <v>5951</v>
      </c>
      <c r="I8" s="229">
        <f>F8/$F$7</f>
        <v>0.52025336883724682</v>
      </c>
      <c r="J8" s="228">
        <v>20325</v>
      </c>
      <c r="K8" s="229">
        <f t="shared" si="2"/>
        <v>0.57619232260566111</v>
      </c>
      <c r="L8" s="228">
        <f t="shared" si="3"/>
        <v>7430</v>
      </c>
      <c r="M8" s="229">
        <f>J8/$J$7</f>
        <v>0.68067649028801069</v>
      </c>
      <c r="N8" s="228">
        <v>17951</v>
      </c>
      <c r="O8" s="229">
        <f t="shared" si="4"/>
        <v>-0.11680196801968024</v>
      </c>
      <c r="P8" s="228">
        <f t="shared" si="5"/>
        <v>-2374</v>
      </c>
      <c r="Q8" s="229">
        <f t="shared" si="6"/>
        <v>0.34484566976326048</v>
      </c>
      <c r="R8" s="228">
        <f t="shared" si="7"/>
        <v>4603</v>
      </c>
      <c r="S8" s="229">
        <f>N8/$N$7</f>
        <v>0.6863839712461286</v>
      </c>
      <c r="T8" s="229">
        <f>N8/$N$6</f>
        <v>0.42968619096632116</v>
      </c>
      <c r="V8" s="29"/>
      <c r="W8" s="79"/>
      <c r="AE8" s="1" t="s">
        <v>176</v>
      </c>
    </row>
    <row r="9" spans="1:31" s="4" customFormat="1" x14ac:dyDescent="0.25">
      <c r="B9" s="230" t="s">
        <v>103</v>
      </c>
      <c r="C9" s="231">
        <v>12910</v>
      </c>
      <c r="D9" s="231">
        <v>5930</v>
      </c>
      <c r="E9" s="231">
        <v>7014</v>
      </c>
      <c r="F9" s="231">
        <v>11891</v>
      </c>
      <c r="G9" s="232">
        <f t="shared" si="0"/>
        <v>0.69532363843741085</v>
      </c>
      <c r="H9" s="233">
        <f t="shared" si="1"/>
        <v>4877</v>
      </c>
      <c r="I9" s="234">
        <f>F9/$F$7</f>
        <v>0.47974663116275318</v>
      </c>
      <c r="J9" s="231">
        <v>9535</v>
      </c>
      <c r="K9" s="232">
        <f t="shared" si="2"/>
        <v>-0.19813304179631652</v>
      </c>
      <c r="L9" s="233">
        <f t="shared" si="3"/>
        <v>-2356</v>
      </c>
      <c r="M9" s="234">
        <f>J9/$J$7</f>
        <v>0.31932350971198931</v>
      </c>
      <c r="N9" s="231">
        <v>8202</v>
      </c>
      <c r="O9" s="232">
        <f t="shared" si="4"/>
        <v>-0.13980073413738858</v>
      </c>
      <c r="P9" s="233">
        <f t="shared" si="5"/>
        <v>-1333</v>
      </c>
      <c r="Q9" s="232">
        <f t="shared" si="6"/>
        <v>-0.36467854376452358</v>
      </c>
      <c r="R9" s="233">
        <f t="shared" si="7"/>
        <v>-4708</v>
      </c>
      <c r="S9" s="234">
        <f>N9/$N$7</f>
        <v>0.31361602875387146</v>
      </c>
      <c r="T9" s="234">
        <f>N9/$N$6</f>
        <v>0.19632812312995188</v>
      </c>
      <c r="V9" s="29"/>
      <c r="W9" s="79"/>
      <c r="AE9" s="1" t="s">
        <v>177</v>
      </c>
    </row>
    <row r="10" spans="1:31" s="4" customFormat="1" x14ac:dyDescent="0.25">
      <c r="B10" s="235" t="s">
        <v>178</v>
      </c>
      <c r="C10" s="29">
        <v>1920</v>
      </c>
      <c r="D10" s="29">
        <v>523</v>
      </c>
      <c r="E10" s="29">
        <v>84</v>
      </c>
      <c r="F10" s="29">
        <v>1383</v>
      </c>
      <c r="G10" s="22">
        <f t="shared" si="0"/>
        <v>15.464285714285715</v>
      </c>
      <c r="H10" s="20">
        <f t="shared" si="1"/>
        <v>1299</v>
      </c>
      <c r="I10" s="31">
        <f>F10/$F$7</f>
        <v>5.5797627693052528E-2</v>
      </c>
      <c r="J10" s="29">
        <v>1363</v>
      </c>
      <c r="K10" s="22">
        <f t="shared" si="2"/>
        <v>-1.4461315979754197E-2</v>
      </c>
      <c r="L10" s="20">
        <f t="shared" si="3"/>
        <v>-20</v>
      </c>
      <c r="M10" s="31">
        <f>J10/$J$7</f>
        <v>4.5646349631614201E-2</v>
      </c>
      <c r="N10" s="29">
        <v>1397</v>
      </c>
      <c r="O10" s="22">
        <f t="shared" si="4"/>
        <v>2.49449743213499E-2</v>
      </c>
      <c r="P10" s="20">
        <f t="shared" si="5"/>
        <v>34</v>
      </c>
      <c r="Q10" s="22">
        <f t="shared" si="6"/>
        <v>-0.27239583333333328</v>
      </c>
      <c r="R10" s="20">
        <f t="shared" si="7"/>
        <v>-523</v>
      </c>
      <c r="S10" s="31">
        <f>N10/$N$7</f>
        <v>5.3416434061101976E-2</v>
      </c>
      <c r="T10" s="31">
        <f>N10/$N$6</f>
        <v>3.3439452330229553E-2</v>
      </c>
      <c r="V10" s="29"/>
      <c r="W10" s="79"/>
      <c r="AE10" s="1" t="s">
        <v>179</v>
      </c>
    </row>
    <row r="11" spans="1:31" s="4" customFormat="1" x14ac:dyDescent="0.25">
      <c r="B11" s="235" t="s">
        <v>180</v>
      </c>
      <c r="C11" s="29">
        <f>C9-C10</f>
        <v>10990</v>
      </c>
      <c r="D11" s="29">
        <f>D9-D10</f>
        <v>5407</v>
      </c>
      <c r="E11" s="29">
        <f>E9-E10</f>
        <v>6930</v>
      </c>
      <c r="F11" s="29">
        <f>F9-F10</f>
        <v>10508</v>
      </c>
      <c r="G11" s="22">
        <f t="shared" si="0"/>
        <v>0.51630591630591627</v>
      </c>
      <c r="H11" s="20">
        <f t="shared" si="1"/>
        <v>3578</v>
      </c>
      <c r="I11" s="31">
        <f>F11/$F$7</f>
        <v>0.42394900346970066</v>
      </c>
      <c r="J11" s="29">
        <f>J9-J10</f>
        <v>8172</v>
      </c>
      <c r="K11" s="22">
        <f t="shared" si="2"/>
        <v>-0.22230681385610962</v>
      </c>
      <c r="L11" s="20">
        <f t="shared" si="3"/>
        <v>-2336</v>
      </c>
      <c r="M11" s="31">
        <f>J11/$J$7</f>
        <v>0.27367716008037507</v>
      </c>
      <c r="N11" s="29">
        <f>N9-N10</f>
        <v>6805</v>
      </c>
      <c r="O11" s="22">
        <f t="shared" si="4"/>
        <v>-0.16727851199216837</v>
      </c>
      <c r="P11" s="20">
        <f t="shared" si="5"/>
        <v>-1367</v>
      </c>
      <c r="Q11" s="22">
        <f t="shared" si="6"/>
        <v>-0.38080072793448594</v>
      </c>
      <c r="R11" s="20">
        <f t="shared" si="7"/>
        <v>-4185</v>
      </c>
      <c r="S11" s="31">
        <f>N11/$N$7</f>
        <v>0.26019959469276949</v>
      </c>
      <c r="T11" s="31">
        <f>N11/$N$6</f>
        <v>0.16288867079972233</v>
      </c>
      <c r="V11" s="29"/>
      <c r="W11" s="79"/>
      <c r="AE11" s="1" t="s">
        <v>181</v>
      </c>
    </row>
    <row r="12" spans="1:31" s="4" customFormat="1" ht="7.5" customHeight="1" x14ac:dyDescent="0.25">
      <c r="B12" s="236"/>
      <c r="C12" s="236"/>
      <c r="D12" s="236"/>
      <c r="E12" s="236"/>
      <c r="F12" s="236"/>
      <c r="G12" s="236"/>
      <c r="H12" s="236"/>
      <c r="I12" s="236"/>
      <c r="J12" s="236"/>
      <c r="K12" s="236"/>
      <c r="L12" s="236"/>
      <c r="M12" s="236"/>
      <c r="N12" s="236"/>
      <c r="O12" s="236"/>
      <c r="P12" s="236"/>
      <c r="Q12" s="236"/>
      <c r="R12" s="236"/>
      <c r="S12" s="236"/>
      <c r="T12" s="236"/>
      <c r="AE12" s="1" t="s">
        <v>182</v>
      </c>
    </row>
    <row r="13" spans="1:31" s="4" customFormat="1" x14ac:dyDescent="0.25">
      <c r="B13" s="125" t="s">
        <v>183</v>
      </c>
      <c r="C13" s="125"/>
      <c r="D13" s="125"/>
      <c r="E13" s="125"/>
      <c r="F13" s="125"/>
      <c r="G13" s="125"/>
      <c r="H13" s="125"/>
      <c r="I13" s="125"/>
      <c r="J13" s="125"/>
      <c r="K13" s="125"/>
      <c r="L13" s="125"/>
      <c r="M13" s="125"/>
      <c r="N13" s="125"/>
      <c r="O13" s="125"/>
      <c r="P13" s="125"/>
      <c r="Q13" s="125"/>
      <c r="R13" s="125"/>
      <c r="S13" s="125"/>
      <c r="T13" s="125"/>
      <c r="AE13" s="1" t="s">
        <v>184</v>
      </c>
    </row>
    <row r="14" spans="1:31" s="4" customFormat="1" x14ac:dyDescent="0.25">
      <c r="AE14" s="1"/>
    </row>
    <row r="37" spans="2:31" s="4" customFormat="1" ht="15.75" hidden="1" customHeight="1" thickBot="1" x14ac:dyDescent="0.3">
      <c r="B37" s="270" t="s">
        <v>185</v>
      </c>
      <c r="C37" s="270"/>
      <c r="D37" s="270"/>
      <c r="E37" s="270"/>
      <c r="F37" s="270"/>
      <c r="G37" s="270"/>
      <c r="H37" s="270"/>
      <c r="I37" s="270"/>
      <c r="J37" s="270"/>
      <c r="K37" s="270"/>
      <c r="L37" s="270"/>
      <c r="M37" s="270"/>
      <c r="N37" s="270"/>
      <c r="O37" s="270"/>
      <c r="P37" s="270"/>
      <c r="Q37" s="270"/>
      <c r="R37" s="270"/>
      <c r="S37" s="83"/>
      <c r="T37" s="83"/>
      <c r="AE37" s="1"/>
    </row>
    <row r="38" spans="2:31" s="4" customFormat="1" ht="6" hidden="1" customHeight="1" thickBot="1" x14ac:dyDescent="0.3">
      <c r="AE38" s="1"/>
    </row>
    <row r="39" spans="2:31" s="4" customFormat="1" ht="30" hidden="1" x14ac:dyDescent="0.25">
      <c r="E39" s="87"/>
      <c r="F39" s="87"/>
      <c r="G39" s="87"/>
      <c r="H39" s="87"/>
      <c r="I39" s="87"/>
      <c r="J39" s="14">
        <v>2020</v>
      </c>
      <c r="K39" s="14"/>
      <c r="L39" s="14"/>
      <c r="M39" s="14" t="s">
        <v>186</v>
      </c>
      <c r="N39" s="14">
        <v>2021</v>
      </c>
      <c r="O39" s="14" t="s">
        <v>186</v>
      </c>
      <c r="P39" s="14" t="s">
        <v>187</v>
      </c>
      <c r="Q39" s="14" t="s">
        <v>188</v>
      </c>
      <c r="R39" s="14" t="s">
        <v>189</v>
      </c>
      <c r="S39" s="87"/>
      <c r="T39" s="87"/>
      <c r="AE39" s="1"/>
    </row>
    <row r="40" spans="2:31" s="4" customFormat="1" ht="18.75" hidden="1" x14ac:dyDescent="0.3">
      <c r="B40" s="224" t="s">
        <v>173</v>
      </c>
      <c r="C40" s="224"/>
      <c r="D40" s="224"/>
      <c r="E40" s="225"/>
      <c r="F40" s="225"/>
      <c r="G40" s="225"/>
      <c r="H40" s="225"/>
      <c r="I40" s="225"/>
      <c r="J40" s="225">
        <v>1824653</v>
      </c>
      <c r="K40" s="225"/>
      <c r="L40" s="225"/>
      <c r="M40" s="226"/>
      <c r="N40" s="225">
        <v>2354005</v>
      </c>
      <c r="O40" s="226"/>
      <c r="P40" s="226">
        <v>1</v>
      </c>
      <c r="Q40" s="226">
        <v>0.2901110512519367</v>
      </c>
      <c r="R40" s="225">
        <v>529352</v>
      </c>
      <c r="S40" s="237"/>
      <c r="T40" s="237"/>
      <c r="AE40" s="1"/>
    </row>
    <row r="41" spans="2:31" ht="18.75" hidden="1" x14ac:dyDescent="0.3">
      <c r="B41" s="224" t="s">
        <v>174</v>
      </c>
      <c r="C41" s="224"/>
      <c r="D41" s="224"/>
      <c r="E41" s="225"/>
      <c r="F41" s="225"/>
      <c r="G41" s="225"/>
      <c r="H41" s="225"/>
      <c r="I41" s="225"/>
      <c r="J41" s="225">
        <v>603938</v>
      </c>
      <c r="K41" s="225"/>
      <c r="L41" s="225"/>
      <c r="M41" s="226">
        <v>1</v>
      </c>
      <c r="N41" s="225">
        <v>936181</v>
      </c>
      <c r="O41" s="226">
        <v>1</v>
      </c>
      <c r="P41" s="226">
        <v>0.39769711619134201</v>
      </c>
      <c r="Q41" s="226">
        <v>0.55012766211101138</v>
      </c>
      <c r="R41" s="225">
        <v>332243</v>
      </c>
      <c r="S41" s="237"/>
      <c r="T41" s="237"/>
      <c r="AE41" s="1" t="s">
        <v>175</v>
      </c>
    </row>
    <row r="42" spans="2:31" ht="15.75" hidden="1" x14ac:dyDescent="0.25">
      <c r="B42" s="227" t="s">
        <v>100</v>
      </c>
      <c r="C42" s="227"/>
      <c r="D42" s="227"/>
      <c r="E42" s="228"/>
      <c r="F42" s="228"/>
      <c r="G42" s="228"/>
      <c r="H42" s="228"/>
      <c r="I42" s="228"/>
      <c r="J42" s="228">
        <v>276550.36166633503</v>
      </c>
      <c r="K42" s="228"/>
      <c r="L42" s="228"/>
      <c r="M42" s="229">
        <v>0.45791184139155844</v>
      </c>
      <c r="N42" s="228">
        <v>430252.45635520399</v>
      </c>
      <c r="O42" s="229">
        <v>0.4595825554622493</v>
      </c>
      <c r="P42" s="229">
        <v>0.18277465695918402</v>
      </c>
      <c r="Q42" s="229">
        <v>0.55578337978930015</v>
      </c>
      <c r="R42" s="228">
        <v>153702.09468886897</v>
      </c>
      <c r="S42" s="238"/>
      <c r="T42" s="238"/>
      <c r="AE42" s="1" t="s">
        <v>176</v>
      </c>
    </row>
    <row r="43" spans="2:31" s="4" customFormat="1" hidden="1" x14ac:dyDescent="0.25">
      <c r="B43" s="230" t="s">
        <v>103</v>
      </c>
      <c r="C43" s="239"/>
      <c r="D43" s="239"/>
      <c r="E43" s="231"/>
      <c r="F43" s="231"/>
      <c r="G43" s="231"/>
      <c r="H43" s="231"/>
      <c r="I43" s="231"/>
      <c r="J43" s="231">
        <v>327387.63833385095</v>
      </c>
      <c r="K43" s="231"/>
      <c r="L43" s="231"/>
      <c r="M43" s="234">
        <v>0.54208815860874948</v>
      </c>
      <c r="N43" s="231">
        <v>505927.5436448183</v>
      </c>
      <c r="O43" s="234">
        <v>0.54041637636826456</v>
      </c>
      <c r="P43" s="234">
        <v>0.21492203442423372</v>
      </c>
      <c r="Q43" s="232">
        <v>0.54534711884540576</v>
      </c>
      <c r="R43" s="233">
        <v>178539.90531096736</v>
      </c>
      <c r="S43" s="240"/>
      <c r="T43" s="240"/>
      <c r="AE43" s="1" t="s">
        <v>177</v>
      </c>
    </row>
    <row r="44" spans="2:31" s="4" customFormat="1" hidden="1" x14ac:dyDescent="0.25">
      <c r="B44" s="235" t="s">
        <v>178</v>
      </c>
      <c r="C44" s="235"/>
      <c r="D44" s="235"/>
      <c r="E44" s="29"/>
      <c r="F44" s="29"/>
      <c r="G44" s="29"/>
      <c r="H44" s="29"/>
      <c r="I44" s="29"/>
      <c r="J44" s="29">
        <v>242109.12821622068</v>
      </c>
      <c r="K44" s="29"/>
      <c r="L44" s="29"/>
      <c r="M44" s="31">
        <v>0.4008840778626625</v>
      </c>
      <c r="N44" s="29">
        <v>391384.01224089495</v>
      </c>
      <c r="O44" s="31">
        <v>0.41806446855992052</v>
      </c>
      <c r="P44" s="31">
        <v>0.16626303352834634</v>
      </c>
      <c r="Q44" s="22">
        <v>0.61656033014732592</v>
      </c>
      <c r="R44" s="20">
        <v>149274.88402467428</v>
      </c>
      <c r="S44" s="20"/>
      <c r="T44" s="20"/>
      <c r="AE44" s="1" t="s">
        <v>179</v>
      </c>
    </row>
    <row r="45" spans="2:31" s="4" customFormat="1" hidden="1" x14ac:dyDescent="0.25">
      <c r="B45" s="235" t="s">
        <v>180</v>
      </c>
      <c r="C45" s="235"/>
      <c r="D45" s="235"/>
      <c r="E45" s="29"/>
      <c r="F45" s="29"/>
      <c r="G45" s="29"/>
      <c r="H45" s="29"/>
      <c r="I45" s="29"/>
      <c r="J45" s="29">
        <v>85278.510117630256</v>
      </c>
      <c r="K45" s="29"/>
      <c r="L45" s="29"/>
      <c r="M45" s="31">
        <v>0.14120408074608695</v>
      </c>
      <c r="N45" s="29">
        <v>114543.53140392336</v>
      </c>
      <c r="O45" s="31">
        <v>0.12235190780834407</v>
      </c>
      <c r="P45" s="31">
        <v>4.8659000895887379E-2</v>
      </c>
      <c r="Q45" s="22">
        <v>0.34316994100771625</v>
      </c>
      <c r="R45" s="20">
        <v>29265.021286293108</v>
      </c>
      <c r="S45" s="20"/>
      <c r="T45" s="20"/>
      <c r="AE45" s="1" t="s">
        <v>181</v>
      </c>
    </row>
    <row r="46" spans="2:31" s="4" customFormat="1" ht="7.5" hidden="1" customHeight="1" x14ac:dyDescent="0.25">
      <c r="B46" s="236"/>
      <c r="C46" s="236"/>
      <c r="D46" s="236"/>
      <c r="E46" s="236"/>
      <c r="F46" s="236"/>
      <c r="G46" s="236"/>
      <c r="H46" s="236"/>
      <c r="I46" s="236"/>
      <c r="J46" s="236"/>
      <c r="K46" s="236"/>
      <c r="L46" s="236"/>
      <c r="M46" s="236"/>
      <c r="N46" s="236"/>
      <c r="O46" s="236"/>
      <c r="P46" s="236"/>
      <c r="Q46" s="236"/>
      <c r="R46" s="236"/>
      <c r="AE46" s="1" t="s">
        <v>182</v>
      </c>
    </row>
    <row r="47" spans="2:31" s="4" customFormat="1" hidden="1" x14ac:dyDescent="0.25">
      <c r="B47" s="269" t="s">
        <v>183</v>
      </c>
      <c r="C47" s="269"/>
      <c r="D47" s="269"/>
      <c r="E47" s="269"/>
      <c r="F47" s="269"/>
      <c r="G47" s="269"/>
      <c r="H47" s="269"/>
      <c r="I47" s="269"/>
      <c r="J47" s="269"/>
      <c r="K47" s="269"/>
      <c r="L47" s="269"/>
      <c r="M47" s="269"/>
      <c r="N47" s="269"/>
      <c r="O47" s="269"/>
      <c r="P47" s="269"/>
      <c r="Q47" s="269"/>
      <c r="R47" s="269"/>
      <c r="S47" s="48"/>
      <c r="T47" s="48"/>
      <c r="AE47" s="1" t="s">
        <v>184</v>
      </c>
    </row>
    <row r="48" spans="2:31" s="4" customFormat="1" hidden="1" x14ac:dyDescent="0.25">
      <c r="AE48" s="1"/>
    </row>
    <row r="49" spans="5:12" hidden="1" x14ac:dyDescent="0.25">
      <c r="E49" s="122"/>
      <c r="F49" s="122"/>
      <c r="G49" s="122"/>
      <c r="H49" s="122"/>
      <c r="I49" s="122"/>
      <c r="J49" s="122">
        <v>0.54208815860874948</v>
      </c>
      <c r="K49" s="122"/>
      <c r="L49" s="122"/>
    </row>
    <row r="50" spans="5:12" hidden="1" x14ac:dyDescent="0.25"/>
    <row r="51" spans="5:12" hidden="1" x14ac:dyDescent="0.25"/>
    <row r="52" spans="5:12" hidden="1" x14ac:dyDescent="0.25"/>
    <row r="53" spans="5:12" hidden="1" x14ac:dyDescent="0.25"/>
    <row r="54" spans="5:12" hidden="1" x14ac:dyDescent="0.25"/>
    <row r="55" spans="5:12" hidden="1" x14ac:dyDescent="0.25"/>
    <row r="56" spans="5:12" hidden="1" x14ac:dyDescent="0.25"/>
    <row r="57" spans="5:12" hidden="1" x14ac:dyDescent="0.25"/>
    <row r="58" spans="5:12" hidden="1" x14ac:dyDescent="0.25"/>
    <row r="59" spans="5:12" hidden="1" x14ac:dyDescent="0.25"/>
    <row r="60" spans="5:12" hidden="1" x14ac:dyDescent="0.25"/>
    <row r="61" spans="5:12" hidden="1" x14ac:dyDescent="0.25"/>
    <row r="62" spans="5:12" hidden="1" x14ac:dyDescent="0.25"/>
    <row r="63" spans="5:12" hidden="1" x14ac:dyDescent="0.25"/>
    <row r="64" spans="5:12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spans="2:31" hidden="1" x14ac:dyDescent="0.25"/>
    <row r="114" spans="2:31" hidden="1" x14ac:dyDescent="0.25"/>
    <row r="115" spans="2:31" hidden="1" x14ac:dyDescent="0.25"/>
    <row r="116" spans="2:31" hidden="1" x14ac:dyDescent="0.25"/>
    <row r="120" spans="2:31" x14ac:dyDescent="0.25">
      <c r="Z120" s="1"/>
      <c r="AE120"/>
    </row>
    <row r="121" spans="2:31" ht="21.75" thickBot="1" x14ac:dyDescent="0.3">
      <c r="B121" s="62" t="s">
        <v>315</v>
      </c>
      <c r="C121" s="62"/>
      <c r="D121" s="62"/>
      <c r="E121" s="62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Z121" s="1"/>
      <c r="AE121"/>
    </row>
    <row r="122" spans="2:31" x14ac:dyDescent="0.25"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Z122" s="1"/>
      <c r="AE122"/>
    </row>
    <row r="123" spans="2:31" ht="30" x14ac:dyDescent="0.25">
      <c r="B123" s="4"/>
      <c r="C123" s="182">
        <v>2019</v>
      </c>
      <c r="D123" s="182">
        <v>2020</v>
      </c>
      <c r="E123" s="182">
        <v>2021</v>
      </c>
      <c r="F123" s="182">
        <v>2022</v>
      </c>
      <c r="G123" s="173" t="str">
        <f>CONCATENATE("var. ",RIGHT(F123,2),"/",RIGHT(E123,2))</f>
        <v>var. 22/21</v>
      </c>
      <c r="H123" s="173" t="str">
        <f>CONCATENATE("dif. ",RIGHT(F123,2),"/",RIGHT(E123,2))</f>
        <v>dif. 22/21</v>
      </c>
      <c r="I123" s="173" t="str">
        <f>CONCATENATE("%/s total España ",RIGHT(F123,4))</f>
        <v>%/s total España 2022</v>
      </c>
      <c r="J123" s="182">
        <v>2023</v>
      </c>
      <c r="K123" s="173" t="str">
        <f>CONCATENATE("%/s total España ",RIGHT(J123,4))</f>
        <v>%/s total España 2023</v>
      </c>
      <c r="L123" s="173" t="str">
        <f>CONCATENATE("var. ",RIGHT(J123,2),"/",RIGHT(F123,2))</f>
        <v>var. 23/22</v>
      </c>
      <c r="M123" s="173" t="str">
        <f>CONCATENATE("dif. ",RIGHT(J123,2),"/",RIGHT(F123,2))</f>
        <v>dif. 23/22</v>
      </c>
      <c r="N123" s="173" t="str">
        <f>CONCATENATE("var. ",RIGHT(J123,2),"/",RIGHT(D123,2))</f>
        <v>var. 23/20</v>
      </c>
      <c r="O123" s="173" t="str">
        <f>CONCATENATE("dif. ",RIGHT(J123,2),"/",RIGHT(D123,2))</f>
        <v>dif. 23/20</v>
      </c>
      <c r="Z123" s="1"/>
      <c r="AE123"/>
    </row>
    <row r="124" spans="2:31" ht="18.75" x14ac:dyDescent="0.3">
      <c r="B124" s="224" t="s">
        <v>173</v>
      </c>
      <c r="C124" s="225">
        <v>55887</v>
      </c>
      <c r="D124" s="225">
        <v>24221</v>
      </c>
      <c r="E124" s="225">
        <v>33444</v>
      </c>
      <c r="F124" s="225">
        <v>51485</v>
      </c>
      <c r="G124" s="226">
        <f t="shared" ref="G124:G129" si="8">F124/E124-1</f>
        <v>0.53943906231312044</v>
      </c>
      <c r="H124" s="225">
        <f t="shared" ref="H124:H129" si="9">F124-E124</f>
        <v>18041</v>
      </c>
      <c r="I124" s="226"/>
      <c r="J124" s="225">
        <v>58157</v>
      </c>
      <c r="K124" s="226"/>
      <c r="L124" s="226">
        <f t="shared" ref="L124:L129" si="10">J124/F124-1</f>
        <v>0.12959114305137409</v>
      </c>
      <c r="M124" s="225">
        <f t="shared" ref="M124:M129" si="11">J124-F124</f>
        <v>6672</v>
      </c>
      <c r="N124" s="226">
        <f t="shared" ref="N124:N129" si="12">J124/D124-1</f>
        <v>1.4010982205524134</v>
      </c>
      <c r="O124" s="225">
        <f t="shared" ref="O124:O129" si="13">J124-D124</f>
        <v>33936</v>
      </c>
      <c r="Z124" s="1"/>
      <c r="AE124"/>
    </row>
    <row r="125" spans="2:31" ht="18.75" x14ac:dyDescent="0.3">
      <c r="B125" s="224" t="s">
        <v>174</v>
      </c>
      <c r="C125" s="225">
        <v>37119</v>
      </c>
      <c r="D125" s="225">
        <v>16023</v>
      </c>
      <c r="E125" s="225">
        <v>21732</v>
      </c>
      <c r="F125" s="225">
        <v>33809</v>
      </c>
      <c r="G125" s="226">
        <f t="shared" si="8"/>
        <v>0.55572427756304066</v>
      </c>
      <c r="H125" s="225">
        <f t="shared" si="9"/>
        <v>12077</v>
      </c>
      <c r="I125" s="226">
        <f>F125/$F$7</f>
        <v>1.3640361494391995</v>
      </c>
      <c r="J125" s="225">
        <v>37722</v>
      </c>
      <c r="K125" s="226">
        <f>J125/$J$125</f>
        <v>1</v>
      </c>
      <c r="L125" s="226">
        <f t="shared" si="10"/>
        <v>0.11573841284864983</v>
      </c>
      <c r="M125" s="225">
        <f t="shared" si="11"/>
        <v>3913</v>
      </c>
      <c r="N125" s="226">
        <f t="shared" si="12"/>
        <v>1.3542407788803597</v>
      </c>
      <c r="O125" s="225">
        <f t="shared" si="13"/>
        <v>21699</v>
      </c>
      <c r="Z125" s="1"/>
      <c r="AE125"/>
    </row>
    <row r="126" spans="2:31" ht="15.75" x14ac:dyDescent="0.25">
      <c r="B126" s="227" t="s">
        <v>100</v>
      </c>
      <c r="C126" s="228">
        <v>17966</v>
      </c>
      <c r="D126" s="228">
        <v>7339</v>
      </c>
      <c r="E126" s="228">
        <v>10731</v>
      </c>
      <c r="F126" s="228">
        <v>17520</v>
      </c>
      <c r="G126" s="229">
        <f t="shared" si="8"/>
        <v>0.63265306122448983</v>
      </c>
      <c r="H126" s="228">
        <f t="shared" si="9"/>
        <v>6789</v>
      </c>
      <c r="I126" s="229">
        <f>F126/$F$7</f>
        <v>0.70685064149116439</v>
      </c>
      <c r="J126" s="228">
        <v>25698</v>
      </c>
      <c r="K126" s="229">
        <f>J126/$J$125</f>
        <v>0.68124701765547957</v>
      </c>
      <c r="L126" s="229">
        <f t="shared" si="10"/>
        <v>0.46678082191780823</v>
      </c>
      <c r="M126" s="228">
        <f t="shared" si="11"/>
        <v>8178</v>
      </c>
      <c r="N126" s="229">
        <f t="shared" si="12"/>
        <v>2.5015669709769726</v>
      </c>
      <c r="O126" s="228">
        <f t="shared" si="13"/>
        <v>18359</v>
      </c>
      <c r="Z126" s="1"/>
      <c r="AE126"/>
    </row>
    <row r="127" spans="2:31" x14ac:dyDescent="0.25">
      <c r="B127" s="230" t="s">
        <v>103</v>
      </c>
      <c r="C127" s="231">
        <v>19153</v>
      </c>
      <c r="D127" s="231">
        <v>8684</v>
      </c>
      <c r="E127" s="231">
        <v>11001</v>
      </c>
      <c r="F127" s="231">
        <v>16289</v>
      </c>
      <c r="G127" s="232">
        <f t="shared" si="8"/>
        <v>0.48068357422052532</v>
      </c>
      <c r="H127" s="233">
        <f t="shared" si="9"/>
        <v>5288</v>
      </c>
      <c r="I127" s="234">
        <f>F127/$F$7</f>
        <v>0.65718550794803521</v>
      </c>
      <c r="J127" s="231">
        <v>12024</v>
      </c>
      <c r="K127" s="234">
        <f>J127/$J$125</f>
        <v>0.31875298234452043</v>
      </c>
      <c r="L127" s="232">
        <f t="shared" si="10"/>
        <v>-0.261833138928111</v>
      </c>
      <c r="M127" s="233">
        <f t="shared" si="11"/>
        <v>-4265</v>
      </c>
      <c r="N127" s="232">
        <f t="shared" si="12"/>
        <v>0.38461538461538458</v>
      </c>
      <c r="O127" s="233">
        <f t="shared" si="13"/>
        <v>3340</v>
      </c>
      <c r="Z127" s="1"/>
      <c r="AE127"/>
    </row>
    <row r="128" spans="2:31" x14ac:dyDescent="0.25">
      <c r="B128" s="235" t="s">
        <v>178</v>
      </c>
      <c r="C128" s="29">
        <v>3084</v>
      </c>
      <c r="D128" s="29">
        <v>753</v>
      </c>
      <c r="E128" s="29">
        <v>159</v>
      </c>
      <c r="F128" s="29">
        <v>1782</v>
      </c>
      <c r="G128" s="22">
        <f t="shared" si="8"/>
        <v>10.20754716981132</v>
      </c>
      <c r="H128" s="20">
        <f t="shared" si="9"/>
        <v>1623</v>
      </c>
      <c r="I128" s="31">
        <f>F128/$F$7</f>
        <v>7.1895424836601302E-2</v>
      </c>
      <c r="J128" s="29">
        <v>2664</v>
      </c>
      <c r="K128" s="31">
        <f>J128/$J$125</f>
        <v>7.0621918243995552E-2</v>
      </c>
      <c r="L128" s="22">
        <f t="shared" si="10"/>
        <v>0.49494949494949503</v>
      </c>
      <c r="M128" s="20">
        <f t="shared" si="11"/>
        <v>882</v>
      </c>
      <c r="N128" s="22">
        <f t="shared" si="12"/>
        <v>2.5378486055776892</v>
      </c>
      <c r="O128" s="20">
        <f t="shared" si="13"/>
        <v>1911</v>
      </c>
      <c r="Z128" s="1"/>
      <c r="AE128"/>
    </row>
    <row r="129" spans="2:31" x14ac:dyDescent="0.25">
      <c r="B129" s="235" t="s">
        <v>180</v>
      </c>
      <c r="C129" s="29">
        <f>C127-C128</f>
        <v>16069</v>
      </c>
      <c r="D129" s="29">
        <f>D127-D128</f>
        <v>7931</v>
      </c>
      <c r="E129" s="29">
        <f>E127-E128</f>
        <v>10842</v>
      </c>
      <c r="F129" s="29">
        <f>F127-F128</f>
        <v>14507</v>
      </c>
      <c r="G129" s="22">
        <f t="shared" si="8"/>
        <v>0.33803726249769417</v>
      </c>
      <c r="H129" s="20">
        <f t="shared" si="9"/>
        <v>3665</v>
      </c>
      <c r="I129" s="31">
        <f>F129/$F$7</f>
        <v>0.58529008311143382</v>
      </c>
      <c r="J129" s="29">
        <f>J127-J128</f>
        <v>9360</v>
      </c>
      <c r="K129" s="31">
        <f>J129/$J$125</f>
        <v>0.24813106410052491</v>
      </c>
      <c r="L129" s="22">
        <f t="shared" si="10"/>
        <v>-0.35479423726476877</v>
      </c>
      <c r="M129" s="20">
        <f t="shared" si="11"/>
        <v>-5147</v>
      </c>
      <c r="N129" s="22">
        <f t="shared" si="12"/>
        <v>0.18017904425671416</v>
      </c>
      <c r="O129" s="20">
        <f t="shared" si="13"/>
        <v>1429</v>
      </c>
      <c r="Z129" s="1"/>
      <c r="AE129"/>
    </row>
    <row r="130" spans="2:31" x14ac:dyDescent="0.25">
      <c r="B130" s="236"/>
      <c r="C130" s="236"/>
      <c r="D130" s="236"/>
      <c r="E130" s="236"/>
      <c r="F130" s="236"/>
      <c r="G130" s="236"/>
      <c r="H130" s="236"/>
      <c r="I130" s="236"/>
      <c r="J130" s="236"/>
      <c r="K130" s="236"/>
      <c r="L130" s="236"/>
      <c r="M130" s="236"/>
      <c r="N130" s="236"/>
      <c r="O130" s="236"/>
      <c r="Z130" s="1"/>
      <c r="AE130"/>
    </row>
    <row r="131" spans="2:31" x14ac:dyDescent="0.25">
      <c r="B131" s="125" t="s">
        <v>183</v>
      </c>
      <c r="C131" s="125"/>
      <c r="D131" s="125"/>
      <c r="E131" s="125"/>
      <c r="F131" s="125"/>
      <c r="G131" s="125"/>
      <c r="H131" s="125"/>
      <c r="I131" s="125"/>
      <c r="J131" s="125"/>
      <c r="K131" s="125"/>
      <c r="L131" s="125"/>
      <c r="M131" s="125"/>
      <c r="N131" s="125"/>
      <c r="O131" s="125"/>
      <c r="Z131" s="1"/>
      <c r="AE131"/>
    </row>
  </sheetData>
  <mergeCells count="2">
    <mergeCell ref="B37:R37"/>
    <mergeCell ref="B47:R47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C97573-BAAE-4FF1-A19A-1E6AFAAB5407}">
  <sheetPr>
    <tabColor theme="4" tint="0.39997558519241921"/>
  </sheetPr>
  <dimension ref="A1:AE14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20" width="12.42578125" customWidth="1"/>
    <col min="27" max="27" width="14" hidden="1" customWidth="1"/>
    <col min="31" max="31" width="11.42578125" style="1"/>
  </cols>
  <sheetData>
    <row r="1" spans="1:31" ht="30" customHeight="1" x14ac:dyDescent="0.25">
      <c r="B1" s="1" t="s">
        <v>190</v>
      </c>
      <c r="G1" s="223"/>
      <c r="H1" s="223"/>
      <c r="I1" s="223"/>
      <c r="K1" s="223"/>
    </row>
    <row r="3" spans="1:31" s="4" customFormat="1" ht="25.5" customHeight="1" thickBot="1" x14ac:dyDescent="0.3">
      <c r="B3" s="62" t="s">
        <v>316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45" x14ac:dyDescent="0.25">
      <c r="C5" s="241" t="s">
        <v>262</v>
      </c>
      <c r="D5" s="241" t="s">
        <v>263</v>
      </c>
      <c r="E5" s="241" t="s">
        <v>269</v>
      </c>
      <c r="F5" s="242" t="str">
        <f>CONCATENATE("%/s total Tenerife ",RIGHT(E5,4))</f>
        <v>%/s total Tenerife 2021</v>
      </c>
      <c r="G5" s="241" t="s">
        <v>264</v>
      </c>
      <c r="H5" s="242" t="str">
        <f>CONCATENATE("var. ",RIGHT(G5,2),"/",RIGHT(E5,2))</f>
        <v>var. 22/21</v>
      </c>
      <c r="I5" s="242" t="str">
        <f>CONCATENATE("dif. ",RIGHT(G5,2),"/",RIGHT(E5,2))</f>
        <v>dif. 22/21</v>
      </c>
      <c r="J5" s="242" t="str">
        <f>CONCATENATE("%/s total Tenerife ",RIGHT(G5,4))</f>
        <v>%/s total Tenerife 2022</v>
      </c>
      <c r="K5" s="241" t="s">
        <v>265</v>
      </c>
      <c r="L5" s="242" t="str">
        <f>CONCATENATE("var. ",RIGHT(K5,2),"/",RIGHT(G5,2))</f>
        <v>var. 23/22</v>
      </c>
      <c r="M5" s="242" t="str">
        <f>CONCATENATE("dif. ",RIGHT(K5,2),"/",RIGHT(G5,2))</f>
        <v>dif. 23/22</v>
      </c>
      <c r="N5" s="242" t="str">
        <f>CONCATENATE("%/s total Tenerife ",RIGHT(K5,4))</f>
        <v>%/s total Tenerife 2023</v>
      </c>
      <c r="O5" s="241" t="s">
        <v>266</v>
      </c>
      <c r="P5" s="242" t="str">
        <f>CONCATENATE("var. ",RIGHT(O5,2),"/",RIGHT(K5,2))</f>
        <v>var. 24/23</v>
      </c>
      <c r="Q5" s="242" t="str">
        <f>CONCATENATE("dif. ",RIGHT(O5,2),"/",RIGHT(K5,2))</f>
        <v>dif. 24/23</v>
      </c>
      <c r="R5" s="242" t="str">
        <f>CONCATENATE("var. ",RIGHT(O5,2),"/",RIGHT(C5,2))</f>
        <v>var. 24/19</v>
      </c>
      <c r="S5" s="242" t="str">
        <f>CONCATENATE("dif. ",RIGHT(O5,2),"/",RIGHT(C5,2))</f>
        <v>dif. 24/19</v>
      </c>
      <c r="T5" s="242" t="str">
        <f>CONCATENATE("%/s total Tenerife ",RIGHT(O5,4))</f>
        <v>%/s total Tenerife 2024</v>
      </c>
      <c r="AE5" s="1"/>
    </row>
    <row r="6" spans="1:31" ht="18.75" x14ac:dyDescent="0.3">
      <c r="A6" s="4"/>
      <c r="B6" s="224" t="s">
        <v>191</v>
      </c>
      <c r="C6" s="243">
        <v>26258</v>
      </c>
      <c r="D6" s="243">
        <v>11031</v>
      </c>
      <c r="E6" s="243">
        <v>13958</v>
      </c>
      <c r="F6" s="244">
        <f>E6/$E$6</f>
        <v>1</v>
      </c>
      <c r="G6" s="243">
        <v>24786</v>
      </c>
      <c r="H6" s="244">
        <f>G6/E6-1</f>
        <v>0.77575583894540756</v>
      </c>
      <c r="I6" s="243">
        <f>G6-E6</f>
        <v>10828</v>
      </c>
      <c r="J6" s="244">
        <f>G6/$G$6</f>
        <v>1</v>
      </c>
      <c r="K6" s="243">
        <v>29860</v>
      </c>
      <c r="L6" s="244">
        <f t="shared" ref="L6:L12" si="0">K6/G6-1</f>
        <v>0.20471233760994112</v>
      </c>
      <c r="M6" s="243">
        <f t="shared" ref="M6:M12" si="1">K6-G6</f>
        <v>5074</v>
      </c>
      <c r="N6" s="244">
        <f>K6/$K$6</f>
        <v>1</v>
      </c>
      <c r="O6" s="243">
        <v>26153</v>
      </c>
      <c r="P6" s="244">
        <f t="shared" ref="P6:P11" si="2">O6/K6-1</f>
        <v>-0.12414601473543196</v>
      </c>
      <c r="Q6" s="243">
        <f t="shared" ref="Q6:Q12" si="3">O6-K6</f>
        <v>-3707</v>
      </c>
      <c r="R6" s="244">
        <f>O6/C6-1</f>
        <v>-3.9987813237870595E-3</v>
      </c>
      <c r="S6" s="243">
        <f>O6-C6</f>
        <v>-105</v>
      </c>
      <c r="T6" s="244">
        <f>O6/$O$6</f>
        <v>1</v>
      </c>
      <c r="V6" s="29"/>
      <c r="W6" s="79"/>
      <c r="AE6" s="1" t="s">
        <v>175</v>
      </c>
    </row>
    <row r="7" spans="1:31" s="4" customFormat="1" x14ac:dyDescent="0.25">
      <c r="B7" s="245" t="s">
        <v>192</v>
      </c>
      <c r="C7" s="246">
        <v>26258</v>
      </c>
      <c r="D7" s="246">
        <v>11031</v>
      </c>
      <c r="E7" s="246">
        <v>13958</v>
      </c>
      <c r="F7" s="247">
        <f t="shared" ref="F7:F12" si="4">E7/$E$6</f>
        <v>1</v>
      </c>
      <c r="G7" s="246">
        <v>24786</v>
      </c>
      <c r="H7" s="248">
        <f>G7/E7-1</f>
        <v>0.77575583894540756</v>
      </c>
      <c r="I7" s="249">
        <f>G7-E7</f>
        <v>10828</v>
      </c>
      <c r="J7" s="247">
        <f>G7/$G$6</f>
        <v>1</v>
      </c>
      <c r="K7" s="246">
        <v>29860</v>
      </c>
      <c r="L7" s="250">
        <f t="shared" si="0"/>
        <v>0.20471233760994112</v>
      </c>
      <c r="M7" s="251">
        <f t="shared" si="1"/>
        <v>5074</v>
      </c>
      <c r="N7" s="247">
        <f>K7/$K$6</f>
        <v>1</v>
      </c>
      <c r="O7" s="246">
        <v>26153</v>
      </c>
      <c r="P7" s="248">
        <f t="shared" si="2"/>
        <v>-0.12414601473543196</v>
      </c>
      <c r="Q7" s="249">
        <f t="shared" si="3"/>
        <v>-3707</v>
      </c>
      <c r="R7" s="248">
        <f t="shared" ref="R7:R10" si="5">O7/C7-1</f>
        <v>-3.9987813237870595E-3</v>
      </c>
      <c r="S7" s="249">
        <f t="shared" ref="S7:S10" si="6">O7-C7</f>
        <v>-105</v>
      </c>
      <c r="T7" s="247">
        <f>O7/$O$6</f>
        <v>1</v>
      </c>
      <c r="V7" s="29"/>
      <c r="W7" s="79"/>
      <c r="AE7" s="1" t="s">
        <v>177</v>
      </c>
    </row>
    <row r="8" spans="1:31" s="4" customFormat="1" x14ac:dyDescent="0.25">
      <c r="B8" s="97" t="s">
        <v>62</v>
      </c>
      <c r="C8" s="252">
        <v>6625</v>
      </c>
      <c r="D8" s="252">
        <v>2731</v>
      </c>
      <c r="E8" s="252">
        <v>0</v>
      </c>
      <c r="F8" s="253">
        <f t="shared" si="4"/>
        <v>0</v>
      </c>
      <c r="G8" s="252">
        <v>2345</v>
      </c>
      <c r="H8" s="254" t="str">
        <f>IFERROR(G8/E8-1,"-")</f>
        <v>-</v>
      </c>
      <c r="I8" s="255">
        <f t="shared" ref="I8:I12" si="7">G8-E8</f>
        <v>2345</v>
      </c>
      <c r="J8" s="253">
        <f t="shared" ref="J8:J12" si="8">G8/$G$6</f>
        <v>9.4609860405067372E-2</v>
      </c>
      <c r="K8" s="252">
        <v>3131</v>
      </c>
      <c r="L8" s="256">
        <f>IFERROR(K8/G8-1,"-")</f>
        <v>0.33518123667377409</v>
      </c>
      <c r="M8" s="257">
        <f>IF(G8=0,"nd",K8-G8)</f>
        <v>786</v>
      </c>
      <c r="N8" s="258">
        <f t="shared" ref="N8:N12" si="9">K8/$K$6</f>
        <v>0.10485599464166108</v>
      </c>
      <c r="O8" s="252">
        <v>3940</v>
      </c>
      <c r="P8" s="256">
        <f>IFERROR(O8/K8-1,"-")</f>
        <v>0.25838390290641966</v>
      </c>
      <c r="Q8" s="259">
        <f t="shared" si="3"/>
        <v>809</v>
      </c>
      <c r="R8" s="256">
        <f>IFERROR(O8/C8-1,"-")</f>
        <v>-0.4052830188679245</v>
      </c>
      <c r="S8" s="259">
        <f t="shared" si="6"/>
        <v>-2685</v>
      </c>
      <c r="T8" s="258">
        <f t="shared" ref="T8:T12" si="10">O8/$O$6</f>
        <v>0.15065193285665124</v>
      </c>
      <c r="V8" s="29"/>
      <c r="W8" s="79"/>
      <c r="AE8" s="1"/>
    </row>
    <row r="9" spans="1:31" s="4" customFormat="1" x14ac:dyDescent="0.25">
      <c r="B9" s="97" t="s">
        <v>61</v>
      </c>
      <c r="C9" s="252">
        <v>19633</v>
      </c>
      <c r="D9" s="252">
        <v>4723</v>
      </c>
      <c r="E9" s="252">
        <v>0</v>
      </c>
      <c r="F9" s="258">
        <f t="shared" si="4"/>
        <v>0</v>
      </c>
      <c r="G9" s="252">
        <v>15738</v>
      </c>
      <c r="H9" s="254" t="str">
        <f>IFERROR(G9/E9-1,"-")</f>
        <v>-</v>
      </c>
      <c r="I9" s="259">
        <f t="shared" si="7"/>
        <v>15738</v>
      </c>
      <c r="J9" s="258">
        <f t="shared" si="8"/>
        <v>0.63495521665456311</v>
      </c>
      <c r="K9" s="252">
        <v>20171</v>
      </c>
      <c r="L9" s="256">
        <f>IFERROR(K9/G9-1,"-")</f>
        <v>0.28167492692845353</v>
      </c>
      <c r="M9" s="257">
        <f>IF(G9=0,"nd",K9-G9)</f>
        <v>4433</v>
      </c>
      <c r="N9" s="258">
        <f t="shared" si="9"/>
        <v>0.67551908908238445</v>
      </c>
      <c r="O9" s="252">
        <v>22213</v>
      </c>
      <c r="P9" s="256">
        <f t="shared" si="2"/>
        <v>0.10123444549105143</v>
      </c>
      <c r="Q9" s="259">
        <f t="shared" si="3"/>
        <v>2042</v>
      </c>
      <c r="R9" s="260">
        <f t="shared" si="5"/>
        <v>0.13141139917485867</v>
      </c>
      <c r="S9" s="259">
        <f t="shared" si="6"/>
        <v>2580</v>
      </c>
      <c r="T9" s="258">
        <f t="shared" si="10"/>
        <v>0.84934806714334876</v>
      </c>
      <c r="V9" s="29"/>
      <c r="W9" s="79"/>
      <c r="AE9" s="1"/>
    </row>
    <row r="10" spans="1:31" s="4" customFormat="1" x14ac:dyDescent="0.25">
      <c r="B10" s="245" t="s">
        <v>193</v>
      </c>
      <c r="C10" s="261" t="e">
        <v>#REF!</v>
      </c>
      <c r="D10" s="261" t="e">
        <v>#REF!</v>
      </c>
      <c r="E10" s="261" t="e">
        <v>#REF!</v>
      </c>
      <c r="F10" s="262" t="str">
        <f>IFERROR(E10/$E$6,"-")</f>
        <v>-</v>
      </c>
      <c r="G10" s="261" t="e">
        <v>#REF!</v>
      </c>
      <c r="H10" s="250" t="str">
        <f>IFERROR(G10/E10-1,"-")</f>
        <v>-</v>
      </c>
      <c r="I10" s="251" t="str">
        <f>IFERROR(G10-E10,"-")</f>
        <v>-</v>
      </c>
      <c r="J10" s="262" t="str">
        <f>IFERROR(G10/$G$6,"-")</f>
        <v>-</v>
      </c>
      <c r="K10" s="261" t="e">
        <v>#REF!</v>
      </c>
      <c r="L10" s="250" t="str">
        <f>IFERROR(K10/G10-1,"-")</f>
        <v>-</v>
      </c>
      <c r="M10" s="251" t="str">
        <f>IFERROR(K10-G10,"-")</f>
        <v>-</v>
      </c>
      <c r="N10" s="262" t="str">
        <f>IFERROR(K10/$K$6,"-")</f>
        <v>-</v>
      </c>
      <c r="O10" s="261" t="e">
        <v>#REF!</v>
      </c>
      <c r="P10" s="250" t="str">
        <f>IFERROR(O10/K10-1,"-")</f>
        <v>-</v>
      </c>
      <c r="Q10" s="251" t="str">
        <f>IFERROR(O10-K10,"-")</f>
        <v>-</v>
      </c>
      <c r="R10" s="250" t="e">
        <f t="shared" si="5"/>
        <v>#REF!</v>
      </c>
      <c r="S10" s="251" t="e">
        <f t="shared" si="6"/>
        <v>#REF!</v>
      </c>
      <c r="T10" s="262" t="str">
        <f>IFERROR(O10/$O$6,"-")</f>
        <v>-</v>
      </c>
      <c r="V10" s="29"/>
      <c r="W10" s="79"/>
      <c r="AE10" s="1"/>
    </row>
    <row r="11" spans="1:31" s="4" customFormat="1" hidden="1" x14ac:dyDescent="0.25">
      <c r="B11" s="97" t="s">
        <v>62</v>
      </c>
      <c r="C11" s="252" t="e">
        <v>#REF!</v>
      </c>
      <c r="D11" s="252" t="e">
        <v>#REF!</v>
      </c>
      <c r="E11" s="252" t="e">
        <v>#REF!</v>
      </c>
      <c r="F11" s="258" t="e">
        <f t="shared" si="4"/>
        <v>#REF!</v>
      </c>
      <c r="G11" s="252" t="e">
        <v>#REF!</v>
      </c>
      <c r="H11" s="260" t="e">
        <f t="shared" ref="H11:H12" si="11">G11/E11-1</f>
        <v>#REF!</v>
      </c>
      <c r="I11" s="259" t="e">
        <f t="shared" si="7"/>
        <v>#REF!</v>
      </c>
      <c r="J11" s="258" t="e">
        <f t="shared" si="8"/>
        <v>#REF!</v>
      </c>
      <c r="K11" s="252" t="e">
        <v>#REF!</v>
      </c>
      <c r="L11" s="256" t="e">
        <f>K11/G11-1</f>
        <v>#REF!</v>
      </c>
      <c r="M11" s="259" t="e">
        <f t="shared" si="1"/>
        <v>#REF!</v>
      </c>
      <c r="N11" s="258" t="e">
        <f t="shared" si="9"/>
        <v>#REF!</v>
      </c>
      <c r="O11" s="252" t="e">
        <v>#REF!</v>
      </c>
      <c r="P11" s="260" t="e">
        <f t="shared" si="2"/>
        <v>#REF!</v>
      </c>
      <c r="Q11" s="259" t="e">
        <f t="shared" si="3"/>
        <v>#REF!</v>
      </c>
      <c r="R11" s="260" t="e">
        <f t="shared" ref="R11:R12" si="12">O11/D11-1</f>
        <v>#REF!</v>
      </c>
      <c r="S11" s="259" t="e">
        <f t="shared" ref="S11:S12" si="13">O11-D11</f>
        <v>#REF!</v>
      </c>
      <c r="T11" s="258" t="e">
        <f t="shared" si="10"/>
        <v>#REF!</v>
      </c>
      <c r="V11" s="29"/>
      <c r="W11" s="79"/>
      <c r="AE11" s="1"/>
    </row>
    <row r="12" spans="1:31" s="4" customFormat="1" hidden="1" x14ac:dyDescent="0.25">
      <c r="B12" s="97" t="s">
        <v>61</v>
      </c>
      <c r="C12" s="252" t="e">
        <v>#REF!</v>
      </c>
      <c r="D12" s="252" t="e">
        <v>#REF!</v>
      </c>
      <c r="E12" s="252" t="e">
        <v>#REF!</v>
      </c>
      <c r="F12" s="258" t="e">
        <f t="shared" si="4"/>
        <v>#REF!</v>
      </c>
      <c r="G12" s="252" t="e">
        <v>#REF!</v>
      </c>
      <c r="H12" s="260" t="e">
        <f t="shared" si="11"/>
        <v>#REF!</v>
      </c>
      <c r="I12" s="259" t="e">
        <f t="shared" si="7"/>
        <v>#REF!</v>
      </c>
      <c r="J12" s="258" t="e">
        <f t="shared" si="8"/>
        <v>#REF!</v>
      </c>
      <c r="K12" s="252" t="e">
        <v>#REF!</v>
      </c>
      <c r="L12" s="256" t="e">
        <f t="shared" si="0"/>
        <v>#REF!</v>
      </c>
      <c r="M12" s="259" t="e">
        <f t="shared" si="1"/>
        <v>#REF!</v>
      </c>
      <c r="N12" s="258" t="e">
        <f t="shared" si="9"/>
        <v>#REF!</v>
      </c>
      <c r="O12" s="252" t="e">
        <v>#REF!</v>
      </c>
      <c r="P12" s="260" t="e">
        <f>O12/K12-1</f>
        <v>#REF!</v>
      </c>
      <c r="Q12" s="259" t="e">
        <f t="shared" si="3"/>
        <v>#REF!</v>
      </c>
      <c r="R12" s="260" t="e">
        <f t="shared" si="12"/>
        <v>#REF!</v>
      </c>
      <c r="S12" s="259" t="e">
        <f t="shared" si="13"/>
        <v>#REF!</v>
      </c>
      <c r="T12" s="258" t="e">
        <f t="shared" si="10"/>
        <v>#REF!</v>
      </c>
      <c r="V12" s="29"/>
      <c r="W12" s="79"/>
      <c r="AE12" s="1"/>
    </row>
    <row r="13" spans="1:31" s="4" customFormat="1" ht="7.5" customHeight="1" x14ac:dyDescent="0.25">
      <c r="B13" s="236"/>
      <c r="C13" s="236"/>
      <c r="D13" s="236"/>
      <c r="E13" s="236"/>
      <c r="F13" s="236"/>
      <c r="G13" s="236"/>
      <c r="H13" s="236"/>
      <c r="I13" s="236"/>
      <c r="J13" s="236"/>
      <c r="K13" s="236"/>
      <c r="L13" s="263"/>
      <c r="M13" s="236"/>
      <c r="N13" s="236"/>
      <c r="O13" s="236"/>
      <c r="P13" s="236"/>
      <c r="Q13" s="236"/>
      <c r="R13" s="236"/>
      <c r="S13" s="236"/>
      <c r="T13" s="236"/>
      <c r="AE13" s="1" t="s">
        <v>182</v>
      </c>
    </row>
    <row r="14" spans="1:31" s="4" customFormat="1" x14ac:dyDescent="0.25">
      <c r="B14" s="125" t="s">
        <v>183</v>
      </c>
      <c r="C14" s="125"/>
      <c r="D14" s="125"/>
      <c r="E14" s="125"/>
      <c r="F14" s="125"/>
      <c r="G14" s="125"/>
      <c r="H14" s="125"/>
      <c r="I14" s="125"/>
      <c r="J14" s="125"/>
      <c r="K14" s="125"/>
      <c r="L14" s="125"/>
      <c r="M14" s="125"/>
      <c r="N14" s="125"/>
      <c r="O14" s="125"/>
      <c r="P14" s="125"/>
      <c r="Q14" s="125"/>
      <c r="R14" s="125"/>
      <c r="S14" s="125"/>
      <c r="T14" s="125"/>
      <c r="AE14" s="1" t="s">
        <v>184</v>
      </c>
    </row>
    <row r="15" spans="1:31" s="4" customFormat="1" x14ac:dyDescent="0.25">
      <c r="AE15" s="1"/>
    </row>
    <row r="18" spans="1:27" x14ac:dyDescent="0.25">
      <c r="A18" t="s">
        <v>194</v>
      </c>
    </row>
    <row r="19" spans="1:27" x14ac:dyDescent="0.25">
      <c r="AA19" t="str">
        <f>CONCATENATE("Hoteles: 
",FIXED(O7,0)," viajeros 
cuota: ",FIXED(T7*100,1),"%")</f>
        <v>Hoteles: 
26.153 viajeros 
cuota: 100,0%</v>
      </c>
    </row>
    <row r="20" spans="1:27" x14ac:dyDescent="0.25">
      <c r="AA20" t="e">
        <f>CONCATENATE("Apartamentos: 
",FIXED(O10,0)," viajeros
cuota: ",FIXED(T10*100,1),"%")</f>
        <v>#REF!</v>
      </c>
    </row>
    <row r="38" spans="2:31" s="4" customFormat="1" ht="15.75" hidden="1" customHeight="1" thickBot="1" x14ac:dyDescent="0.3">
      <c r="B38" s="270" t="s">
        <v>185</v>
      </c>
      <c r="C38" s="270"/>
      <c r="D38" s="270"/>
      <c r="E38" s="270"/>
      <c r="F38" s="270"/>
      <c r="G38" s="270"/>
      <c r="H38" s="270"/>
      <c r="I38" s="270"/>
      <c r="J38" s="270"/>
      <c r="K38" s="270"/>
      <c r="L38" s="270"/>
      <c r="M38" s="270"/>
      <c r="N38" s="270"/>
      <c r="O38" s="270"/>
      <c r="P38" s="270"/>
      <c r="Q38" s="270"/>
      <c r="R38" s="270"/>
      <c r="S38" s="270"/>
      <c r="T38" s="83"/>
      <c r="AE38" s="1"/>
    </row>
    <row r="39" spans="2:31" s="4" customFormat="1" ht="6" hidden="1" customHeight="1" thickBot="1" x14ac:dyDescent="0.3">
      <c r="AE39" s="1"/>
    </row>
    <row r="40" spans="2:31" s="4" customFormat="1" ht="30" hidden="1" x14ac:dyDescent="0.25">
      <c r="C40" s="87"/>
      <c r="D40" s="87"/>
      <c r="E40" s="87"/>
      <c r="F40" s="87"/>
      <c r="G40" s="87"/>
      <c r="H40" s="87"/>
      <c r="I40" s="87"/>
      <c r="J40" s="87"/>
      <c r="K40" s="14">
        <v>2020</v>
      </c>
      <c r="L40" s="14"/>
      <c r="M40" s="14"/>
      <c r="N40" s="14" t="s">
        <v>186</v>
      </c>
      <c r="O40" s="14">
        <v>2021</v>
      </c>
      <c r="P40" s="14" t="s">
        <v>186</v>
      </c>
      <c r="Q40" s="14" t="s">
        <v>187</v>
      </c>
      <c r="R40" s="14" t="s">
        <v>188</v>
      </c>
      <c r="S40" s="14" t="s">
        <v>189</v>
      </c>
      <c r="T40" s="87"/>
      <c r="AE40" s="1"/>
    </row>
    <row r="41" spans="2:31" s="4" customFormat="1" ht="18.75" hidden="1" x14ac:dyDescent="0.3">
      <c r="B41" s="224" t="s">
        <v>173</v>
      </c>
      <c r="C41" s="225"/>
      <c r="D41" s="225"/>
      <c r="E41" s="225"/>
      <c r="F41" s="225"/>
      <c r="G41" s="225"/>
      <c r="H41" s="225"/>
      <c r="I41" s="225"/>
      <c r="J41" s="225"/>
      <c r="K41" s="225">
        <v>1824653</v>
      </c>
      <c r="L41" s="225"/>
      <c r="M41" s="225"/>
      <c r="N41" s="226"/>
      <c r="O41" s="225">
        <v>2354005</v>
      </c>
      <c r="P41" s="226"/>
      <c r="Q41" s="226">
        <v>1</v>
      </c>
      <c r="R41" s="226">
        <v>0.2901110512519367</v>
      </c>
      <c r="S41" s="225">
        <v>529352</v>
      </c>
      <c r="T41" s="237"/>
      <c r="AE41" s="1"/>
    </row>
    <row r="42" spans="2:31" ht="18.75" hidden="1" x14ac:dyDescent="0.3">
      <c r="B42" s="224" t="s">
        <v>174</v>
      </c>
      <c r="C42" s="225"/>
      <c r="D42" s="225"/>
      <c r="E42" s="225"/>
      <c r="F42" s="225"/>
      <c r="G42" s="225"/>
      <c r="H42" s="225"/>
      <c r="I42" s="225"/>
      <c r="J42" s="225"/>
      <c r="K42" s="225">
        <v>603938</v>
      </c>
      <c r="L42" s="225"/>
      <c r="M42" s="225"/>
      <c r="N42" s="226">
        <v>1</v>
      </c>
      <c r="O42" s="225">
        <v>936181</v>
      </c>
      <c r="P42" s="226">
        <v>1</v>
      </c>
      <c r="Q42" s="226">
        <v>0.39769711619134201</v>
      </c>
      <c r="R42" s="226">
        <v>0.55012766211101138</v>
      </c>
      <c r="S42" s="225">
        <v>332243</v>
      </c>
      <c r="T42" s="237"/>
      <c r="AE42" s="1" t="s">
        <v>175</v>
      </c>
    </row>
    <row r="43" spans="2:31" ht="15.75" hidden="1" x14ac:dyDescent="0.25">
      <c r="B43" s="227" t="s">
        <v>100</v>
      </c>
      <c r="C43" s="228"/>
      <c r="D43" s="228"/>
      <c r="E43" s="228"/>
      <c r="F43" s="228"/>
      <c r="G43" s="228"/>
      <c r="H43" s="228"/>
      <c r="I43" s="228"/>
      <c r="J43" s="228"/>
      <c r="K43" s="228">
        <v>276550.36166633503</v>
      </c>
      <c r="L43" s="228"/>
      <c r="M43" s="228"/>
      <c r="N43" s="229">
        <v>0.45791184139155844</v>
      </c>
      <c r="O43" s="228">
        <v>430252.45635520399</v>
      </c>
      <c r="P43" s="229">
        <v>0.4595825554622493</v>
      </c>
      <c r="Q43" s="229">
        <v>0.18277465695918402</v>
      </c>
      <c r="R43" s="229">
        <v>0.55578337978930015</v>
      </c>
      <c r="S43" s="228">
        <v>153702.09468886897</v>
      </c>
      <c r="T43" s="238"/>
      <c r="AE43" s="1" t="s">
        <v>176</v>
      </c>
    </row>
    <row r="44" spans="2:31" s="4" customFormat="1" hidden="1" x14ac:dyDescent="0.25">
      <c r="B44" s="230" t="s">
        <v>103</v>
      </c>
      <c r="C44" s="231"/>
      <c r="D44" s="231"/>
      <c r="E44" s="231"/>
      <c r="F44" s="231"/>
      <c r="G44" s="231"/>
      <c r="H44" s="231"/>
      <c r="I44" s="231"/>
      <c r="J44" s="231"/>
      <c r="K44" s="231">
        <v>327387.63833385095</v>
      </c>
      <c r="L44" s="231"/>
      <c r="M44" s="231"/>
      <c r="N44" s="234">
        <v>0.54208815860874948</v>
      </c>
      <c r="O44" s="231">
        <v>505927.5436448183</v>
      </c>
      <c r="P44" s="234">
        <v>0.54041637636826456</v>
      </c>
      <c r="Q44" s="234">
        <v>0.21492203442423372</v>
      </c>
      <c r="R44" s="232">
        <v>0.54534711884540576</v>
      </c>
      <c r="S44" s="233">
        <v>178539.90531096736</v>
      </c>
      <c r="T44" s="240"/>
      <c r="AE44" s="1" t="s">
        <v>177</v>
      </c>
    </row>
    <row r="45" spans="2:31" s="4" customFormat="1" hidden="1" x14ac:dyDescent="0.25">
      <c r="B45" s="235" t="s">
        <v>178</v>
      </c>
      <c r="C45" s="29"/>
      <c r="D45" s="29"/>
      <c r="E45" s="29"/>
      <c r="F45" s="29"/>
      <c r="G45" s="29"/>
      <c r="H45" s="29"/>
      <c r="I45" s="29"/>
      <c r="J45" s="29"/>
      <c r="K45" s="29">
        <v>242109.12821622068</v>
      </c>
      <c r="L45" s="29"/>
      <c r="M45" s="29"/>
      <c r="N45" s="31">
        <v>0.4008840778626625</v>
      </c>
      <c r="O45" s="29">
        <v>391384.01224089495</v>
      </c>
      <c r="P45" s="31">
        <v>0.41806446855992052</v>
      </c>
      <c r="Q45" s="31">
        <v>0.16626303352834634</v>
      </c>
      <c r="R45" s="22">
        <v>0.61656033014732592</v>
      </c>
      <c r="S45" s="20">
        <v>149274.88402467428</v>
      </c>
      <c r="T45" s="20"/>
      <c r="AE45" s="1" t="s">
        <v>179</v>
      </c>
    </row>
    <row r="46" spans="2:31" s="4" customFormat="1" hidden="1" x14ac:dyDescent="0.25">
      <c r="B46" s="235" t="s">
        <v>180</v>
      </c>
      <c r="C46" s="29"/>
      <c r="D46" s="29"/>
      <c r="E46" s="29"/>
      <c r="F46" s="29"/>
      <c r="G46" s="29"/>
      <c r="H46" s="29"/>
      <c r="I46" s="29"/>
      <c r="J46" s="29"/>
      <c r="K46" s="29">
        <v>85278.510117630256</v>
      </c>
      <c r="L46" s="29"/>
      <c r="M46" s="29"/>
      <c r="N46" s="31">
        <v>0.14120408074608695</v>
      </c>
      <c r="O46" s="29">
        <v>114543.53140392336</v>
      </c>
      <c r="P46" s="31">
        <v>0.12235190780834407</v>
      </c>
      <c r="Q46" s="31">
        <v>4.8659000895887379E-2</v>
      </c>
      <c r="R46" s="22">
        <v>0.34316994100771625</v>
      </c>
      <c r="S46" s="20">
        <v>29265.021286293108</v>
      </c>
      <c r="T46" s="20"/>
      <c r="AE46" s="1" t="s">
        <v>181</v>
      </c>
    </row>
    <row r="47" spans="2:31" s="4" customFormat="1" ht="7.5" hidden="1" customHeight="1" x14ac:dyDescent="0.25">
      <c r="B47" s="236"/>
      <c r="C47" s="236"/>
      <c r="D47" s="236"/>
      <c r="E47" s="236"/>
      <c r="F47" s="236"/>
      <c r="G47" s="236"/>
      <c r="H47" s="236"/>
      <c r="I47" s="236"/>
      <c r="J47" s="236"/>
      <c r="K47" s="236"/>
      <c r="L47" s="236"/>
      <c r="M47" s="236"/>
      <c r="N47" s="236"/>
      <c r="O47" s="236"/>
      <c r="P47" s="236"/>
      <c r="Q47" s="236"/>
      <c r="R47" s="236"/>
      <c r="S47" s="236"/>
      <c r="AE47" s="1" t="s">
        <v>182</v>
      </c>
    </row>
    <row r="48" spans="2:31" s="4" customFormat="1" hidden="1" x14ac:dyDescent="0.25">
      <c r="B48" s="269" t="s">
        <v>183</v>
      </c>
      <c r="C48" s="269"/>
      <c r="D48" s="269"/>
      <c r="E48" s="269"/>
      <c r="F48" s="269"/>
      <c r="G48" s="269"/>
      <c r="H48" s="269"/>
      <c r="I48" s="269"/>
      <c r="J48" s="269"/>
      <c r="K48" s="269"/>
      <c r="L48" s="269"/>
      <c r="M48" s="269"/>
      <c r="N48" s="269"/>
      <c r="O48" s="269"/>
      <c r="P48" s="269"/>
      <c r="Q48" s="269"/>
      <c r="R48" s="269"/>
      <c r="S48" s="269"/>
      <c r="T48" s="48"/>
      <c r="AE48" s="1" t="s">
        <v>184</v>
      </c>
    </row>
    <row r="49" spans="3:31" s="4" customFormat="1" hidden="1" x14ac:dyDescent="0.25">
      <c r="AE49" s="1"/>
    </row>
    <row r="50" spans="3:31" hidden="1" x14ac:dyDescent="0.25">
      <c r="C50" s="122"/>
      <c r="D50" s="122"/>
      <c r="E50" s="122"/>
      <c r="F50" s="122"/>
      <c r="G50" s="122"/>
      <c r="H50" s="122"/>
      <c r="I50" s="122"/>
      <c r="J50" s="122"/>
      <c r="K50" s="122">
        <v>0.54208815860874948</v>
      </c>
      <c r="L50" s="122"/>
      <c r="M50" s="122"/>
    </row>
    <row r="51" spans="3:31" hidden="1" x14ac:dyDescent="0.25"/>
    <row r="52" spans="3:31" hidden="1" x14ac:dyDescent="0.25"/>
    <row r="53" spans="3:31" hidden="1" x14ac:dyDescent="0.25"/>
    <row r="54" spans="3:31" hidden="1" x14ac:dyDescent="0.25"/>
    <row r="55" spans="3:31" hidden="1" x14ac:dyDescent="0.25"/>
    <row r="56" spans="3:31" hidden="1" x14ac:dyDescent="0.25"/>
    <row r="57" spans="3:31" hidden="1" x14ac:dyDescent="0.25"/>
    <row r="58" spans="3:31" hidden="1" x14ac:dyDescent="0.25"/>
    <row r="59" spans="3:31" hidden="1" x14ac:dyDescent="0.25"/>
    <row r="60" spans="3:31" hidden="1" x14ac:dyDescent="0.25"/>
    <row r="61" spans="3:31" hidden="1" x14ac:dyDescent="0.25"/>
    <row r="62" spans="3:31" hidden="1" x14ac:dyDescent="0.25"/>
    <row r="63" spans="3:31" hidden="1" x14ac:dyDescent="0.25"/>
    <row r="64" spans="3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31" spans="1:31" s="4" customFormat="1" ht="25.5" customHeight="1" thickBot="1" x14ac:dyDescent="0.3">
      <c r="B131" s="62" t="s">
        <v>195</v>
      </c>
      <c r="C131" s="62"/>
      <c r="D131" s="62"/>
      <c r="E131" s="62"/>
      <c r="F131" s="62"/>
      <c r="G131" s="62"/>
      <c r="H131" s="62"/>
      <c r="I131" s="62"/>
      <c r="J131" s="62"/>
      <c r="K131" s="62"/>
      <c r="L131" s="62"/>
      <c r="M131" s="62"/>
      <c r="N131" s="62"/>
      <c r="O131" s="62"/>
      <c r="Z131" s="1"/>
    </row>
    <row r="132" spans="1:31" s="4" customFormat="1" ht="6" customHeight="1" x14ac:dyDescent="0.25">
      <c r="Z132" s="1"/>
    </row>
    <row r="133" spans="1:31" s="4" customFormat="1" ht="30" x14ac:dyDescent="0.25">
      <c r="C133" s="182">
        <v>2019</v>
      </c>
      <c r="D133" s="182">
        <v>2020</v>
      </c>
      <c r="E133" s="182">
        <v>2021</v>
      </c>
      <c r="F133" s="182">
        <v>2022</v>
      </c>
      <c r="G133" s="173" t="str">
        <f>CONCATENATE("var. ",RIGHT(F133,2),"/",RIGHT(E133,2))</f>
        <v>var. 22/21</v>
      </c>
      <c r="H133" s="173" t="str">
        <f>CONCATENATE("dif. ",RIGHT(F133,2),"/",RIGHT(E133,2))</f>
        <v>dif. 22/21</v>
      </c>
      <c r="I133" s="242" t="str">
        <f>CONCATENATE("%/s total Tenerife ",RIGHT(F133,4))</f>
        <v>%/s total Tenerife 2022</v>
      </c>
      <c r="J133" s="182">
        <v>2023</v>
      </c>
      <c r="K133" s="242" t="str">
        <f>CONCATENATE("%/s total Tenerife ",RIGHT(J133,4))</f>
        <v>%/s total Tenerife 2023</v>
      </c>
      <c r="L133" s="173" t="str">
        <f>CONCATENATE("var. ",RIGHT(J133,2),"/",RIGHT(F133,2))</f>
        <v>var. 23/22</v>
      </c>
      <c r="M133" s="173" t="str">
        <f>CONCATENATE("dif. ",RIGHT(J133,2),"/",RIGHT(F133,2))</f>
        <v>dif. 23/22</v>
      </c>
      <c r="N133" s="173" t="str">
        <f>CONCATENATE("var. ",RIGHT(J133,2),"/",RIGHT(D133,2))</f>
        <v>var. 23/20</v>
      </c>
      <c r="O133" s="173" t="str">
        <f>CONCATENATE("dif. ",RIGHT(J133,2),"/",RIGHT(D133,2))</f>
        <v>dif. 23/20</v>
      </c>
      <c r="Z133" s="1"/>
    </row>
    <row r="134" spans="1:31" ht="18.75" x14ac:dyDescent="0.3">
      <c r="A134" s="4"/>
      <c r="B134" s="224" t="s">
        <v>191</v>
      </c>
      <c r="C134" s="243">
        <v>26258</v>
      </c>
      <c r="D134" s="228">
        <v>7339</v>
      </c>
      <c r="E134" s="228">
        <v>10731</v>
      </c>
      <c r="F134" s="228">
        <v>17520</v>
      </c>
      <c r="G134" s="229">
        <f>F134/E134-1</f>
        <v>0.63265306122448983</v>
      </c>
      <c r="H134" s="228">
        <f>F134-E134</f>
        <v>6789</v>
      </c>
      <c r="I134" s="229">
        <f>F134/F$134</f>
        <v>1</v>
      </c>
      <c r="J134" s="228">
        <v>25698</v>
      </c>
      <c r="K134" s="229">
        <f>J134/J$134</f>
        <v>1</v>
      </c>
      <c r="L134" s="229">
        <f>J134/F134-1</f>
        <v>0.46678082191780823</v>
      </c>
      <c r="M134" s="228">
        <f>J134-F134</f>
        <v>8178</v>
      </c>
      <c r="N134" s="229">
        <f>J134/D134-1</f>
        <v>2.5015669709769726</v>
      </c>
      <c r="O134" s="228">
        <f>J134-D134</f>
        <v>18359</v>
      </c>
      <c r="Q134" s="29"/>
      <c r="R134" s="79"/>
      <c r="Z134" s="1" t="s">
        <v>175</v>
      </c>
      <c r="AE134"/>
    </row>
    <row r="135" spans="1:31" s="4" customFormat="1" x14ac:dyDescent="0.25">
      <c r="B135" s="245" t="s">
        <v>192</v>
      </c>
      <c r="C135" s="246">
        <v>26258</v>
      </c>
      <c r="D135" s="246">
        <v>7339</v>
      </c>
      <c r="E135" s="246">
        <v>10731</v>
      </c>
      <c r="F135" s="246">
        <v>17520</v>
      </c>
      <c r="G135" s="250">
        <f>IFERROR(F135/E135-1,"-")</f>
        <v>0.63265306122448983</v>
      </c>
      <c r="H135" s="246">
        <f t="shared" ref="H135:H138" si="14">F135-E135</f>
        <v>6789</v>
      </c>
      <c r="I135" s="248">
        <f>F135/F$134</f>
        <v>1</v>
      </c>
      <c r="J135" s="246">
        <v>25698</v>
      </c>
      <c r="K135" s="247">
        <f t="shared" ref="K135:K138" si="15">J135/J$134</f>
        <v>1</v>
      </c>
      <c r="L135" s="248">
        <f t="shared" ref="L135:L138" si="16">J135/F135-1</f>
        <v>0.46678082191780823</v>
      </c>
      <c r="M135" s="249">
        <f t="shared" ref="M135:M138" si="17">J135-F135</f>
        <v>8178</v>
      </c>
      <c r="N135" s="247">
        <f t="shared" ref="N135:N138" si="18">J135/D135-1</f>
        <v>2.5015669709769726</v>
      </c>
      <c r="O135" s="246">
        <f t="shared" ref="O135:O138" si="19">J135-D135</f>
        <v>18359</v>
      </c>
      <c r="Q135" s="29"/>
      <c r="R135" s="79"/>
      <c r="Z135" s="1" t="s">
        <v>177</v>
      </c>
    </row>
    <row r="136" spans="1:31" s="4" customFormat="1" x14ac:dyDescent="0.25">
      <c r="B136" s="97" t="s">
        <v>62</v>
      </c>
      <c r="C136" s="252">
        <v>6625</v>
      </c>
      <c r="D136" s="252">
        <v>0</v>
      </c>
      <c r="E136" s="252">
        <v>0</v>
      </c>
      <c r="F136" s="252">
        <v>1009</v>
      </c>
      <c r="G136" s="256" t="str">
        <f t="shared" ref="G136:G138" si="20">IFERROR(F136/E136-1,"-")</f>
        <v>-</v>
      </c>
      <c r="H136" s="252">
        <f t="shared" si="14"/>
        <v>1009</v>
      </c>
      <c r="I136" s="260">
        <f t="shared" ref="I136:I138" si="21">F136/F$134</f>
        <v>5.7591324200913244E-2</v>
      </c>
      <c r="J136" s="252">
        <v>1532</v>
      </c>
      <c r="K136" s="258">
        <f t="shared" si="15"/>
        <v>5.9615534282823568E-2</v>
      </c>
      <c r="L136" s="260">
        <f t="shared" si="16"/>
        <v>0.51833498513379594</v>
      </c>
      <c r="M136" s="259">
        <f t="shared" si="17"/>
        <v>523</v>
      </c>
      <c r="N136" s="258" t="e">
        <f t="shared" si="18"/>
        <v>#DIV/0!</v>
      </c>
      <c r="O136" s="252">
        <f t="shared" si="19"/>
        <v>1532</v>
      </c>
      <c r="Q136" s="29"/>
      <c r="R136" s="79"/>
      <c r="Z136" s="1"/>
    </row>
    <row r="137" spans="1:31" s="4" customFormat="1" x14ac:dyDescent="0.25">
      <c r="B137" s="97" t="s">
        <v>61</v>
      </c>
      <c r="C137" s="252">
        <v>15448</v>
      </c>
      <c r="D137" s="252">
        <v>0</v>
      </c>
      <c r="E137" s="252">
        <v>0</v>
      </c>
      <c r="F137" s="252">
        <v>16511</v>
      </c>
      <c r="G137" s="254" t="str">
        <f t="shared" si="20"/>
        <v>-</v>
      </c>
      <c r="H137" s="252">
        <f t="shared" si="14"/>
        <v>16511</v>
      </c>
      <c r="I137" s="264">
        <f t="shared" si="21"/>
        <v>0.94240867579908671</v>
      </c>
      <c r="J137" s="252">
        <v>24166</v>
      </c>
      <c r="K137" s="258">
        <f t="shared" si="15"/>
        <v>0.94038446571717649</v>
      </c>
      <c r="L137" s="260">
        <f t="shared" si="16"/>
        <v>0.46363030706801522</v>
      </c>
      <c r="M137" s="259">
        <f t="shared" si="17"/>
        <v>7655</v>
      </c>
      <c r="N137" s="258" t="e">
        <f t="shared" si="18"/>
        <v>#DIV/0!</v>
      </c>
      <c r="O137" s="252">
        <f t="shared" si="19"/>
        <v>24166</v>
      </c>
      <c r="Q137" s="29"/>
      <c r="R137" s="79"/>
      <c r="Z137" s="1"/>
    </row>
    <row r="138" spans="1:31" s="4" customFormat="1" x14ac:dyDescent="0.25">
      <c r="B138" s="245" t="s">
        <v>193</v>
      </c>
      <c r="C138" s="246" t="e">
        <v>#REF!</v>
      </c>
      <c r="D138" s="246" t="e">
        <v>#REF!</v>
      </c>
      <c r="E138" s="246" t="e">
        <v>#REF!</v>
      </c>
      <c r="F138" s="246" t="e">
        <v>#REF!</v>
      </c>
      <c r="G138" s="250" t="str">
        <f t="shared" si="20"/>
        <v>-</v>
      </c>
      <c r="H138" s="246" t="e">
        <f t="shared" si="14"/>
        <v>#REF!</v>
      </c>
      <c r="I138" s="248" t="e">
        <f t="shared" si="21"/>
        <v>#REF!</v>
      </c>
      <c r="J138" s="246" t="e">
        <v>#REF!</v>
      </c>
      <c r="K138" s="247" t="e">
        <f t="shared" si="15"/>
        <v>#REF!</v>
      </c>
      <c r="L138" s="248" t="e">
        <f t="shared" si="16"/>
        <v>#REF!</v>
      </c>
      <c r="M138" s="249" t="e">
        <f t="shared" si="17"/>
        <v>#REF!</v>
      </c>
      <c r="N138" s="247" t="e">
        <f t="shared" si="18"/>
        <v>#REF!</v>
      </c>
      <c r="O138" s="246" t="e">
        <f t="shared" si="19"/>
        <v>#REF!</v>
      </c>
      <c r="Q138" s="29"/>
      <c r="R138" s="79"/>
      <c r="Z138" s="1"/>
    </row>
    <row r="139" spans="1:31" s="4" customFormat="1" ht="7.5" customHeight="1" x14ac:dyDescent="0.25">
      <c r="B139" s="236"/>
      <c r="C139" s="236"/>
      <c r="D139" s="236"/>
      <c r="E139" s="236"/>
      <c r="F139" s="236"/>
      <c r="G139" s="236"/>
      <c r="H139" s="236"/>
      <c r="I139" s="236"/>
      <c r="J139" s="236"/>
      <c r="K139" s="236"/>
      <c r="L139" s="236"/>
      <c r="M139" s="236"/>
      <c r="N139" s="236"/>
      <c r="O139" s="236"/>
      <c r="Z139" s="1" t="s">
        <v>182</v>
      </c>
    </row>
    <row r="140" spans="1:31" s="4" customFormat="1" ht="32.25" customHeight="1" x14ac:dyDescent="0.25">
      <c r="B140" s="311" t="s">
        <v>196</v>
      </c>
      <c r="C140" s="311"/>
      <c r="D140" s="311"/>
      <c r="E140" s="311"/>
      <c r="F140" s="311"/>
      <c r="G140" s="311"/>
      <c r="H140" s="311"/>
      <c r="I140" s="311"/>
      <c r="J140" s="311"/>
      <c r="K140" s="311"/>
      <c r="L140" s="311"/>
      <c r="M140" s="311"/>
      <c r="N140" s="311"/>
      <c r="O140" s="311"/>
      <c r="Z140" s="1" t="s">
        <v>184</v>
      </c>
    </row>
    <row r="141" spans="1:31" x14ac:dyDescent="0.25">
      <c r="Z141" s="1"/>
      <c r="AE141"/>
    </row>
    <row r="142" spans="1:31" x14ac:dyDescent="0.25">
      <c r="Z142" s="1"/>
      <c r="AE142"/>
    </row>
  </sheetData>
  <mergeCells count="3">
    <mergeCell ref="B38:S38"/>
    <mergeCell ref="B48:S48"/>
    <mergeCell ref="B140:O14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420A35-8B36-44DE-8901-05AC11AA21EB}">
  <sheetPr>
    <tabColor theme="4" tint="0.39997558519241921"/>
  </sheetPr>
  <dimension ref="A1:AE14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20" width="12.42578125" customWidth="1"/>
    <col min="27" max="27" width="14" hidden="1" customWidth="1"/>
    <col min="31" max="31" width="11.42578125" style="1"/>
  </cols>
  <sheetData>
    <row r="1" spans="1:31" ht="30" customHeight="1" x14ac:dyDescent="0.25">
      <c r="B1" s="1" t="s">
        <v>190</v>
      </c>
      <c r="G1" s="223"/>
      <c r="H1" s="223"/>
      <c r="I1" s="223"/>
      <c r="K1" s="223"/>
    </row>
    <row r="3" spans="1:31" s="4" customFormat="1" ht="25.5" customHeight="1" thickBot="1" x14ac:dyDescent="0.3">
      <c r="B3" s="62" t="s">
        <v>317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45" x14ac:dyDescent="0.25">
      <c r="C5" s="241" t="s">
        <v>262</v>
      </c>
      <c r="D5" s="241" t="s">
        <v>263</v>
      </c>
      <c r="E5" s="241" t="s">
        <v>269</v>
      </c>
      <c r="F5" s="242" t="str">
        <f>CONCATENATE("%/s total Tenerife ",RIGHT(E5,4))</f>
        <v>%/s total Tenerife 2021</v>
      </c>
      <c r="G5" s="241" t="s">
        <v>264</v>
      </c>
      <c r="H5" s="242" t="str">
        <f>CONCATENATE("var. ",RIGHT(G5,2),"/",RIGHT(E5,2))</f>
        <v>var. 22/21</v>
      </c>
      <c r="I5" s="242" t="str">
        <f>CONCATENATE("dif. ",RIGHT(G5,2),"/",RIGHT(E5,2))</f>
        <v>dif. 22/21</v>
      </c>
      <c r="J5" s="242" t="str">
        <f>CONCATENATE("%/s total Tenerife ",RIGHT(G5,4))</f>
        <v>%/s total Tenerife 2022</v>
      </c>
      <c r="K5" s="241" t="s">
        <v>265</v>
      </c>
      <c r="L5" s="242" t="str">
        <f>CONCATENATE("var. ",RIGHT(K5,2),"/",RIGHT(G5,2))</f>
        <v>var. 23/22</v>
      </c>
      <c r="M5" s="242" t="str">
        <f>CONCATENATE("dif. ",RIGHT(K5,2),"/",RIGHT(G5,2))</f>
        <v>dif. 23/22</v>
      </c>
      <c r="N5" s="242" t="str">
        <f>CONCATENATE("%/s total Tenerife ",RIGHT(K5,4))</f>
        <v>%/s total Tenerife 2023</v>
      </c>
      <c r="O5" s="241" t="s">
        <v>266</v>
      </c>
      <c r="P5" s="242" t="str">
        <f>CONCATENATE("var. ",RIGHT(O5,2),"/",RIGHT(K5,2))</f>
        <v>var. 24/23</v>
      </c>
      <c r="Q5" s="242" t="str">
        <f>CONCATENATE("dif. ",RIGHT(O5,2),"/",RIGHT(K5,2))</f>
        <v>dif. 24/23</v>
      </c>
      <c r="R5" s="242" t="str">
        <f>CONCATENATE("var. ",RIGHT(O5,2),"/",RIGHT(C5,2))</f>
        <v>var. 24/19</v>
      </c>
      <c r="S5" s="242" t="str">
        <f>CONCATENATE("dif. ",RIGHT(O5,2),"/",RIGHT(C5,2))</f>
        <v>dif. 24/19</v>
      </c>
      <c r="T5" s="242" t="str">
        <f>CONCATENATE("%/s total Tenerife ",RIGHT(O5,4))</f>
        <v>%/s total Tenerife 2024</v>
      </c>
      <c r="AE5" s="1"/>
    </row>
    <row r="6" spans="1:31" ht="18.75" x14ac:dyDescent="0.3">
      <c r="A6" s="4"/>
      <c r="B6" s="224" t="s">
        <v>197</v>
      </c>
      <c r="C6" s="243">
        <v>13348</v>
      </c>
      <c r="D6" s="243">
        <v>5101</v>
      </c>
      <c r="E6" s="243">
        <v>6944</v>
      </c>
      <c r="F6" s="244">
        <f>E6/$E$6</f>
        <v>1</v>
      </c>
      <c r="G6" s="243">
        <v>12895</v>
      </c>
      <c r="H6" s="244">
        <f>G6/E6-1</f>
        <v>0.85699884792626735</v>
      </c>
      <c r="I6" s="243">
        <f>G6-E6</f>
        <v>5951</v>
      </c>
      <c r="J6" s="244">
        <f>G6/$G$6</f>
        <v>1</v>
      </c>
      <c r="K6" s="243">
        <v>20325</v>
      </c>
      <c r="L6" s="244">
        <f t="shared" ref="L6:L12" si="0">K6/G6-1</f>
        <v>0.57619232260566111</v>
      </c>
      <c r="M6" s="243">
        <f t="shared" ref="M6:M12" si="1">K6-G6</f>
        <v>7430</v>
      </c>
      <c r="N6" s="244">
        <f>K6/$K$6</f>
        <v>1</v>
      </c>
      <c r="O6" s="243">
        <v>17951</v>
      </c>
      <c r="P6" s="244">
        <f t="shared" ref="P6:P11" si="2">O6/K6-1</f>
        <v>-0.11680196801968024</v>
      </c>
      <c r="Q6" s="243">
        <f t="shared" ref="Q6:Q12" si="3">O6-K6</f>
        <v>-2374</v>
      </c>
      <c r="R6" s="244">
        <f>O6/C6-1</f>
        <v>0.34484566976326048</v>
      </c>
      <c r="S6" s="243">
        <f>O6-C6</f>
        <v>4603</v>
      </c>
      <c r="T6" s="244">
        <f>O6/$O$6</f>
        <v>1</v>
      </c>
      <c r="V6" s="29"/>
      <c r="W6" s="79"/>
      <c r="AE6" s="1" t="s">
        <v>175</v>
      </c>
    </row>
    <row r="7" spans="1:31" s="4" customFormat="1" x14ac:dyDescent="0.25">
      <c r="B7" s="245" t="s">
        <v>192</v>
      </c>
      <c r="C7" s="246">
        <v>13348</v>
      </c>
      <c r="D7" s="246">
        <v>5101</v>
      </c>
      <c r="E7" s="246">
        <v>6944</v>
      </c>
      <c r="F7" s="247">
        <f t="shared" ref="F7:F12" si="4">E7/$E$6</f>
        <v>1</v>
      </c>
      <c r="G7" s="246">
        <v>12895</v>
      </c>
      <c r="H7" s="248">
        <f>G7/E7-1</f>
        <v>0.85699884792626735</v>
      </c>
      <c r="I7" s="249">
        <f>G7-E7</f>
        <v>5951</v>
      </c>
      <c r="J7" s="247">
        <f>G7/$G$6</f>
        <v>1</v>
      </c>
      <c r="K7" s="246">
        <v>20325</v>
      </c>
      <c r="L7" s="250">
        <f t="shared" si="0"/>
        <v>0.57619232260566111</v>
      </c>
      <c r="M7" s="251">
        <f t="shared" si="1"/>
        <v>7430</v>
      </c>
      <c r="N7" s="247">
        <f>K7/$K$6</f>
        <v>1</v>
      </c>
      <c r="O7" s="246">
        <v>17951</v>
      </c>
      <c r="P7" s="248">
        <f t="shared" si="2"/>
        <v>-0.11680196801968024</v>
      </c>
      <c r="Q7" s="249">
        <f t="shared" si="3"/>
        <v>-2374</v>
      </c>
      <c r="R7" s="248">
        <f t="shared" ref="R7:R10" si="5">O7/C7-1</f>
        <v>0.34484566976326048</v>
      </c>
      <c r="S7" s="249">
        <f t="shared" ref="S7:S10" si="6">O7-C7</f>
        <v>4603</v>
      </c>
      <c r="T7" s="247">
        <f>O7/$O$6</f>
        <v>1</v>
      </c>
      <c r="V7" s="29"/>
      <c r="W7" s="79"/>
      <c r="AE7" s="1" t="s">
        <v>177</v>
      </c>
    </row>
    <row r="8" spans="1:31" s="4" customFormat="1" x14ac:dyDescent="0.25">
      <c r="B8" s="97" t="s">
        <v>62</v>
      </c>
      <c r="C8" s="252">
        <v>1707</v>
      </c>
      <c r="D8" s="252">
        <v>668</v>
      </c>
      <c r="E8" s="252">
        <v>0</v>
      </c>
      <c r="F8" s="253">
        <f t="shared" si="4"/>
        <v>0</v>
      </c>
      <c r="G8" s="252">
        <v>604</v>
      </c>
      <c r="H8" s="254" t="str">
        <f>IFERROR(G8/E8-1,"-")</f>
        <v>-</v>
      </c>
      <c r="I8" s="255">
        <f t="shared" ref="I8:I12" si="7">G8-E8</f>
        <v>604</v>
      </c>
      <c r="J8" s="253">
        <f t="shared" ref="J8:J12" si="8">G8/$G$6</f>
        <v>4.683986041101202E-2</v>
      </c>
      <c r="K8" s="252">
        <v>924</v>
      </c>
      <c r="L8" s="256">
        <f>IFERROR(K8/G8-1,"-")</f>
        <v>0.5298013245033113</v>
      </c>
      <c r="M8" s="257">
        <f>IF(G8=0,"nd",K8-G8)</f>
        <v>320</v>
      </c>
      <c r="N8" s="258">
        <f t="shared" ref="N8:N12" si="9">K8/$K$6</f>
        <v>4.5461254612546124E-2</v>
      </c>
      <c r="O8" s="252">
        <v>1099</v>
      </c>
      <c r="P8" s="256">
        <f>IFERROR(O8/K8-1,"-")</f>
        <v>0.18939393939393945</v>
      </c>
      <c r="Q8" s="259">
        <f t="shared" si="3"/>
        <v>175</v>
      </c>
      <c r="R8" s="256">
        <f>IFERROR(O8/C8-1,"-")</f>
        <v>-0.35618043350908024</v>
      </c>
      <c r="S8" s="259">
        <f t="shared" si="6"/>
        <v>-608</v>
      </c>
      <c r="T8" s="258">
        <f t="shared" ref="T8:T12" si="10">O8/$O$6</f>
        <v>6.1222216032533007E-2</v>
      </c>
      <c r="V8" s="29"/>
      <c r="W8" s="79"/>
      <c r="AE8" s="1"/>
    </row>
    <row r="9" spans="1:31" s="4" customFormat="1" x14ac:dyDescent="0.25">
      <c r="B9" s="97" t="s">
        <v>61</v>
      </c>
      <c r="C9" s="252">
        <v>11641</v>
      </c>
      <c r="D9" s="252">
        <v>2547</v>
      </c>
      <c r="E9" s="252">
        <v>0</v>
      </c>
      <c r="F9" s="258">
        <f t="shared" si="4"/>
        <v>0</v>
      </c>
      <c r="G9" s="252">
        <v>8822</v>
      </c>
      <c r="H9" s="254" t="str">
        <f>IFERROR(G9/E9-1,"-")</f>
        <v>-</v>
      </c>
      <c r="I9" s="259">
        <f t="shared" si="7"/>
        <v>8822</v>
      </c>
      <c r="J9" s="258">
        <f t="shared" si="8"/>
        <v>0.6841411399767352</v>
      </c>
      <c r="K9" s="252">
        <v>15491</v>
      </c>
      <c r="L9" s="256">
        <f>IFERROR(K9/G9-1,"-")</f>
        <v>0.75595103151212872</v>
      </c>
      <c r="M9" s="257">
        <f>IF(G9=0,"nd",K9-G9)</f>
        <v>6669</v>
      </c>
      <c r="N9" s="258">
        <f t="shared" si="9"/>
        <v>0.76216482164821653</v>
      </c>
      <c r="O9" s="252">
        <v>16852</v>
      </c>
      <c r="P9" s="256">
        <f t="shared" si="2"/>
        <v>8.7857465625201803E-2</v>
      </c>
      <c r="Q9" s="259">
        <f t="shared" si="3"/>
        <v>1361</v>
      </c>
      <c r="R9" s="260">
        <f t="shared" si="5"/>
        <v>0.44764195515849159</v>
      </c>
      <c r="S9" s="259">
        <f t="shared" si="6"/>
        <v>5211</v>
      </c>
      <c r="T9" s="258">
        <f t="shared" si="10"/>
        <v>0.93877778396746703</v>
      </c>
      <c r="V9" s="29"/>
      <c r="W9" s="79"/>
      <c r="AE9" s="1"/>
    </row>
    <row r="10" spans="1:31" s="4" customFormat="1" x14ac:dyDescent="0.25">
      <c r="B10" s="245" t="s">
        <v>193</v>
      </c>
      <c r="C10" s="261" t="s">
        <v>229</v>
      </c>
      <c r="D10" s="261" t="s">
        <v>229</v>
      </c>
      <c r="E10" s="261" t="s">
        <v>229</v>
      </c>
      <c r="F10" s="262" t="str">
        <f>IFERROR(E10/$E$6,"-")</f>
        <v>-</v>
      </c>
      <c r="G10" s="261" t="s">
        <v>229</v>
      </c>
      <c r="H10" s="250" t="str">
        <f>IFERROR(G10/E10-1,"-")</f>
        <v>-</v>
      </c>
      <c r="I10" s="251" t="str">
        <f>IFERROR(G10-E10,"-")</f>
        <v>-</v>
      </c>
      <c r="J10" s="262" t="str">
        <f>IFERROR(G10/$G$6,"-")</f>
        <v>-</v>
      </c>
      <c r="K10" s="261" t="s">
        <v>229</v>
      </c>
      <c r="L10" s="250" t="str">
        <f>IFERROR(K10/G10-1,"-")</f>
        <v>-</v>
      </c>
      <c r="M10" s="251" t="str">
        <f>IFERROR(K10-G10,"-")</f>
        <v>-</v>
      </c>
      <c r="N10" s="262" t="str">
        <f>IFERROR(K10/$K$6,"-")</f>
        <v>-</v>
      </c>
      <c r="O10" s="261" t="s">
        <v>229</v>
      </c>
      <c r="P10" s="250" t="str">
        <f>IFERROR(O10/K10-1,"-")</f>
        <v>-</v>
      </c>
      <c r="Q10" s="251" t="str">
        <f>IFERROR(O10-K10,"-")</f>
        <v>-</v>
      </c>
      <c r="R10" s="250" t="e">
        <f t="shared" si="5"/>
        <v>#VALUE!</v>
      </c>
      <c r="S10" s="251" t="e">
        <f t="shared" si="6"/>
        <v>#VALUE!</v>
      </c>
      <c r="T10" s="262" t="str">
        <f>IFERROR(O10/$O$6,"-")</f>
        <v>-</v>
      </c>
      <c r="V10" s="29"/>
      <c r="W10" s="79"/>
      <c r="AE10" s="1"/>
    </row>
    <row r="11" spans="1:31" s="4" customFormat="1" hidden="1" x14ac:dyDescent="0.25">
      <c r="B11" s="97" t="s">
        <v>62</v>
      </c>
      <c r="C11" s="252" t="e">
        <v>#REF!</v>
      </c>
      <c r="D11" s="252" t="e">
        <v>#REF!</v>
      </c>
      <c r="E11" s="252" t="e">
        <v>#REF!</v>
      </c>
      <c r="F11" s="258" t="e">
        <f t="shared" si="4"/>
        <v>#REF!</v>
      </c>
      <c r="G11" s="252" t="e">
        <v>#REF!</v>
      </c>
      <c r="H11" s="260" t="e">
        <f t="shared" ref="H11:H12" si="11">G11/E11-1</f>
        <v>#REF!</v>
      </c>
      <c r="I11" s="259" t="e">
        <f t="shared" si="7"/>
        <v>#REF!</v>
      </c>
      <c r="J11" s="258" t="e">
        <f t="shared" si="8"/>
        <v>#REF!</v>
      </c>
      <c r="K11" s="252" t="e">
        <v>#REF!</v>
      </c>
      <c r="L11" s="256" t="e">
        <f>K11/G11-1</f>
        <v>#REF!</v>
      </c>
      <c r="M11" s="259" t="e">
        <f t="shared" si="1"/>
        <v>#REF!</v>
      </c>
      <c r="N11" s="258" t="e">
        <f t="shared" si="9"/>
        <v>#REF!</v>
      </c>
      <c r="O11" s="252" t="e">
        <v>#REF!</v>
      </c>
      <c r="P11" s="260" t="e">
        <f t="shared" si="2"/>
        <v>#REF!</v>
      </c>
      <c r="Q11" s="259" t="e">
        <f t="shared" si="3"/>
        <v>#REF!</v>
      </c>
      <c r="R11" s="260" t="e">
        <f t="shared" ref="R11:R12" si="12">O11/D11-1</f>
        <v>#REF!</v>
      </c>
      <c r="S11" s="259" t="e">
        <f t="shared" ref="S11:S12" si="13">O11-D11</f>
        <v>#REF!</v>
      </c>
      <c r="T11" s="258" t="e">
        <f t="shared" si="10"/>
        <v>#REF!</v>
      </c>
      <c r="V11" s="29"/>
      <c r="W11" s="79"/>
      <c r="AE11" s="1"/>
    </row>
    <row r="12" spans="1:31" s="4" customFormat="1" hidden="1" x14ac:dyDescent="0.25">
      <c r="B12" s="97" t="s">
        <v>61</v>
      </c>
      <c r="C12" s="252" t="e">
        <v>#REF!</v>
      </c>
      <c r="D12" s="252" t="e">
        <v>#REF!</v>
      </c>
      <c r="E12" s="252" t="e">
        <v>#REF!</v>
      </c>
      <c r="F12" s="258" t="e">
        <f t="shared" si="4"/>
        <v>#REF!</v>
      </c>
      <c r="G12" s="252" t="e">
        <v>#REF!</v>
      </c>
      <c r="H12" s="260" t="e">
        <f t="shared" si="11"/>
        <v>#REF!</v>
      </c>
      <c r="I12" s="259" t="e">
        <f t="shared" si="7"/>
        <v>#REF!</v>
      </c>
      <c r="J12" s="258" t="e">
        <f t="shared" si="8"/>
        <v>#REF!</v>
      </c>
      <c r="K12" s="252" t="e">
        <v>#REF!</v>
      </c>
      <c r="L12" s="256" t="e">
        <f t="shared" si="0"/>
        <v>#REF!</v>
      </c>
      <c r="M12" s="259" t="e">
        <f t="shared" si="1"/>
        <v>#REF!</v>
      </c>
      <c r="N12" s="258" t="e">
        <f t="shared" si="9"/>
        <v>#REF!</v>
      </c>
      <c r="O12" s="252" t="e">
        <v>#REF!</v>
      </c>
      <c r="P12" s="260" t="e">
        <f>O12/K12-1</f>
        <v>#REF!</v>
      </c>
      <c r="Q12" s="259" t="e">
        <f t="shared" si="3"/>
        <v>#REF!</v>
      </c>
      <c r="R12" s="260" t="e">
        <f t="shared" si="12"/>
        <v>#REF!</v>
      </c>
      <c r="S12" s="259" t="e">
        <f t="shared" si="13"/>
        <v>#REF!</v>
      </c>
      <c r="T12" s="258" t="e">
        <f t="shared" si="10"/>
        <v>#REF!</v>
      </c>
      <c r="V12" s="29"/>
      <c r="W12" s="79"/>
      <c r="AE12" s="1"/>
    </row>
    <row r="13" spans="1:31" s="4" customFormat="1" ht="7.5" customHeight="1" x14ac:dyDescent="0.25">
      <c r="B13" s="236"/>
      <c r="C13" s="236"/>
      <c r="D13" s="236"/>
      <c r="E13" s="236"/>
      <c r="F13" s="236"/>
      <c r="G13" s="236"/>
      <c r="H13" s="236"/>
      <c r="I13" s="236"/>
      <c r="J13" s="236"/>
      <c r="K13" s="236"/>
      <c r="L13" s="263"/>
      <c r="M13" s="236"/>
      <c r="N13" s="236"/>
      <c r="O13" s="236"/>
      <c r="P13" s="236"/>
      <c r="Q13" s="236"/>
      <c r="R13" s="236"/>
      <c r="S13" s="236"/>
      <c r="T13" s="236"/>
      <c r="AE13" s="1" t="s">
        <v>182</v>
      </c>
    </row>
    <row r="14" spans="1:31" s="4" customFormat="1" x14ac:dyDescent="0.25">
      <c r="B14" s="125" t="s">
        <v>183</v>
      </c>
      <c r="C14" s="125"/>
      <c r="D14" s="125"/>
      <c r="E14" s="125"/>
      <c r="F14" s="125"/>
      <c r="G14" s="125"/>
      <c r="H14" s="125"/>
      <c r="I14" s="125"/>
      <c r="J14" s="125"/>
      <c r="K14" s="125"/>
      <c r="L14" s="125"/>
      <c r="M14" s="125"/>
      <c r="N14" s="125"/>
      <c r="O14" s="125"/>
      <c r="P14" s="125"/>
      <c r="Q14" s="125"/>
      <c r="R14" s="125"/>
      <c r="S14" s="125"/>
      <c r="T14" s="125"/>
      <c r="AE14" s="1" t="s">
        <v>184</v>
      </c>
    </row>
    <row r="15" spans="1:31" s="4" customFormat="1" x14ac:dyDescent="0.25">
      <c r="AE15" s="1"/>
    </row>
    <row r="19" spans="27:27" x14ac:dyDescent="0.25">
      <c r="AA19" t="str">
        <f>CONCATENATE("Hoteles: 
",FIXED(O7,0)," viajeros 
cuota: ",FIXED(T7*100,1),"%")</f>
        <v>Hoteles: 
17.951 viajeros 
cuota: 100,0%</v>
      </c>
    </row>
    <row r="20" spans="27:27" x14ac:dyDescent="0.25">
      <c r="AA20" t="e">
        <f>CONCATENATE("Apartamentos: 
",FIXED(O10,0)," viajeros
cuota: ",FIXED(T10*100,1),"%")</f>
        <v>#VALUE!</v>
      </c>
    </row>
    <row r="38" spans="2:31" s="4" customFormat="1" ht="15.75" hidden="1" customHeight="1" thickBot="1" x14ac:dyDescent="0.3">
      <c r="B38" s="270" t="s">
        <v>185</v>
      </c>
      <c r="C38" s="270"/>
      <c r="D38" s="270"/>
      <c r="E38" s="270"/>
      <c r="F38" s="270"/>
      <c r="G38" s="270"/>
      <c r="H38" s="270"/>
      <c r="I38" s="270"/>
      <c r="J38" s="270"/>
      <c r="K38" s="270"/>
      <c r="L38" s="270"/>
      <c r="M38" s="270"/>
      <c r="N38" s="270"/>
      <c r="O38" s="270"/>
      <c r="P38" s="270"/>
      <c r="Q38" s="270"/>
      <c r="R38" s="270"/>
      <c r="S38" s="270"/>
      <c r="T38" s="83"/>
      <c r="AE38" s="1"/>
    </row>
    <row r="39" spans="2:31" s="4" customFormat="1" ht="6" hidden="1" customHeight="1" thickBot="1" x14ac:dyDescent="0.3">
      <c r="AE39" s="1"/>
    </row>
    <row r="40" spans="2:31" s="4" customFormat="1" ht="30" hidden="1" x14ac:dyDescent="0.25">
      <c r="C40" s="87"/>
      <c r="D40" s="87"/>
      <c r="E40" s="87"/>
      <c r="F40" s="87"/>
      <c r="G40" s="87"/>
      <c r="H40" s="87"/>
      <c r="I40" s="87"/>
      <c r="J40" s="87"/>
      <c r="K40" s="14">
        <v>2020</v>
      </c>
      <c r="L40" s="14"/>
      <c r="M40" s="14"/>
      <c r="N40" s="14" t="s">
        <v>186</v>
      </c>
      <c r="O40" s="14">
        <v>2021</v>
      </c>
      <c r="P40" s="14" t="s">
        <v>186</v>
      </c>
      <c r="Q40" s="14" t="s">
        <v>187</v>
      </c>
      <c r="R40" s="14" t="s">
        <v>188</v>
      </c>
      <c r="S40" s="14" t="s">
        <v>189</v>
      </c>
      <c r="T40" s="87"/>
      <c r="AE40" s="1"/>
    </row>
    <row r="41" spans="2:31" s="4" customFormat="1" ht="18.75" hidden="1" x14ac:dyDescent="0.3">
      <c r="B41" s="224" t="s">
        <v>173</v>
      </c>
      <c r="C41" s="225"/>
      <c r="D41" s="225"/>
      <c r="E41" s="225"/>
      <c r="F41" s="225"/>
      <c r="G41" s="225"/>
      <c r="H41" s="225"/>
      <c r="I41" s="225"/>
      <c r="J41" s="225"/>
      <c r="K41" s="225">
        <v>1824653</v>
      </c>
      <c r="L41" s="225"/>
      <c r="M41" s="225"/>
      <c r="N41" s="226"/>
      <c r="O41" s="225">
        <v>2354005</v>
      </c>
      <c r="P41" s="226"/>
      <c r="Q41" s="226">
        <v>1</v>
      </c>
      <c r="R41" s="226">
        <v>0.2901110512519367</v>
      </c>
      <c r="S41" s="225">
        <v>529352</v>
      </c>
      <c r="T41" s="237"/>
      <c r="AE41" s="1"/>
    </row>
    <row r="42" spans="2:31" ht="18.75" hidden="1" x14ac:dyDescent="0.3">
      <c r="B42" s="224" t="s">
        <v>174</v>
      </c>
      <c r="C42" s="225"/>
      <c r="D42" s="225"/>
      <c r="E42" s="225"/>
      <c r="F42" s="225"/>
      <c r="G42" s="225"/>
      <c r="H42" s="225"/>
      <c r="I42" s="225"/>
      <c r="J42" s="225"/>
      <c r="K42" s="225">
        <v>603938</v>
      </c>
      <c r="L42" s="225"/>
      <c r="M42" s="225"/>
      <c r="N42" s="226">
        <v>1</v>
      </c>
      <c r="O42" s="225">
        <v>936181</v>
      </c>
      <c r="P42" s="226">
        <v>1</v>
      </c>
      <c r="Q42" s="226">
        <v>0.39769711619134201</v>
      </c>
      <c r="R42" s="226">
        <v>0.55012766211101138</v>
      </c>
      <c r="S42" s="225">
        <v>332243</v>
      </c>
      <c r="T42" s="237"/>
      <c r="AE42" s="1" t="s">
        <v>175</v>
      </c>
    </row>
    <row r="43" spans="2:31" ht="15.75" hidden="1" x14ac:dyDescent="0.25">
      <c r="B43" s="227" t="s">
        <v>100</v>
      </c>
      <c r="C43" s="228"/>
      <c r="D43" s="228"/>
      <c r="E43" s="228"/>
      <c r="F43" s="228"/>
      <c r="G43" s="228"/>
      <c r="H43" s="228"/>
      <c r="I43" s="228"/>
      <c r="J43" s="228"/>
      <c r="K43" s="228">
        <v>276550.36166633503</v>
      </c>
      <c r="L43" s="228"/>
      <c r="M43" s="228"/>
      <c r="N43" s="229">
        <v>0.45791184139155844</v>
      </c>
      <c r="O43" s="228">
        <v>430252.45635520399</v>
      </c>
      <c r="P43" s="229">
        <v>0.4595825554622493</v>
      </c>
      <c r="Q43" s="229">
        <v>0.18277465695918402</v>
      </c>
      <c r="R43" s="229">
        <v>0.55578337978930015</v>
      </c>
      <c r="S43" s="228">
        <v>153702.09468886897</v>
      </c>
      <c r="T43" s="238"/>
      <c r="AE43" s="1" t="s">
        <v>176</v>
      </c>
    </row>
    <row r="44" spans="2:31" s="4" customFormat="1" hidden="1" x14ac:dyDescent="0.25">
      <c r="B44" s="230" t="s">
        <v>103</v>
      </c>
      <c r="C44" s="231"/>
      <c r="D44" s="231"/>
      <c r="E44" s="231"/>
      <c r="F44" s="231"/>
      <c r="G44" s="231"/>
      <c r="H44" s="231"/>
      <c r="I44" s="231"/>
      <c r="J44" s="231"/>
      <c r="K44" s="231">
        <v>327387.63833385095</v>
      </c>
      <c r="L44" s="231"/>
      <c r="M44" s="231"/>
      <c r="N44" s="234">
        <v>0.54208815860874948</v>
      </c>
      <c r="O44" s="231">
        <v>505927.5436448183</v>
      </c>
      <c r="P44" s="234">
        <v>0.54041637636826456</v>
      </c>
      <c r="Q44" s="234">
        <v>0.21492203442423372</v>
      </c>
      <c r="R44" s="232">
        <v>0.54534711884540576</v>
      </c>
      <c r="S44" s="233">
        <v>178539.90531096736</v>
      </c>
      <c r="T44" s="240"/>
      <c r="AE44" s="1" t="s">
        <v>177</v>
      </c>
    </row>
    <row r="45" spans="2:31" s="4" customFormat="1" hidden="1" x14ac:dyDescent="0.25">
      <c r="B45" s="235" t="s">
        <v>178</v>
      </c>
      <c r="C45" s="29"/>
      <c r="D45" s="29"/>
      <c r="E45" s="29"/>
      <c r="F45" s="29"/>
      <c r="G45" s="29"/>
      <c r="H45" s="29"/>
      <c r="I45" s="29"/>
      <c r="J45" s="29"/>
      <c r="K45" s="29">
        <v>242109.12821622068</v>
      </c>
      <c r="L45" s="29"/>
      <c r="M45" s="29"/>
      <c r="N45" s="31">
        <v>0.4008840778626625</v>
      </c>
      <c r="O45" s="29">
        <v>391384.01224089495</v>
      </c>
      <c r="P45" s="31">
        <v>0.41806446855992052</v>
      </c>
      <c r="Q45" s="31">
        <v>0.16626303352834634</v>
      </c>
      <c r="R45" s="22">
        <v>0.61656033014732592</v>
      </c>
      <c r="S45" s="20">
        <v>149274.88402467428</v>
      </c>
      <c r="T45" s="20"/>
      <c r="AE45" s="1" t="s">
        <v>179</v>
      </c>
    </row>
    <row r="46" spans="2:31" s="4" customFormat="1" hidden="1" x14ac:dyDescent="0.25">
      <c r="B46" s="235" t="s">
        <v>180</v>
      </c>
      <c r="C46" s="29"/>
      <c r="D46" s="29"/>
      <c r="E46" s="29"/>
      <c r="F46" s="29"/>
      <c r="G46" s="29"/>
      <c r="H46" s="29"/>
      <c r="I46" s="29"/>
      <c r="J46" s="29"/>
      <c r="K46" s="29">
        <v>85278.510117630256</v>
      </c>
      <c r="L46" s="29"/>
      <c r="M46" s="29"/>
      <c r="N46" s="31">
        <v>0.14120408074608695</v>
      </c>
      <c r="O46" s="29">
        <v>114543.53140392336</v>
      </c>
      <c r="P46" s="31">
        <v>0.12235190780834407</v>
      </c>
      <c r="Q46" s="31">
        <v>4.8659000895887379E-2</v>
      </c>
      <c r="R46" s="22">
        <v>0.34316994100771625</v>
      </c>
      <c r="S46" s="20">
        <v>29265.021286293108</v>
      </c>
      <c r="T46" s="20"/>
      <c r="AE46" s="1" t="s">
        <v>181</v>
      </c>
    </row>
    <row r="47" spans="2:31" s="4" customFormat="1" ht="7.5" hidden="1" customHeight="1" x14ac:dyDescent="0.25">
      <c r="B47" s="236"/>
      <c r="C47" s="236"/>
      <c r="D47" s="236"/>
      <c r="E47" s="236"/>
      <c r="F47" s="236"/>
      <c r="G47" s="236"/>
      <c r="H47" s="236"/>
      <c r="I47" s="236"/>
      <c r="J47" s="236"/>
      <c r="K47" s="236"/>
      <c r="L47" s="236"/>
      <c r="M47" s="236"/>
      <c r="N47" s="236"/>
      <c r="O47" s="236"/>
      <c r="P47" s="236"/>
      <c r="Q47" s="236"/>
      <c r="R47" s="236"/>
      <c r="S47" s="236"/>
      <c r="AE47" s="1" t="s">
        <v>182</v>
      </c>
    </row>
    <row r="48" spans="2:31" s="4" customFormat="1" hidden="1" x14ac:dyDescent="0.25">
      <c r="B48" s="269" t="s">
        <v>183</v>
      </c>
      <c r="C48" s="269"/>
      <c r="D48" s="269"/>
      <c r="E48" s="269"/>
      <c r="F48" s="269"/>
      <c r="G48" s="269"/>
      <c r="H48" s="269"/>
      <c r="I48" s="269"/>
      <c r="J48" s="269"/>
      <c r="K48" s="269"/>
      <c r="L48" s="269"/>
      <c r="M48" s="269"/>
      <c r="N48" s="269"/>
      <c r="O48" s="269"/>
      <c r="P48" s="269"/>
      <c r="Q48" s="269"/>
      <c r="R48" s="269"/>
      <c r="S48" s="269"/>
      <c r="T48" s="48"/>
      <c r="AE48" s="1" t="s">
        <v>184</v>
      </c>
    </row>
    <row r="49" spans="3:31" s="4" customFormat="1" hidden="1" x14ac:dyDescent="0.25">
      <c r="AE49" s="1"/>
    </row>
    <row r="50" spans="3:31" hidden="1" x14ac:dyDescent="0.25">
      <c r="C50" s="122"/>
      <c r="D50" s="122"/>
      <c r="E50" s="122"/>
      <c r="F50" s="122"/>
      <c r="G50" s="122"/>
      <c r="H50" s="122"/>
      <c r="I50" s="122"/>
      <c r="J50" s="122"/>
      <c r="K50" s="122">
        <v>0.54208815860874948</v>
      </c>
      <c r="L50" s="122"/>
      <c r="M50" s="122"/>
    </row>
    <row r="51" spans="3:31" hidden="1" x14ac:dyDescent="0.25"/>
    <row r="52" spans="3:31" hidden="1" x14ac:dyDescent="0.25"/>
    <row r="53" spans="3:31" hidden="1" x14ac:dyDescent="0.25"/>
    <row r="54" spans="3:31" hidden="1" x14ac:dyDescent="0.25"/>
    <row r="55" spans="3:31" hidden="1" x14ac:dyDescent="0.25"/>
    <row r="56" spans="3:31" hidden="1" x14ac:dyDescent="0.25"/>
    <row r="57" spans="3:31" hidden="1" x14ac:dyDescent="0.25"/>
    <row r="58" spans="3:31" hidden="1" x14ac:dyDescent="0.25"/>
    <row r="59" spans="3:31" hidden="1" x14ac:dyDescent="0.25"/>
    <row r="60" spans="3:31" hidden="1" x14ac:dyDescent="0.25"/>
    <row r="61" spans="3:31" hidden="1" x14ac:dyDescent="0.25"/>
    <row r="62" spans="3:31" hidden="1" x14ac:dyDescent="0.25"/>
    <row r="63" spans="3:31" hidden="1" x14ac:dyDescent="0.25"/>
    <row r="64" spans="3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31" spans="1:31" s="4" customFormat="1" ht="25.5" customHeight="1" thickBot="1" x14ac:dyDescent="0.3">
      <c r="B131" s="62" t="s">
        <v>198</v>
      </c>
      <c r="C131" s="62"/>
      <c r="D131" s="62"/>
      <c r="E131" s="62"/>
      <c r="F131" s="62"/>
      <c r="G131" s="62"/>
      <c r="H131" s="62"/>
      <c r="I131" s="62"/>
      <c r="J131" s="62"/>
      <c r="K131" s="62"/>
      <c r="L131" s="62"/>
      <c r="M131" s="62"/>
      <c r="N131" s="62"/>
      <c r="O131" s="62"/>
      <c r="Z131" s="1"/>
    </row>
    <row r="132" spans="1:31" s="4" customFormat="1" ht="6" customHeight="1" x14ac:dyDescent="0.25">
      <c r="Z132" s="1"/>
    </row>
    <row r="133" spans="1:31" s="4" customFormat="1" ht="30" x14ac:dyDescent="0.25">
      <c r="C133" s="182">
        <v>2019</v>
      </c>
      <c r="D133" s="182">
        <v>2020</v>
      </c>
      <c r="E133" s="182">
        <v>2021</v>
      </c>
      <c r="F133" s="182">
        <v>2022</v>
      </c>
      <c r="G133" s="173" t="str">
        <f>CONCATENATE("var. ",RIGHT(F133,2),"/",RIGHT(E133,2))</f>
        <v>var. 22/21</v>
      </c>
      <c r="H133" s="173" t="str">
        <f>CONCATENATE("dif. ",RIGHT(F133,2),"/",RIGHT(E133,2))</f>
        <v>dif. 22/21</v>
      </c>
      <c r="I133" s="242" t="str">
        <f>CONCATENATE("%/s total Tenerife ",RIGHT(F133,4))</f>
        <v>%/s total Tenerife 2022</v>
      </c>
      <c r="J133" s="182">
        <v>2023</v>
      </c>
      <c r="K133" s="242" t="str">
        <f>CONCATENATE("%/s total Tenerife ",RIGHT(J133,4))</f>
        <v>%/s total Tenerife 2023</v>
      </c>
      <c r="L133" s="173" t="str">
        <f>CONCATENATE("var. ",RIGHT(J133,2),"/",RIGHT(F133,2))</f>
        <v>var. 23/22</v>
      </c>
      <c r="M133" s="173" t="str">
        <f>CONCATENATE("dif. ",RIGHT(J133,2),"/",RIGHT(F133,2))</f>
        <v>dif. 23/22</v>
      </c>
      <c r="N133" s="173" t="str">
        <f>CONCATENATE("var. ",RIGHT(J133,2),"/",RIGHT(D133,2))</f>
        <v>var. 23/20</v>
      </c>
      <c r="O133" s="173" t="str">
        <f>CONCATENATE("dif. ",RIGHT(J133,2),"/",RIGHT(D133,2))</f>
        <v>dif. 23/20</v>
      </c>
      <c r="Z133" s="1"/>
    </row>
    <row r="134" spans="1:31" ht="18.75" x14ac:dyDescent="0.3">
      <c r="A134" s="4"/>
      <c r="B134" s="224" t="s">
        <v>197</v>
      </c>
      <c r="C134" s="228">
        <v>17966</v>
      </c>
      <c r="D134" s="228">
        <v>7339</v>
      </c>
      <c r="E134" s="228">
        <v>10731</v>
      </c>
      <c r="F134" s="228">
        <v>17520</v>
      </c>
      <c r="G134" s="229">
        <f>F134/E134-1</f>
        <v>0.63265306122448983</v>
      </c>
      <c r="H134" s="228">
        <f>F134-E134</f>
        <v>6789</v>
      </c>
      <c r="I134" s="229">
        <f>F134/F$134</f>
        <v>1</v>
      </c>
      <c r="J134" s="228">
        <v>25698</v>
      </c>
      <c r="K134" s="229">
        <f>J134/J$134</f>
        <v>1</v>
      </c>
      <c r="L134" s="229">
        <f>J134/F134-1</f>
        <v>0.46678082191780823</v>
      </c>
      <c r="M134" s="228">
        <f>J134-F134</f>
        <v>8178</v>
      </c>
      <c r="N134" s="229">
        <f>J134/D134-1</f>
        <v>2.5015669709769726</v>
      </c>
      <c r="O134" s="228">
        <f>J134-D134</f>
        <v>18359</v>
      </c>
      <c r="Q134" s="29"/>
      <c r="R134" s="79"/>
      <c r="Z134" s="1" t="s">
        <v>175</v>
      </c>
      <c r="AE134"/>
    </row>
    <row r="135" spans="1:31" s="4" customFormat="1" x14ac:dyDescent="0.25">
      <c r="B135" s="245" t="s">
        <v>192</v>
      </c>
      <c r="C135" s="246">
        <v>17966</v>
      </c>
      <c r="D135" s="246">
        <v>7339</v>
      </c>
      <c r="E135" s="246">
        <v>10731</v>
      </c>
      <c r="F135" s="246">
        <v>17520</v>
      </c>
      <c r="G135" s="250">
        <f>IFERROR(F135/E135-1,"-")</f>
        <v>0.63265306122448983</v>
      </c>
      <c r="H135" s="246">
        <f t="shared" ref="H135:H138" si="14">F135-E135</f>
        <v>6789</v>
      </c>
      <c r="I135" s="248">
        <f>F135/F$134</f>
        <v>1</v>
      </c>
      <c r="J135" s="246">
        <v>25698</v>
      </c>
      <c r="K135" s="247">
        <f t="shared" ref="K135:K138" si="15">J135/J$134</f>
        <v>1</v>
      </c>
      <c r="L135" s="248">
        <f t="shared" ref="L135:L138" si="16">J135/F135-1</f>
        <v>0.46678082191780823</v>
      </c>
      <c r="M135" s="249">
        <f t="shared" ref="M135:M138" si="17">J135-F135</f>
        <v>8178</v>
      </c>
      <c r="N135" s="247">
        <f t="shared" ref="N135:N138" si="18">J135/D135-1</f>
        <v>2.5015669709769726</v>
      </c>
      <c r="O135" s="246">
        <f t="shared" ref="O135:O138" si="19">J135-D135</f>
        <v>18359</v>
      </c>
      <c r="Q135" s="29"/>
      <c r="R135" s="79"/>
      <c r="Z135" s="1" t="s">
        <v>177</v>
      </c>
    </row>
    <row r="136" spans="1:31" s="4" customFormat="1" x14ac:dyDescent="0.25">
      <c r="B136" s="97" t="s">
        <v>62</v>
      </c>
      <c r="C136" s="252">
        <v>2518</v>
      </c>
      <c r="D136" s="252">
        <v>0</v>
      </c>
      <c r="E136" s="252">
        <v>0</v>
      </c>
      <c r="F136" s="252">
        <v>1009</v>
      </c>
      <c r="G136" s="256" t="str">
        <f t="shared" ref="G136:G138" si="20">IFERROR(F136/E136-1,"-")</f>
        <v>-</v>
      </c>
      <c r="H136" s="252">
        <f t="shared" si="14"/>
        <v>1009</v>
      </c>
      <c r="I136" s="260">
        <f t="shared" ref="I136:I138" si="21">F136/F$134</f>
        <v>5.7591324200913244E-2</v>
      </c>
      <c r="J136" s="252">
        <v>1532</v>
      </c>
      <c r="K136" s="258">
        <f t="shared" si="15"/>
        <v>5.9615534282823568E-2</v>
      </c>
      <c r="L136" s="260">
        <f t="shared" si="16"/>
        <v>0.51833498513379594</v>
      </c>
      <c r="M136" s="259">
        <f t="shared" si="17"/>
        <v>523</v>
      </c>
      <c r="N136" s="258" t="e">
        <f t="shared" si="18"/>
        <v>#DIV/0!</v>
      </c>
      <c r="O136" s="252">
        <f t="shared" si="19"/>
        <v>1532</v>
      </c>
      <c r="Q136" s="29"/>
      <c r="R136" s="79"/>
      <c r="Z136" s="1"/>
    </row>
    <row r="137" spans="1:31" s="4" customFormat="1" x14ac:dyDescent="0.25">
      <c r="B137" s="97" t="s">
        <v>61</v>
      </c>
      <c r="C137" s="252">
        <v>15448</v>
      </c>
      <c r="D137" s="252">
        <v>0</v>
      </c>
      <c r="E137" s="252">
        <v>0</v>
      </c>
      <c r="F137" s="252">
        <v>16511</v>
      </c>
      <c r="G137" s="254" t="str">
        <f t="shared" si="20"/>
        <v>-</v>
      </c>
      <c r="H137" s="252">
        <f t="shared" si="14"/>
        <v>16511</v>
      </c>
      <c r="I137" s="264">
        <f t="shared" si="21"/>
        <v>0.94240867579908671</v>
      </c>
      <c r="J137" s="252">
        <v>24166</v>
      </c>
      <c r="K137" s="258">
        <f t="shared" si="15"/>
        <v>0.94038446571717649</v>
      </c>
      <c r="L137" s="260">
        <f t="shared" si="16"/>
        <v>0.46363030706801522</v>
      </c>
      <c r="M137" s="259">
        <f t="shared" si="17"/>
        <v>7655</v>
      </c>
      <c r="N137" s="258" t="e">
        <f t="shared" si="18"/>
        <v>#DIV/0!</v>
      </c>
      <c r="O137" s="252">
        <f t="shared" si="19"/>
        <v>24166</v>
      </c>
      <c r="Q137" s="29"/>
      <c r="R137" s="79"/>
      <c r="Z137" s="1"/>
    </row>
    <row r="138" spans="1:31" s="4" customFormat="1" x14ac:dyDescent="0.25">
      <c r="B138" s="245" t="s">
        <v>193</v>
      </c>
      <c r="C138" s="246" t="e">
        <v>#REF!</v>
      </c>
      <c r="D138" s="246" t="e">
        <v>#REF!</v>
      </c>
      <c r="E138" s="246" t="e">
        <v>#REF!</v>
      </c>
      <c r="F138" s="246" t="e">
        <v>#REF!</v>
      </c>
      <c r="G138" s="250" t="str">
        <f t="shared" si="20"/>
        <v>-</v>
      </c>
      <c r="H138" s="246" t="e">
        <f t="shared" si="14"/>
        <v>#REF!</v>
      </c>
      <c r="I138" s="248" t="e">
        <f t="shared" si="21"/>
        <v>#REF!</v>
      </c>
      <c r="J138" s="246" t="e">
        <v>#REF!</v>
      </c>
      <c r="K138" s="247" t="e">
        <f t="shared" si="15"/>
        <v>#REF!</v>
      </c>
      <c r="L138" s="248" t="e">
        <f t="shared" si="16"/>
        <v>#REF!</v>
      </c>
      <c r="M138" s="249" t="e">
        <f t="shared" si="17"/>
        <v>#REF!</v>
      </c>
      <c r="N138" s="247" t="e">
        <f t="shared" si="18"/>
        <v>#REF!</v>
      </c>
      <c r="O138" s="246" t="e">
        <f t="shared" si="19"/>
        <v>#REF!</v>
      </c>
      <c r="Q138" s="29"/>
      <c r="R138" s="79"/>
      <c r="Z138" s="1"/>
    </row>
    <row r="139" spans="1:31" s="4" customFormat="1" ht="7.5" customHeight="1" x14ac:dyDescent="0.25">
      <c r="B139" s="236"/>
      <c r="C139" s="236"/>
      <c r="D139" s="236"/>
      <c r="E139" s="236"/>
      <c r="F139" s="236"/>
      <c r="G139" s="236"/>
      <c r="H139" s="236"/>
      <c r="I139" s="236"/>
      <c r="J139" s="236"/>
      <c r="K139" s="236"/>
      <c r="L139" s="236"/>
      <c r="M139" s="236"/>
      <c r="N139" s="236"/>
      <c r="O139" s="236"/>
      <c r="Z139" s="1" t="s">
        <v>182</v>
      </c>
    </row>
    <row r="140" spans="1:31" s="4" customFormat="1" ht="32.25" customHeight="1" x14ac:dyDescent="0.25">
      <c r="B140" s="311" t="s">
        <v>196</v>
      </c>
      <c r="C140" s="311"/>
      <c r="D140" s="311"/>
      <c r="E140" s="311"/>
      <c r="F140" s="311"/>
      <c r="G140" s="311"/>
      <c r="H140" s="311"/>
      <c r="I140" s="311"/>
      <c r="J140" s="311"/>
      <c r="K140" s="311"/>
      <c r="L140" s="311"/>
      <c r="M140" s="311"/>
      <c r="N140" s="311"/>
      <c r="O140" s="311"/>
      <c r="Z140" s="1" t="s">
        <v>184</v>
      </c>
    </row>
    <row r="141" spans="1:31" x14ac:dyDescent="0.25">
      <c r="Z141" s="1"/>
      <c r="AE141"/>
    </row>
    <row r="142" spans="1:31" x14ac:dyDescent="0.25">
      <c r="Z142" s="1"/>
      <c r="AE142"/>
    </row>
  </sheetData>
  <mergeCells count="3">
    <mergeCell ref="B38:S38"/>
    <mergeCell ref="B48:S48"/>
    <mergeCell ref="B140:O14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643BC4-6514-4580-A61F-879DE6ABE151}">
  <sheetPr>
    <tabColor rgb="FF336600"/>
  </sheetPr>
  <dimension ref="A3:A23"/>
  <sheetViews>
    <sheetView showGridLines="0" workbookViewId="0"/>
  </sheetViews>
  <sheetFormatPr baseColWidth="10" defaultRowHeight="15" x14ac:dyDescent="0.25"/>
  <sheetData>
    <row r="3" ht="15" customHeight="1" x14ac:dyDescent="0.25"/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</sheetData>
  <pageMargins left="0.7" right="0.7" top="0.75" bottom="0.75" header="0.3" footer="0.3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FAFA03-6D26-4523-921C-41E08ADE4B54}">
  <sheetPr>
    <tabColor theme="4" tint="0.39997558519241921"/>
  </sheetPr>
  <dimension ref="A1:AE14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20" width="12.42578125" customWidth="1"/>
    <col min="27" max="27" width="14" hidden="1" customWidth="1"/>
    <col min="31" max="31" width="11.42578125" style="1"/>
  </cols>
  <sheetData>
    <row r="1" spans="1:31" ht="30" customHeight="1" x14ac:dyDescent="0.25">
      <c r="B1" s="1" t="s">
        <v>190</v>
      </c>
      <c r="G1" s="223"/>
      <c r="H1" s="223"/>
      <c r="I1" s="223"/>
      <c r="K1" s="223"/>
    </row>
    <row r="3" spans="1:31" s="4" customFormat="1" ht="25.5" customHeight="1" thickBot="1" x14ac:dyDescent="0.3">
      <c r="B3" s="62" t="s">
        <v>318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45" x14ac:dyDescent="0.25">
      <c r="C5" s="241" t="s">
        <v>262</v>
      </c>
      <c r="D5" s="241" t="s">
        <v>263</v>
      </c>
      <c r="E5" s="241" t="s">
        <v>269</v>
      </c>
      <c r="F5" s="242" t="str">
        <f>CONCATENATE("%/s total Tenerife ",RIGHT(E5,4))</f>
        <v>%/s total Tenerife 2021</v>
      </c>
      <c r="G5" s="241" t="s">
        <v>264</v>
      </c>
      <c r="H5" s="242" t="str">
        <f>CONCATENATE("var. ",RIGHT(G5,2),"/",RIGHT(E5,2))</f>
        <v>var. 22/21</v>
      </c>
      <c r="I5" s="242" t="str">
        <f>CONCATENATE("dif. ",RIGHT(G5,2),"/",RIGHT(E5,2))</f>
        <v>dif. 22/21</v>
      </c>
      <c r="J5" s="242" t="str">
        <f>CONCATENATE("%/s total Tenerife ",RIGHT(G5,4))</f>
        <v>%/s total Tenerife 2022</v>
      </c>
      <c r="K5" s="241" t="s">
        <v>265</v>
      </c>
      <c r="L5" s="242" t="str">
        <f>CONCATENATE("var. ",RIGHT(K5,2),"/",RIGHT(G5,2))</f>
        <v>var. 23/22</v>
      </c>
      <c r="M5" s="242" t="str">
        <f>CONCATENATE("dif. ",RIGHT(K5,2),"/",RIGHT(G5,2))</f>
        <v>dif. 23/22</v>
      </c>
      <c r="N5" s="242" t="str">
        <f>CONCATENATE("%/s total Tenerife ",RIGHT(K5,4))</f>
        <v>%/s total Tenerife 2023</v>
      </c>
      <c r="O5" s="241" t="s">
        <v>266</v>
      </c>
      <c r="P5" s="242" t="str">
        <f>CONCATENATE("var. ",RIGHT(O5,2),"/",RIGHT(K5,2))</f>
        <v>var. 24/23</v>
      </c>
      <c r="Q5" s="242" t="str">
        <f>CONCATENATE("dif. ",RIGHT(O5,2),"/",RIGHT(K5,2))</f>
        <v>dif. 24/23</v>
      </c>
      <c r="R5" s="242" t="str">
        <f>CONCATENATE("var. ",RIGHT(O5,2),"/",RIGHT(C5,2))</f>
        <v>var. 24/19</v>
      </c>
      <c r="S5" s="242" t="str">
        <f>CONCATENATE("dif. ",RIGHT(O5,2),"/",RIGHT(C5,2))</f>
        <v>dif. 24/19</v>
      </c>
      <c r="T5" s="242" t="str">
        <f>CONCATENATE("%/s total Tenerife ",RIGHT(O5,4))</f>
        <v>%/s total Tenerife 2024</v>
      </c>
      <c r="AE5" s="1"/>
    </row>
    <row r="6" spans="1:31" ht="18.75" x14ac:dyDescent="0.3">
      <c r="A6" s="4"/>
      <c r="B6" s="224" t="s">
        <v>199</v>
      </c>
      <c r="C6" s="243">
        <v>12910</v>
      </c>
      <c r="D6" s="243">
        <v>5930</v>
      </c>
      <c r="E6" s="243">
        <v>7014</v>
      </c>
      <c r="F6" s="244">
        <f>E6/$E$6</f>
        <v>1</v>
      </c>
      <c r="G6" s="243">
        <v>11891</v>
      </c>
      <c r="H6" s="244">
        <f>G6/E6-1</f>
        <v>0.69532363843741085</v>
      </c>
      <c r="I6" s="243">
        <f>G6-E6</f>
        <v>4877</v>
      </c>
      <c r="J6" s="244">
        <f>G6/$G$6</f>
        <v>1</v>
      </c>
      <c r="K6" s="243">
        <v>9535</v>
      </c>
      <c r="L6" s="244">
        <f t="shared" ref="L6:L12" si="0">K6/G6-1</f>
        <v>-0.19813304179631652</v>
      </c>
      <c r="M6" s="243">
        <f t="shared" ref="M6:M12" si="1">K6-G6</f>
        <v>-2356</v>
      </c>
      <c r="N6" s="244">
        <f>K6/$K$6</f>
        <v>1</v>
      </c>
      <c r="O6" s="243">
        <v>8202</v>
      </c>
      <c r="P6" s="244">
        <f t="shared" ref="P6:P11" si="2">O6/K6-1</f>
        <v>-0.13980073413738858</v>
      </c>
      <c r="Q6" s="243">
        <f t="shared" ref="Q6:Q12" si="3">O6-K6</f>
        <v>-1333</v>
      </c>
      <c r="R6" s="244">
        <f>O6/C6-1</f>
        <v>-0.36467854376452358</v>
      </c>
      <c r="S6" s="243">
        <f>O6-C6</f>
        <v>-4708</v>
      </c>
      <c r="T6" s="244">
        <f>O6/$O$6</f>
        <v>1</v>
      </c>
      <c r="V6" s="29"/>
      <c r="W6" s="79"/>
      <c r="AE6" s="1" t="s">
        <v>175</v>
      </c>
    </row>
    <row r="7" spans="1:31" s="4" customFormat="1" x14ac:dyDescent="0.25">
      <c r="B7" s="245" t="s">
        <v>192</v>
      </c>
      <c r="C7" s="246">
        <v>12910</v>
      </c>
      <c r="D7" s="246">
        <v>5930</v>
      </c>
      <c r="E7" s="246">
        <v>7014</v>
      </c>
      <c r="F7" s="247">
        <f t="shared" ref="F7:F12" si="4">E7/$E$6</f>
        <v>1</v>
      </c>
      <c r="G7" s="246">
        <v>11891</v>
      </c>
      <c r="H7" s="248">
        <f>G7/E7-1</f>
        <v>0.69532363843741085</v>
      </c>
      <c r="I7" s="249">
        <f>G7-E7</f>
        <v>4877</v>
      </c>
      <c r="J7" s="247">
        <f>G7/$G$6</f>
        <v>1</v>
      </c>
      <c r="K7" s="246">
        <v>9535</v>
      </c>
      <c r="L7" s="250">
        <f t="shared" si="0"/>
        <v>-0.19813304179631652</v>
      </c>
      <c r="M7" s="251">
        <f t="shared" si="1"/>
        <v>-2356</v>
      </c>
      <c r="N7" s="247">
        <f>K7/$K$6</f>
        <v>1</v>
      </c>
      <c r="O7" s="246">
        <v>8202</v>
      </c>
      <c r="P7" s="248">
        <f t="shared" si="2"/>
        <v>-0.13980073413738858</v>
      </c>
      <c r="Q7" s="249">
        <f t="shared" si="3"/>
        <v>-1333</v>
      </c>
      <c r="R7" s="248">
        <f t="shared" ref="R7:R10" si="5">O7/C7-1</f>
        <v>-0.36467854376452358</v>
      </c>
      <c r="S7" s="249">
        <f t="shared" ref="S7:S10" si="6">O7-C7</f>
        <v>-4708</v>
      </c>
      <c r="T7" s="247">
        <f>O7/$O$6</f>
        <v>1</v>
      </c>
      <c r="V7" s="29"/>
      <c r="W7" s="79"/>
      <c r="AE7" s="1" t="s">
        <v>177</v>
      </c>
    </row>
    <row r="8" spans="1:31" s="4" customFormat="1" x14ac:dyDescent="0.25">
      <c r="B8" s="97" t="s">
        <v>62</v>
      </c>
      <c r="C8" s="252">
        <v>4918</v>
      </c>
      <c r="D8" s="252">
        <v>2063</v>
      </c>
      <c r="E8" s="252">
        <v>0</v>
      </c>
      <c r="F8" s="253">
        <f t="shared" si="4"/>
        <v>0</v>
      </c>
      <c r="G8" s="252">
        <v>1741</v>
      </c>
      <c r="H8" s="254" t="str">
        <f>IFERROR(G8/E8-1,"-")</f>
        <v>-</v>
      </c>
      <c r="I8" s="255">
        <f t="shared" ref="I8:I12" si="7">G8-E8</f>
        <v>1741</v>
      </c>
      <c r="J8" s="253">
        <f t="shared" ref="J8:J12" si="8">G8/$G$6</f>
        <v>0.14641325372130182</v>
      </c>
      <c r="K8" s="252">
        <v>2207</v>
      </c>
      <c r="L8" s="256">
        <f>IFERROR(K8/G8-1,"-")</f>
        <v>0.26766226306720275</v>
      </c>
      <c r="M8" s="257">
        <f>IF(G8=0,"nd",K8-G8)</f>
        <v>466</v>
      </c>
      <c r="N8" s="258">
        <f t="shared" ref="N8:N12" si="9">K8/$K$6</f>
        <v>0.23146303093864709</v>
      </c>
      <c r="O8" s="252">
        <v>2841</v>
      </c>
      <c r="P8" s="256">
        <f>IFERROR(O8/K8-1,"-")</f>
        <v>0.28726778432260991</v>
      </c>
      <c r="Q8" s="259">
        <f t="shared" si="3"/>
        <v>634</v>
      </c>
      <c r="R8" s="256">
        <f>IFERROR(O8/C8-1,"-")</f>
        <v>-0.42232614884099229</v>
      </c>
      <c r="S8" s="259">
        <f t="shared" si="6"/>
        <v>-2077</v>
      </c>
      <c r="T8" s="258">
        <f t="shared" ref="T8:T12" si="10">O8/$O$6</f>
        <v>0.34637893196781272</v>
      </c>
      <c r="V8" s="29"/>
      <c r="W8" s="79"/>
      <c r="AE8" s="1"/>
    </row>
    <row r="9" spans="1:31" s="4" customFormat="1" x14ac:dyDescent="0.25">
      <c r="B9" s="97" t="s">
        <v>61</v>
      </c>
      <c r="C9" s="252">
        <v>7992</v>
      </c>
      <c r="D9" s="252">
        <v>2176</v>
      </c>
      <c r="E9" s="252">
        <v>0</v>
      </c>
      <c r="F9" s="258">
        <f t="shared" si="4"/>
        <v>0</v>
      </c>
      <c r="G9" s="252">
        <v>6916</v>
      </c>
      <c r="H9" s="254" t="str">
        <f>IFERROR(G9/E9-1,"-")</f>
        <v>-</v>
      </c>
      <c r="I9" s="259">
        <f t="shared" si="7"/>
        <v>6916</v>
      </c>
      <c r="J9" s="258">
        <f t="shared" si="8"/>
        <v>0.58161634849886468</v>
      </c>
      <c r="K9" s="252">
        <v>4680</v>
      </c>
      <c r="L9" s="256">
        <f>IFERROR(K9/G9-1,"-")</f>
        <v>-0.32330827067669177</v>
      </c>
      <c r="M9" s="257">
        <f>IF(G9=0,"nd",K9-G9)</f>
        <v>-2236</v>
      </c>
      <c r="N9" s="258">
        <f t="shared" si="9"/>
        <v>0.4908232826428946</v>
      </c>
      <c r="O9" s="252">
        <v>5361</v>
      </c>
      <c r="P9" s="256">
        <f t="shared" si="2"/>
        <v>0.14551282051282044</v>
      </c>
      <c r="Q9" s="259">
        <f t="shared" si="3"/>
        <v>681</v>
      </c>
      <c r="R9" s="260">
        <f t="shared" si="5"/>
        <v>-0.32920420420420415</v>
      </c>
      <c r="S9" s="259">
        <f t="shared" si="6"/>
        <v>-2631</v>
      </c>
      <c r="T9" s="258">
        <f t="shared" si="10"/>
        <v>0.65362106803218722</v>
      </c>
      <c r="V9" s="29"/>
      <c r="W9" s="79"/>
      <c r="AE9" s="1"/>
    </row>
    <row r="10" spans="1:31" s="4" customFormat="1" x14ac:dyDescent="0.25">
      <c r="B10" s="245" t="s">
        <v>193</v>
      </c>
      <c r="C10" s="261" t="s">
        <v>229</v>
      </c>
      <c r="D10" s="261" t="s">
        <v>229</v>
      </c>
      <c r="E10" s="261" t="s">
        <v>229</v>
      </c>
      <c r="F10" s="262" t="str">
        <f>IFERROR(E10/$E$6,"-")</f>
        <v>-</v>
      </c>
      <c r="G10" s="261" t="s">
        <v>229</v>
      </c>
      <c r="H10" s="250" t="str">
        <f>IFERROR(G10/E10-1,"-")</f>
        <v>-</v>
      </c>
      <c r="I10" s="251" t="str">
        <f>IFERROR(G10-E10,"-")</f>
        <v>-</v>
      </c>
      <c r="J10" s="262" t="str">
        <f>IFERROR(G10/$G$6,"-")</f>
        <v>-</v>
      </c>
      <c r="K10" s="261" t="s">
        <v>229</v>
      </c>
      <c r="L10" s="250" t="str">
        <f>IFERROR(K10/G10-1,"-")</f>
        <v>-</v>
      </c>
      <c r="M10" s="251" t="str">
        <f>IFERROR(K10-G10,"-")</f>
        <v>-</v>
      </c>
      <c r="N10" s="262" t="str">
        <f>IFERROR(K10/$K$6,"-")</f>
        <v>-</v>
      </c>
      <c r="O10" s="261" t="s">
        <v>229</v>
      </c>
      <c r="P10" s="250" t="str">
        <f>IFERROR(O10/K10-1,"-")</f>
        <v>-</v>
      </c>
      <c r="Q10" s="251" t="str">
        <f>IFERROR(O10-K10,"-")</f>
        <v>-</v>
      </c>
      <c r="R10" s="250" t="e">
        <f t="shared" si="5"/>
        <v>#VALUE!</v>
      </c>
      <c r="S10" s="251" t="e">
        <f t="shared" si="6"/>
        <v>#VALUE!</v>
      </c>
      <c r="T10" s="262" t="str">
        <f>IFERROR(O10/$O$6,"-")</f>
        <v>-</v>
      </c>
      <c r="V10" s="29"/>
      <c r="W10" s="79"/>
      <c r="AE10" s="1"/>
    </row>
    <row r="11" spans="1:31" s="4" customFormat="1" hidden="1" x14ac:dyDescent="0.25">
      <c r="B11" s="97" t="s">
        <v>62</v>
      </c>
      <c r="C11" s="252" t="e">
        <v>#REF!</v>
      </c>
      <c r="D11" s="252" t="e">
        <v>#REF!</v>
      </c>
      <c r="E11" s="252" t="e">
        <v>#REF!</v>
      </c>
      <c r="F11" s="258" t="e">
        <f t="shared" si="4"/>
        <v>#REF!</v>
      </c>
      <c r="G11" s="252" t="e">
        <v>#REF!</v>
      </c>
      <c r="H11" s="260" t="e">
        <f t="shared" ref="H11:H12" si="11">G11/E11-1</f>
        <v>#REF!</v>
      </c>
      <c r="I11" s="259" t="e">
        <f t="shared" si="7"/>
        <v>#REF!</v>
      </c>
      <c r="J11" s="258" t="e">
        <f t="shared" si="8"/>
        <v>#REF!</v>
      </c>
      <c r="K11" s="252" t="e">
        <v>#REF!</v>
      </c>
      <c r="L11" s="256" t="e">
        <f>K11/G11-1</f>
        <v>#REF!</v>
      </c>
      <c r="M11" s="259" t="e">
        <f t="shared" si="1"/>
        <v>#REF!</v>
      </c>
      <c r="N11" s="258" t="e">
        <f t="shared" si="9"/>
        <v>#REF!</v>
      </c>
      <c r="O11" s="252" t="e">
        <v>#REF!</v>
      </c>
      <c r="P11" s="260" t="e">
        <f t="shared" si="2"/>
        <v>#REF!</v>
      </c>
      <c r="Q11" s="259" t="e">
        <f t="shared" si="3"/>
        <v>#REF!</v>
      </c>
      <c r="R11" s="260" t="e">
        <f t="shared" ref="R11:R12" si="12">O11/D11-1</f>
        <v>#REF!</v>
      </c>
      <c r="S11" s="259" t="e">
        <f t="shared" ref="S11:S12" si="13">O11-D11</f>
        <v>#REF!</v>
      </c>
      <c r="T11" s="258" t="e">
        <f t="shared" si="10"/>
        <v>#REF!</v>
      </c>
      <c r="V11" s="29"/>
      <c r="W11" s="79"/>
      <c r="AE11" s="1"/>
    </row>
    <row r="12" spans="1:31" s="4" customFormat="1" hidden="1" x14ac:dyDescent="0.25">
      <c r="B12" s="97" t="s">
        <v>61</v>
      </c>
      <c r="C12" s="252" t="e">
        <v>#REF!</v>
      </c>
      <c r="D12" s="252" t="e">
        <v>#REF!</v>
      </c>
      <c r="E12" s="252" t="e">
        <v>#REF!</v>
      </c>
      <c r="F12" s="258" t="e">
        <f t="shared" si="4"/>
        <v>#REF!</v>
      </c>
      <c r="G12" s="252" t="e">
        <v>#REF!</v>
      </c>
      <c r="H12" s="260" t="e">
        <f t="shared" si="11"/>
        <v>#REF!</v>
      </c>
      <c r="I12" s="259" t="e">
        <f t="shared" si="7"/>
        <v>#REF!</v>
      </c>
      <c r="J12" s="258" t="e">
        <f t="shared" si="8"/>
        <v>#REF!</v>
      </c>
      <c r="K12" s="252" t="e">
        <v>#REF!</v>
      </c>
      <c r="L12" s="256" t="e">
        <f t="shared" si="0"/>
        <v>#REF!</v>
      </c>
      <c r="M12" s="259" t="e">
        <f t="shared" si="1"/>
        <v>#REF!</v>
      </c>
      <c r="N12" s="258" t="e">
        <f t="shared" si="9"/>
        <v>#REF!</v>
      </c>
      <c r="O12" s="252" t="e">
        <v>#REF!</v>
      </c>
      <c r="P12" s="260" t="e">
        <f>O12/K12-1</f>
        <v>#REF!</v>
      </c>
      <c r="Q12" s="259" t="e">
        <f t="shared" si="3"/>
        <v>#REF!</v>
      </c>
      <c r="R12" s="260" t="e">
        <f t="shared" si="12"/>
        <v>#REF!</v>
      </c>
      <c r="S12" s="259" t="e">
        <f t="shared" si="13"/>
        <v>#REF!</v>
      </c>
      <c r="T12" s="258" t="e">
        <f t="shared" si="10"/>
        <v>#REF!</v>
      </c>
      <c r="V12" s="29"/>
      <c r="W12" s="79"/>
      <c r="AE12" s="1"/>
    </row>
    <row r="13" spans="1:31" s="4" customFormat="1" ht="7.5" customHeight="1" x14ac:dyDescent="0.25">
      <c r="B13" s="236"/>
      <c r="C13" s="236"/>
      <c r="D13" s="236"/>
      <c r="E13" s="236"/>
      <c r="F13" s="236"/>
      <c r="G13" s="236"/>
      <c r="H13" s="236"/>
      <c r="I13" s="236"/>
      <c r="J13" s="236"/>
      <c r="K13" s="236"/>
      <c r="L13" s="263"/>
      <c r="M13" s="236"/>
      <c r="N13" s="236"/>
      <c r="O13" s="236"/>
      <c r="P13" s="236"/>
      <c r="Q13" s="236"/>
      <c r="R13" s="236"/>
      <c r="S13" s="236"/>
      <c r="T13" s="236"/>
      <c r="AE13" s="1" t="s">
        <v>182</v>
      </c>
    </row>
    <row r="14" spans="1:31" s="4" customFormat="1" x14ac:dyDescent="0.25">
      <c r="B14" s="125" t="s">
        <v>183</v>
      </c>
      <c r="C14" s="125"/>
      <c r="D14" s="125"/>
      <c r="E14" s="125"/>
      <c r="F14" s="125"/>
      <c r="G14" s="125"/>
      <c r="H14" s="125"/>
      <c r="I14" s="125"/>
      <c r="J14" s="125"/>
      <c r="K14" s="125"/>
      <c r="L14" s="125"/>
      <c r="M14" s="125"/>
      <c r="N14" s="125"/>
      <c r="O14" s="125"/>
      <c r="P14" s="125"/>
      <c r="Q14" s="125"/>
      <c r="R14" s="125"/>
      <c r="S14" s="125"/>
      <c r="T14" s="125"/>
      <c r="AE14" s="1" t="s">
        <v>184</v>
      </c>
    </row>
    <row r="15" spans="1:31" s="4" customFormat="1" x14ac:dyDescent="0.25">
      <c r="AE15" s="1"/>
    </row>
    <row r="19" spans="27:27" x14ac:dyDescent="0.25">
      <c r="AA19" t="str">
        <f>CONCATENATE("Hoteles: 
",FIXED(O7,0)," viajeros 
cuota: ",FIXED(T7*100,1),"%")</f>
        <v>Hoteles: 
8.202 viajeros 
cuota: 100,0%</v>
      </c>
    </row>
    <row r="20" spans="27:27" x14ac:dyDescent="0.25">
      <c r="AA20" t="e">
        <f>CONCATENATE("Apartamentos: 
",FIXED(O10,0)," viajeros
cuota: ",FIXED(T10*100,1),"%")</f>
        <v>#VALUE!</v>
      </c>
    </row>
    <row r="38" spans="2:31" s="4" customFormat="1" ht="15.75" hidden="1" customHeight="1" thickBot="1" x14ac:dyDescent="0.3">
      <c r="B38" s="270" t="s">
        <v>185</v>
      </c>
      <c r="C38" s="270"/>
      <c r="D38" s="270"/>
      <c r="E38" s="270"/>
      <c r="F38" s="270"/>
      <c r="G38" s="270"/>
      <c r="H38" s="270"/>
      <c r="I38" s="270"/>
      <c r="J38" s="270"/>
      <c r="K38" s="270"/>
      <c r="L38" s="270"/>
      <c r="M38" s="270"/>
      <c r="N38" s="270"/>
      <c r="O38" s="270"/>
      <c r="P38" s="270"/>
      <c r="Q38" s="270"/>
      <c r="R38" s="270"/>
      <c r="S38" s="270"/>
      <c r="T38" s="83"/>
      <c r="AE38" s="1"/>
    </row>
    <row r="39" spans="2:31" s="4" customFormat="1" ht="6" hidden="1" customHeight="1" thickBot="1" x14ac:dyDescent="0.3">
      <c r="AE39" s="1"/>
    </row>
    <row r="40" spans="2:31" s="4" customFormat="1" ht="30" hidden="1" x14ac:dyDescent="0.25">
      <c r="C40" s="87"/>
      <c r="D40" s="87"/>
      <c r="E40" s="87"/>
      <c r="F40" s="87"/>
      <c r="G40" s="87"/>
      <c r="H40" s="87"/>
      <c r="I40" s="87"/>
      <c r="J40" s="87"/>
      <c r="K40" s="14">
        <v>2020</v>
      </c>
      <c r="L40" s="14"/>
      <c r="M40" s="14"/>
      <c r="N40" s="14" t="s">
        <v>186</v>
      </c>
      <c r="O40" s="14">
        <v>2021</v>
      </c>
      <c r="P40" s="14" t="s">
        <v>186</v>
      </c>
      <c r="Q40" s="14" t="s">
        <v>187</v>
      </c>
      <c r="R40" s="14" t="s">
        <v>188</v>
      </c>
      <c r="S40" s="14" t="s">
        <v>189</v>
      </c>
      <c r="T40" s="87"/>
      <c r="AE40" s="1"/>
    </row>
    <row r="41" spans="2:31" s="4" customFormat="1" ht="18.75" hidden="1" x14ac:dyDescent="0.3">
      <c r="B41" s="224" t="s">
        <v>173</v>
      </c>
      <c r="C41" s="225"/>
      <c r="D41" s="225"/>
      <c r="E41" s="225"/>
      <c r="F41" s="225"/>
      <c r="G41" s="225"/>
      <c r="H41" s="225"/>
      <c r="I41" s="225"/>
      <c r="J41" s="225"/>
      <c r="K41" s="225">
        <v>1824653</v>
      </c>
      <c r="L41" s="225"/>
      <c r="M41" s="225"/>
      <c r="N41" s="226"/>
      <c r="O41" s="225">
        <v>2354005</v>
      </c>
      <c r="P41" s="226"/>
      <c r="Q41" s="226">
        <v>1</v>
      </c>
      <c r="R41" s="226">
        <v>0.2901110512519367</v>
      </c>
      <c r="S41" s="225">
        <v>529352</v>
      </c>
      <c r="T41" s="237"/>
      <c r="AE41" s="1"/>
    </row>
    <row r="42" spans="2:31" ht="18.75" hidden="1" x14ac:dyDescent="0.3">
      <c r="B42" s="224" t="s">
        <v>174</v>
      </c>
      <c r="C42" s="225"/>
      <c r="D42" s="225"/>
      <c r="E42" s="225"/>
      <c r="F42" s="225"/>
      <c r="G42" s="225"/>
      <c r="H42" s="225"/>
      <c r="I42" s="225"/>
      <c r="J42" s="225"/>
      <c r="K42" s="225">
        <v>603938</v>
      </c>
      <c r="L42" s="225"/>
      <c r="M42" s="225"/>
      <c r="N42" s="226">
        <v>1</v>
      </c>
      <c r="O42" s="225">
        <v>936181</v>
      </c>
      <c r="P42" s="226">
        <v>1</v>
      </c>
      <c r="Q42" s="226">
        <v>0.39769711619134201</v>
      </c>
      <c r="R42" s="226">
        <v>0.55012766211101138</v>
      </c>
      <c r="S42" s="225">
        <v>332243</v>
      </c>
      <c r="T42" s="237"/>
      <c r="AE42" s="1" t="s">
        <v>175</v>
      </c>
    </row>
    <row r="43" spans="2:31" ht="15.75" hidden="1" x14ac:dyDescent="0.25">
      <c r="B43" s="227" t="s">
        <v>100</v>
      </c>
      <c r="C43" s="228"/>
      <c r="D43" s="228"/>
      <c r="E43" s="228"/>
      <c r="F43" s="228"/>
      <c r="G43" s="228"/>
      <c r="H43" s="228"/>
      <c r="I43" s="228"/>
      <c r="J43" s="228"/>
      <c r="K43" s="228">
        <v>276550.36166633503</v>
      </c>
      <c r="L43" s="228"/>
      <c r="M43" s="228"/>
      <c r="N43" s="229">
        <v>0.45791184139155844</v>
      </c>
      <c r="O43" s="228">
        <v>430252.45635520399</v>
      </c>
      <c r="P43" s="229">
        <v>0.4595825554622493</v>
      </c>
      <c r="Q43" s="229">
        <v>0.18277465695918402</v>
      </c>
      <c r="R43" s="229">
        <v>0.55578337978930015</v>
      </c>
      <c r="S43" s="228">
        <v>153702.09468886897</v>
      </c>
      <c r="T43" s="238"/>
      <c r="AE43" s="1" t="s">
        <v>176</v>
      </c>
    </row>
    <row r="44" spans="2:31" s="4" customFormat="1" hidden="1" x14ac:dyDescent="0.25">
      <c r="B44" s="230" t="s">
        <v>103</v>
      </c>
      <c r="C44" s="231"/>
      <c r="D44" s="231"/>
      <c r="E44" s="231"/>
      <c r="F44" s="231"/>
      <c r="G44" s="231"/>
      <c r="H44" s="231"/>
      <c r="I44" s="231"/>
      <c r="J44" s="231"/>
      <c r="K44" s="231">
        <v>327387.63833385095</v>
      </c>
      <c r="L44" s="231"/>
      <c r="M44" s="231"/>
      <c r="N44" s="234">
        <v>0.54208815860874948</v>
      </c>
      <c r="O44" s="231">
        <v>505927.5436448183</v>
      </c>
      <c r="P44" s="234">
        <v>0.54041637636826456</v>
      </c>
      <c r="Q44" s="234">
        <v>0.21492203442423372</v>
      </c>
      <c r="R44" s="232">
        <v>0.54534711884540576</v>
      </c>
      <c r="S44" s="233">
        <v>178539.90531096736</v>
      </c>
      <c r="T44" s="240"/>
      <c r="AE44" s="1" t="s">
        <v>177</v>
      </c>
    </row>
    <row r="45" spans="2:31" s="4" customFormat="1" hidden="1" x14ac:dyDescent="0.25">
      <c r="B45" s="235" t="s">
        <v>178</v>
      </c>
      <c r="C45" s="29"/>
      <c r="D45" s="29"/>
      <c r="E45" s="29"/>
      <c r="F45" s="29"/>
      <c r="G45" s="29"/>
      <c r="H45" s="29"/>
      <c r="I45" s="29"/>
      <c r="J45" s="29"/>
      <c r="K45" s="29">
        <v>242109.12821622068</v>
      </c>
      <c r="L45" s="29"/>
      <c r="M45" s="29"/>
      <c r="N45" s="31">
        <v>0.4008840778626625</v>
      </c>
      <c r="O45" s="29">
        <v>391384.01224089495</v>
      </c>
      <c r="P45" s="31">
        <v>0.41806446855992052</v>
      </c>
      <c r="Q45" s="31">
        <v>0.16626303352834634</v>
      </c>
      <c r="R45" s="22">
        <v>0.61656033014732592</v>
      </c>
      <c r="S45" s="20">
        <v>149274.88402467428</v>
      </c>
      <c r="T45" s="20"/>
      <c r="AE45" s="1" t="s">
        <v>179</v>
      </c>
    </row>
    <row r="46" spans="2:31" s="4" customFormat="1" hidden="1" x14ac:dyDescent="0.25">
      <c r="B46" s="235" t="s">
        <v>180</v>
      </c>
      <c r="C46" s="29"/>
      <c r="D46" s="29"/>
      <c r="E46" s="29"/>
      <c r="F46" s="29"/>
      <c r="G46" s="29"/>
      <c r="H46" s="29"/>
      <c r="I46" s="29"/>
      <c r="J46" s="29"/>
      <c r="K46" s="29">
        <v>85278.510117630256</v>
      </c>
      <c r="L46" s="29"/>
      <c r="M46" s="29"/>
      <c r="N46" s="31">
        <v>0.14120408074608695</v>
      </c>
      <c r="O46" s="29">
        <v>114543.53140392336</v>
      </c>
      <c r="P46" s="31">
        <v>0.12235190780834407</v>
      </c>
      <c r="Q46" s="31">
        <v>4.8659000895887379E-2</v>
      </c>
      <c r="R46" s="22">
        <v>0.34316994100771625</v>
      </c>
      <c r="S46" s="20">
        <v>29265.021286293108</v>
      </c>
      <c r="T46" s="20"/>
      <c r="AE46" s="1" t="s">
        <v>181</v>
      </c>
    </row>
    <row r="47" spans="2:31" s="4" customFormat="1" ht="7.5" hidden="1" customHeight="1" x14ac:dyDescent="0.25">
      <c r="B47" s="236"/>
      <c r="C47" s="236"/>
      <c r="D47" s="236"/>
      <c r="E47" s="236"/>
      <c r="F47" s="236"/>
      <c r="G47" s="236"/>
      <c r="H47" s="236"/>
      <c r="I47" s="236"/>
      <c r="J47" s="236"/>
      <c r="K47" s="236"/>
      <c r="L47" s="236"/>
      <c r="M47" s="236"/>
      <c r="N47" s="236"/>
      <c r="O47" s="236"/>
      <c r="P47" s="236"/>
      <c r="Q47" s="236"/>
      <c r="R47" s="236"/>
      <c r="S47" s="236"/>
      <c r="AE47" s="1" t="s">
        <v>182</v>
      </c>
    </row>
    <row r="48" spans="2:31" s="4" customFormat="1" hidden="1" x14ac:dyDescent="0.25">
      <c r="B48" s="269" t="s">
        <v>183</v>
      </c>
      <c r="C48" s="269"/>
      <c r="D48" s="269"/>
      <c r="E48" s="269"/>
      <c r="F48" s="269"/>
      <c r="G48" s="269"/>
      <c r="H48" s="269"/>
      <c r="I48" s="269"/>
      <c r="J48" s="269"/>
      <c r="K48" s="269"/>
      <c r="L48" s="269"/>
      <c r="M48" s="269"/>
      <c r="N48" s="269"/>
      <c r="O48" s="269"/>
      <c r="P48" s="269"/>
      <c r="Q48" s="269"/>
      <c r="R48" s="269"/>
      <c r="S48" s="269"/>
      <c r="T48" s="48"/>
      <c r="AE48" s="1" t="s">
        <v>184</v>
      </c>
    </row>
    <row r="49" spans="3:31" s="4" customFormat="1" hidden="1" x14ac:dyDescent="0.25">
      <c r="AE49" s="1"/>
    </row>
    <row r="50" spans="3:31" hidden="1" x14ac:dyDescent="0.25">
      <c r="C50" s="122"/>
      <c r="D50" s="122"/>
      <c r="E50" s="122"/>
      <c r="F50" s="122"/>
      <c r="G50" s="122"/>
      <c r="H50" s="122"/>
      <c r="I50" s="122"/>
      <c r="J50" s="122"/>
      <c r="K50" s="122">
        <v>0.54208815860874948</v>
      </c>
      <c r="L50" s="122"/>
      <c r="M50" s="122"/>
    </row>
    <row r="51" spans="3:31" hidden="1" x14ac:dyDescent="0.25"/>
    <row r="52" spans="3:31" hidden="1" x14ac:dyDescent="0.25"/>
    <row r="53" spans="3:31" hidden="1" x14ac:dyDescent="0.25"/>
    <row r="54" spans="3:31" hidden="1" x14ac:dyDescent="0.25"/>
    <row r="55" spans="3:31" hidden="1" x14ac:dyDescent="0.25"/>
    <row r="56" spans="3:31" hidden="1" x14ac:dyDescent="0.25"/>
    <row r="57" spans="3:31" hidden="1" x14ac:dyDescent="0.25"/>
    <row r="58" spans="3:31" hidden="1" x14ac:dyDescent="0.25"/>
    <row r="59" spans="3:31" hidden="1" x14ac:dyDescent="0.25"/>
    <row r="60" spans="3:31" hidden="1" x14ac:dyDescent="0.25"/>
    <row r="61" spans="3:31" hidden="1" x14ac:dyDescent="0.25"/>
    <row r="62" spans="3:31" hidden="1" x14ac:dyDescent="0.25"/>
    <row r="63" spans="3:31" hidden="1" x14ac:dyDescent="0.25"/>
    <row r="64" spans="3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31" spans="1:31" s="4" customFormat="1" ht="25.5" customHeight="1" thickBot="1" x14ac:dyDescent="0.3">
      <c r="B131" s="62" t="s">
        <v>200</v>
      </c>
      <c r="C131" s="62"/>
      <c r="D131" s="62"/>
      <c r="E131" s="62"/>
      <c r="F131" s="62"/>
      <c r="G131" s="62"/>
      <c r="H131" s="62"/>
      <c r="I131" s="62"/>
      <c r="J131" s="62"/>
      <c r="K131" s="62"/>
      <c r="L131" s="62"/>
      <c r="M131" s="62"/>
      <c r="N131" s="62"/>
      <c r="O131" s="62"/>
      <c r="Z131" s="1"/>
    </row>
    <row r="132" spans="1:31" s="4" customFormat="1" ht="6" customHeight="1" x14ac:dyDescent="0.25">
      <c r="Z132" s="1"/>
    </row>
    <row r="133" spans="1:31" s="4" customFormat="1" ht="30" x14ac:dyDescent="0.25">
      <c r="C133" s="182">
        <v>2019</v>
      </c>
      <c r="D133" s="182">
        <v>2020</v>
      </c>
      <c r="E133" s="182">
        <v>2021</v>
      </c>
      <c r="F133" s="182">
        <v>2022</v>
      </c>
      <c r="G133" s="173" t="str">
        <f>CONCATENATE("var. ",RIGHT(F133,2),"/",RIGHT(E133,2))</f>
        <v>var. 22/21</v>
      </c>
      <c r="H133" s="173" t="str">
        <f>CONCATENATE("dif. ",RIGHT(F133,2),"/",RIGHT(E133,2))</f>
        <v>dif. 22/21</v>
      </c>
      <c r="I133" s="242" t="str">
        <f>CONCATENATE("%/s total Tenerife ",RIGHT(F133,4))</f>
        <v>%/s total Tenerife 2022</v>
      </c>
      <c r="J133" s="182">
        <v>2023</v>
      </c>
      <c r="K133" s="242" t="str">
        <f>CONCATENATE("%/s total Tenerife ",RIGHT(J133,4))</f>
        <v>%/s total Tenerife 2023</v>
      </c>
      <c r="L133" s="173" t="str">
        <f>CONCATENATE("var. ",RIGHT(J133,2),"/",RIGHT(F133,2))</f>
        <v>var. 23/22</v>
      </c>
      <c r="M133" s="173" t="str">
        <f>CONCATENATE("dif. ",RIGHT(J133,2),"/",RIGHT(F133,2))</f>
        <v>dif. 23/22</v>
      </c>
      <c r="N133" s="173" t="str">
        <f>CONCATENATE("var. ",RIGHT(J133,2),"/",RIGHT(D133,2))</f>
        <v>var. 23/20</v>
      </c>
      <c r="O133" s="173" t="str">
        <f>CONCATENATE("dif. ",RIGHT(J133,2),"/",RIGHT(D133,2))</f>
        <v>dif. 23/20</v>
      </c>
      <c r="Z133" s="1"/>
    </row>
    <row r="134" spans="1:31" ht="18.75" x14ac:dyDescent="0.3">
      <c r="A134" s="4"/>
      <c r="B134" s="224" t="s">
        <v>199</v>
      </c>
      <c r="C134" s="228">
        <v>19153</v>
      </c>
      <c r="D134" s="228">
        <v>8684</v>
      </c>
      <c r="E134" s="228">
        <v>11001</v>
      </c>
      <c r="F134" s="228">
        <v>16289</v>
      </c>
      <c r="G134" s="229">
        <f>F134/E134-1</f>
        <v>0.48068357422052532</v>
      </c>
      <c r="H134" s="228">
        <f>F134-E134</f>
        <v>5288</v>
      </c>
      <c r="I134" s="229">
        <f>F134/F$134</f>
        <v>1</v>
      </c>
      <c r="J134" s="228">
        <v>12024</v>
      </c>
      <c r="K134" s="229">
        <f>J134/J$134</f>
        <v>1</v>
      </c>
      <c r="L134" s="229">
        <f>J134/F134-1</f>
        <v>-0.261833138928111</v>
      </c>
      <c r="M134" s="228">
        <f>J134-F134</f>
        <v>-4265</v>
      </c>
      <c r="N134" s="229">
        <f>J134/D134-1</f>
        <v>0.38461538461538458</v>
      </c>
      <c r="O134" s="228">
        <f>J134-D134</f>
        <v>3340</v>
      </c>
      <c r="Q134" s="29"/>
      <c r="R134" s="79"/>
      <c r="Z134" s="1" t="s">
        <v>175</v>
      </c>
      <c r="AE134"/>
    </row>
    <row r="135" spans="1:31" s="4" customFormat="1" x14ac:dyDescent="0.25">
      <c r="B135" s="245" t="s">
        <v>192</v>
      </c>
      <c r="C135" s="246">
        <v>19153</v>
      </c>
      <c r="D135" s="246">
        <v>8684</v>
      </c>
      <c r="E135" s="246">
        <v>11001</v>
      </c>
      <c r="F135" s="246">
        <v>16289</v>
      </c>
      <c r="G135" s="250">
        <f>IFERROR(F135/E135-1,"-")</f>
        <v>0.48068357422052532</v>
      </c>
      <c r="H135" s="246">
        <f t="shared" ref="H135:H138" si="14">F135-E135</f>
        <v>5288</v>
      </c>
      <c r="I135" s="248">
        <f>F135/F$134</f>
        <v>1</v>
      </c>
      <c r="J135" s="246">
        <v>12024</v>
      </c>
      <c r="K135" s="247">
        <f t="shared" ref="K135:K138" si="15">J135/J$134</f>
        <v>1</v>
      </c>
      <c r="L135" s="248">
        <f t="shared" ref="L135:L138" si="16">J135/F135-1</f>
        <v>-0.261833138928111</v>
      </c>
      <c r="M135" s="249">
        <f t="shared" ref="M135:M138" si="17">J135-F135</f>
        <v>-4265</v>
      </c>
      <c r="N135" s="247">
        <f t="shared" ref="N135:N138" si="18">J135/D135-1</f>
        <v>0.38461538461538458</v>
      </c>
      <c r="O135" s="246">
        <f t="shared" ref="O135:O138" si="19">J135-D135</f>
        <v>3340</v>
      </c>
      <c r="Q135" s="29"/>
      <c r="R135" s="79"/>
      <c r="Z135" s="1" t="s">
        <v>177</v>
      </c>
    </row>
    <row r="136" spans="1:31" s="4" customFormat="1" x14ac:dyDescent="0.25">
      <c r="B136" s="97" t="s">
        <v>62</v>
      </c>
      <c r="C136" s="252">
        <v>6900</v>
      </c>
      <c r="D136" s="252">
        <v>0</v>
      </c>
      <c r="E136" s="252">
        <v>0</v>
      </c>
      <c r="F136" s="252">
        <v>2928</v>
      </c>
      <c r="G136" s="256" t="str">
        <f t="shared" ref="G136:G138" si="20">IFERROR(F136/E136-1,"-")</f>
        <v>-</v>
      </c>
      <c r="H136" s="252">
        <f t="shared" si="14"/>
        <v>2928</v>
      </c>
      <c r="I136" s="260">
        <f t="shared" ref="I136:I138" si="21">F136/F$134</f>
        <v>0.17975320768616859</v>
      </c>
      <c r="J136" s="252">
        <v>3814</v>
      </c>
      <c r="K136" s="258">
        <f t="shared" si="15"/>
        <v>0.31719893546240852</v>
      </c>
      <c r="L136" s="260">
        <f t="shared" si="16"/>
        <v>0.30259562841530063</v>
      </c>
      <c r="M136" s="259">
        <f t="shared" si="17"/>
        <v>886</v>
      </c>
      <c r="N136" s="258" t="e">
        <f t="shared" si="18"/>
        <v>#DIV/0!</v>
      </c>
      <c r="O136" s="252">
        <f t="shared" si="19"/>
        <v>3814</v>
      </c>
      <c r="Q136" s="29"/>
      <c r="R136" s="79"/>
      <c r="Z136" s="1"/>
    </row>
    <row r="137" spans="1:31" s="4" customFormat="1" x14ac:dyDescent="0.25">
      <c r="B137" s="97" t="s">
        <v>61</v>
      </c>
      <c r="C137" s="252">
        <v>12253</v>
      </c>
      <c r="D137" s="252">
        <v>0</v>
      </c>
      <c r="E137" s="252">
        <v>0</v>
      </c>
      <c r="F137" s="252">
        <v>13361</v>
      </c>
      <c r="G137" s="254" t="str">
        <f t="shared" si="20"/>
        <v>-</v>
      </c>
      <c r="H137" s="252">
        <f t="shared" si="14"/>
        <v>13361</v>
      </c>
      <c r="I137" s="264">
        <f t="shared" si="21"/>
        <v>0.82024679231383146</v>
      </c>
      <c r="J137" s="252">
        <v>8210</v>
      </c>
      <c r="K137" s="258">
        <f t="shared" si="15"/>
        <v>0.68280106453759148</v>
      </c>
      <c r="L137" s="260">
        <f t="shared" si="16"/>
        <v>-0.38552503555123119</v>
      </c>
      <c r="M137" s="259">
        <f t="shared" si="17"/>
        <v>-5151</v>
      </c>
      <c r="N137" s="258" t="e">
        <f t="shared" si="18"/>
        <v>#DIV/0!</v>
      </c>
      <c r="O137" s="252">
        <f t="shared" si="19"/>
        <v>8210</v>
      </c>
      <c r="Q137" s="29"/>
      <c r="R137" s="79"/>
      <c r="Z137" s="1"/>
    </row>
    <row r="138" spans="1:31" s="4" customFormat="1" x14ac:dyDescent="0.25">
      <c r="B138" s="245" t="s">
        <v>193</v>
      </c>
      <c r="C138" s="246" t="e">
        <v>#REF!</v>
      </c>
      <c r="D138" s="246" t="e">
        <v>#REF!</v>
      </c>
      <c r="E138" s="246" t="e">
        <v>#REF!</v>
      </c>
      <c r="F138" s="246" t="e">
        <v>#REF!</v>
      </c>
      <c r="G138" s="250" t="str">
        <f t="shared" si="20"/>
        <v>-</v>
      </c>
      <c r="H138" s="246" t="e">
        <f t="shared" si="14"/>
        <v>#REF!</v>
      </c>
      <c r="I138" s="248" t="e">
        <f t="shared" si="21"/>
        <v>#REF!</v>
      </c>
      <c r="J138" s="246" t="e">
        <v>#REF!</v>
      </c>
      <c r="K138" s="247" t="e">
        <f t="shared" si="15"/>
        <v>#REF!</v>
      </c>
      <c r="L138" s="248" t="e">
        <f t="shared" si="16"/>
        <v>#REF!</v>
      </c>
      <c r="M138" s="249" t="e">
        <f t="shared" si="17"/>
        <v>#REF!</v>
      </c>
      <c r="N138" s="247" t="e">
        <f t="shared" si="18"/>
        <v>#REF!</v>
      </c>
      <c r="O138" s="246" t="e">
        <f t="shared" si="19"/>
        <v>#REF!</v>
      </c>
      <c r="Q138" s="29"/>
      <c r="R138" s="79"/>
      <c r="Z138" s="1"/>
    </row>
    <row r="139" spans="1:31" s="4" customFormat="1" ht="7.5" customHeight="1" x14ac:dyDescent="0.25">
      <c r="B139" s="236"/>
      <c r="C139" s="236"/>
      <c r="D139" s="236"/>
      <c r="E139" s="236"/>
      <c r="F139" s="236"/>
      <c r="G139" s="236"/>
      <c r="H139" s="236"/>
      <c r="I139" s="236"/>
      <c r="J139" s="236"/>
      <c r="K139" s="236"/>
      <c r="L139" s="236"/>
      <c r="M139" s="236"/>
      <c r="N139" s="236"/>
      <c r="O139" s="236"/>
      <c r="Z139" s="1" t="s">
        <v>182</v>
      </c>
    </row>
    <row r="140" spans="1:31" s="4" customFormat="1" ht="32.25" customHeight="1" x14ac:dyDescent="0.25">
      <c r="B140" s="311" t="s">
        <v>196</v>
      </c>
      <c r="C140" s="311"/>
      <c r="D140" s="311"/>
      <c r="E140" s="311"/>
      <c r="F140" s="311"/>
      <c r="G140" s="311"/>
      <c r="H140" s="311"/>
      <c r="I140" s="311"/>
      <c r="J140" s="311"/>
      <c r="K140" s="311"/>
      <c r="L140" s="311"/>
      <c r="M140" s="311"/>
      <c r="N140" s="311"/>
      <c r="O140" s="311"/>
      <c r="Z140" s="1" t="s">
        <v>184</v>
      </c>
    </row>
    <row r="141" spans="1:31" x14ac:dyDescent="0.25">
      <c r="Z141" s="1"/>
      <c r="AE141"/>
    </row>
    <row r="142" spans="1:31" x14ac:dyDescent="0.25">
      <c r="Z142" s="1"/>
      <c r="AE142"/>
    </row>
  </sheetData>
  <mergeCells count="3">
    <mergeCell ref="B38:S38"/>
    <mergeCell ref="B48:S48"/>
    <mergeCell ref="B140:O14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9C1E1A-19CF-427A-B176-B4809F0519D9}">
  <sheetPr>
    <tabColor theme="4" tint="0.39997558519241921"/>
  </sheetPr>
  <dimension ref="A1:AE14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13" width="14.7109375" customWidth="1"/>
    <col min="14" max="14" width="11.42578125" customWidth="1"/>
    <col min="15" max="15" width="14.7109375" customWidth="1"/>
    <col min="27" max="27" width="14" customWidth="1"/>
    <col min="31" max="31" width="11.42578125" style="1"/>
  </cols>
  <sheetData>
    <row r="1" spans="1:31" ht="30" customHeight="1" x14ac:dyDescent="0.25">
      <c r="B1" s="1" t="s">
        <v>201</v>
      </c>
      <c r="G1" s="223"/>
      <c r="H1" s="223"/>
      <c r="I1" s="223"/>
      <c r="K1" s="223"/>
    </row>
    <row r="3" spans="1:31" s="4" customFormat="1" ht="25.5" customHeight="1" thickBot="1" x14ac:dyDescent="0.3">
      <c r="B3" s="62" t="s">
        <v>27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45" x14ac:dyDescent="0.25">
      <c r="C5" s="241" t="s">
        <v>262</v>
      </c>
      <c r="D5" s="241" t="s">
        <v>263</v>
      </c>
      <c r="E5" s="241" t="s">
        <v>269</v>
      </c>
      <c r="F5" s="242" t="str">
        <f>CONCATENATE("%/s total Tenerife ",RIGHT(E5,4))</f>
        <v>%/s total Tenerife 2021</v>
      </c>
      <c r="G5" s="241" t="s">
        <v>264</v>
      </c>
      <c r="H5" s="242" t="str">
        <f>CONCATENATE("var. ",RIGHT(G5,2),"/",RIGHT(E5,2))</f>
        <v>var. 22/21</v>
      </c>
      <c r="I5" s="242" t="str">
        <f>CONCATENATE("dif. ",RIGHT(G5,2),"/",RIGHT(E5,2))</f>
        <v>dif. 22/21</v>
      </c>
      <c r="J5" s="242" t="str">
        <f>CONCATENATE("%/s total Tenerife ",RIGHT(G5,4))</f>
        <v>%/s total Tenerife 2022</v>
      </c>
      <c r="K5" s="241" t="s">
        <v>265</v>
      </c>
      <c r="L5" s="242" t="str">
        <f>CONCATENATE("var. ",RIGHT(K5,2),"/",RIGHT(G5,2))</f>
        <v>var. 23/22</v>
      </c>
      <c r="M5" s="242" t="str">
        <f>CONCATENATE("dif. ",RIGHT(K5,2),"/",RIGHT(G5,2))</f>
        <v>dif. 23/22</v>
      </c>
      <c r="N5" s="242" t="str">
        <f>CONCATENATE("%/s total Tenerife ",RIGHT(K5,4))</f>
        <v>%/s total Tenerife 2023</v>
      </c>
      <c r="O5" s="241" t="s">
        <v>266</v>
      </c>
      <c r="P5" s="242" t="str">
        <f>CONCATENATE("var. ",RIGHT(O5,2),"/",RIGHT(K5,2))</f>
        <v>var. 24/23</v>
      </c>
      <c r="Q5" s="242" t="str">
        <f>CONCATENATE("dif. ",RIGHT(O5,2),"/",RIGHT(K5,2))</f>
        <v>dif. 24/23</v>
      </c>
      <c r="R5" s="242" t="str">
        <f>CONCATENATE("var. ",RIGHT(O5,2),"/",RIGHT(C5,2))</f>
        <v>var. 24/19</v>
      </c>
      <c r="S5" s="242" t="str">
        <f>CONCATENATE("dif. ",RIGHT(O5,2),"/",RIGHT(C5,2))</f>
        <v>dif. 24/19</v>
      </c>
      <c r="T5" s="242" t="str">
        <f>CONCATENATE("%/s total Tenerife ",RIGHT(O5,4))</f>
        <v>%/s total Tenerife 2024</v>
      </c>
      <c r="AE5" s="1"/>
    </row>
    <row r="6" spans="1:31" ht="18.75" x14ac:dyDescent="0.3">
      <c r="A6" s="4"/>
      <c r="B6" s="224" t="s">
        <v>202</v>
      </c>
      <c r="C6" s="243">
        <v>824041</v>
      </c>
      <c r="D6" s="243">
        <v>355635</v>
      </c>
      <c r="E6" s="243">
        <v>606515</v>
      </c>
      <c r="F6" s="244">
        <f>E6/$E$6</f>
        <v>1</v>
      </c>
      <c r="G6" s="243">
        <v>802083</v>
      </c>
      <c r="H6" s="244">
        <f>G6/E6-1</f>
        <v>0.32244544652646678</v>
      </c>
      <c r="I6" s="243">
        <f>G6-E6</f>
        <v>195568</v>
      </c>
      <c r="J6" s="244">
        <f>G6/$G$6</f>
        <v>1</v>
      </c>
      <c r="K6" s="243">
        <v>830806</v>
      </c>
      <c r="L6" s="244">
        <f>K6/G6-1</f>
        <v>3.5810508388782747E-2</v>
      </c>
      <c r="M6" s="243">
        <f>K6-G6</f>
        <v>28723</v>
      </c>
      <c r="N6" s="244">
        <f>K6/$K$6</f>
        <v>1</v>
      </c>
      <c r="O6" s="243">
        <v>834904</v>
      </c>
      <c r="P6" s="244">
        <f>O6/K6-1</f>
        <v>4.9325594663496286E-3</v>
      </c>
      <c r="Q6" s="243">
        <f>O6-K6</f>
        <v>4098</v>
      </c>
      <c r="R6" s="244">
        <f>IFERROR(O6/C6-1,"-")</f>
        <v>1.3182596497018917E-2</v>
      </c>
      <c r="S6" s="243">
        <f>O6-C6</f>
        <v>10863</v>
      </c>
      <c r="T6" s="244">
        <f>O6/$O$6</f>
        <v>1</v>
      </c>
      <c r="V6" s="29"/>
      <c r="W6" s="79"/>
      <c r="AE6" s="1" t="s">
        <v>175</v>
      </c>
    </row>
    <row r="7" spans="1:31" s="4" customFormat="1" x14ac:dyDescent="0.25">
      <c r="B7" s="235" t="s">
        <v>44</v>
      </c>
      <c r="C7" s="252">
        <v>183116</v>
      </c>
      <c r="D7" s="252">
        <v>76613</v>
      </c>
      <c r="E7" s="252">
        <v>207995</v>
      </c>
      <c r="F7" s="258">
        <f t="shared" ref="F7:F16" si="0">E7/$E$6</f>
        <v>0.34293463475759051</v>
      </c>
      <c r="G7" s="252">
        <v>171971</v>
      </c>
      <c r="H7" s="260">
        <f>G7/E7-1</f>
        <v>-0.17319647106901603</v>
      </c>
      <c r="I7" s="259">
        <f>G7-E7</f>
        <v>-36024</v>
      </c>
      <c r="J7" s="258">
        <f>G7/$G$6</f>
        <v>0.21440549170098355</v>
      </c>
      <c r="K7" s="252">
        <v>148781</v>
      </c>
      <c r="L7" s="260">
        <f>K7/G7-1</f>
        <v>-0.13484831744887216</v>
      </c>
      <c r="M7" s="259">
        <f>K7-G7</f>
        <v>-23190</v>
      </c>
      <c r="N7" s="258">
        <f>K7/$K$6</f>
        <v>0.17908031477866071</v>
      </c>
      <c r="O7" s="252">
        <v>132009</v>
      </c>
      <c r="P7" s="260">
        <f>O7/K7-1</f>
        <v>-0.11272944798058893</v>
      </c>
      <c r="Q7" s="259">
        <f>O7-K7</f>
        <v>-16772</v>
      </c>
      <c r="R7" s="260">
        <f t="shared" ref="R7:R16" si="1">IFERROR(O7/C7-1,"-")</f>
        <v>-0.2790963105353983</v>
      </c>
      <c r="S7" s="259">
        <f t="shared" ref="S7:S16" si="2">O7-C7</f>
        <v>-51107</v>
      </c>
      <c r="T7" s="258">
        <f>O7/$O$6</f>
        <v>0.15811278901526404</v>
      </c>
      <c r="V7" s="29"/>
      <c r="W7" s="79"/>
      <c r="AE7" s="1" t="s">
        <v>177</v>
      </c>
    </row>
    <row r="8" spans="1:31" s="4" customFormat="1" x14ac:dyDescent="0.25">
      <c r="B8" s="235" t="s">
        <v>45</v>
      </c>
      <c r="C8" s="252">
        <v>101088</v>
      </c>
      <c r="D8" s="252">
        <v>34195</v>
      </c>
      <c r="E8" s="252">
        <v>62289</v>
      </c>
      <c r="F8" s="258">
        <f t="shared" si="0"/>
        <v>0.10269985078687255</v>
      </c>
      <c r="G8" s="252">
        <v>100475</v>
      </c>
      <c r="H8" s="260">
        <f t="shared" ref="H8:H16" si="3">G8/E8-1</f>
        <v>0.61304564208768797</v>
      </c>
      <c r="I8" s="259">
        <f t="shared" ref="I8:I16" si="4">G8-E8</f>
        <v>38186</v>
      </c>
      <c r="J8" s="258">
        <f t="shared" ref="J8:J16" si="5">G8/$G$6</f>
        <v>0.12526758452678838</v>
      </c>
      <c r="K8" s="252">
        <v>94395</v>
      </c>
      <c r="L8" s="260">
        <f t="shared" ref="L8:L16" si="6">K8/G8-1</f>
        <v>-6.0512565314754907E-2</v>
      </c>
      <c r="M8" s="259">
        <f t="shared" ref="M8:M16" si="7">K8-G8</f>
        <v>-6080</v>
      </c>
      <c r="N8" s="258">
        <f t="shared" ref="N8:N16" si="8">K8/$K$6</f>
        <v>0.11361858243681437</v>
      </c>
      <c r="O8" s="252">
        <v>91109</v>
      </c>
      <c r="P8" s="260">
        <f t="shared" ref="P8:P16" si="9">O8/K8-1</f>
        <v>-3.4811165845648584E-2</v>
      </c>
      <c r="Q8" s="259">
        <f t="shared" ref="Q8:Q16" si="10">O8-K8</f>
        <v>-3286</v>
      </c>
      <c r="R8" s="260">
        <f t="shared" si="1"/>
        <v>-9.8715970243748008E-2</v>
      </c>
      <c r="S8" s="259">
        <f t="shared" si="2"/>
        <v>-9979</v>
      </c>
      <c r="T8" s="258">
        <f t="shared" ref="T8:T16" si="11">O8/$O$6</f>
        <v>0.10912512097199199</v>
      </c>
      <c r="V8" s="29"/>
      <c r="W8" s="79"/>
      <c r="AE8" s="1"/>
    </row>
    <row r="9" spans="1:31" s="4" customFormat="1" x14ac:dyDescent="0.25">
      <c r="B9" s="235" t="s">
        <v>46</v>
      </c>
      <c r="C9" s="252">
        <v>8490</v>
      </c>
      <c r="D9" s="252">
        <v>2129</v>
      </c>
      <c r="E9" s="252">
        <v>3943</v>
      </c>
      <c r="F9" s="253">
        <f t="shared" si="0"/>
        <v>6.5010758184051503E-3</v>
      </c>
      <c r="G9" s="252">
        <v>4228</v>
      </c>
      <c r="H9" s="264">
        <f t="shared" si="3"/>
        <v>7.2279989855440041E-2</v>
      </c>
      <c r="I9" s="255">
        <f t="shared" si="4"/>
        <v>285</v>
      </c>
      <c r="J9" s="253">
        <f t="shared" si="5"/>
        <v>5.2712749179324335E-3</v>
      </c>
      <c r="K9" s="252">
        <v>16405</v>
      </c>
      <c r="L9" s="260">
        <f t="shared" si="6"/>
        <v>2.8800851466414379</v>
      </c>
      <c r="M9" s="259">
        <f t="shared" si="7"/>
        <v>12177</v>
      </c>
      <c r="N9" s="258">
        <f t="shared" si="8"/>
        <v>1.9745885321001532E-2</v>
      </c>
      <c r="O9" s="252">
        <v>8742</v>
      </c>
      <c r="P9" s="260">
        <f t="shared" si="9"/>
        <v>-0.46711368485217919</v>
      </c>
      <c r="Q9" s="259">
        <f t="shared" si="10"/>
        <v>-7663</v>
      </c>
      <c r="R9" s="260">
        <f t="shared" si="1"/>
        <v>2.9681978798586472E-2</v>
      </c>
      <c r="S9" s="259">
        <f t="shared" si="2"/>
        <v>252</v>
      </c>
      <c r="T9" s="258">
        <f t="shared" si="11"/>
        <v>1.0470664890813794E-2</v>
      </c>
      <c r="V9" s="29"/>
      <c r="W9" s="79"/>
      <c r="AE9" s="1"/>
    </row>
    <row r="10" spans="1:31" s="4" customFormat="1" x14ac:dyDescent="0.25">
      <c r="B10" s="235" t="s">
        <v>48</v>
      </c>
      <c r="C10" s="252">
        <v>280056</v>
      </c>
      <c r="D10" s="252">
        <v>75068</v>
      </c>
      <c r="E10" s="252">
        <v>127023</v>
      </c>
      <c r="F10" s="258">
        <f t="shared" si="0"/>
        <v>0.20943092916086165</v>
      </c>
      <c r="G10" s="252">
        <v>267342</v>
      </c>
      <c r="H10" s="260">
        <f t="shared" si="3"/>
        <v>1.1046739566850099</v>
      </c>
      <c r="I10" s="259">
        <f t="shared" si="4"/>
        <v>140319</v>
      </c>
      <c r="J10" s="258">
        <f t="shared" si="5"/>
        <v>0.33330964501180055</v>
      </c>
      <c r="K10" s="252">
        <v>277292</v>
      </c>
      <c r="L10" s="260">
        <f t="shared" si="6"/>
        <v>3.7218244795056421E-2</v>
      </c>
      <c r="M10" s="259">
        <f t="shared" si="7"/>
        <v>9950</v>
      </c>
      <c r="N10" s="258">
        <f t="shared" si="8"/>
        <v>0.33376263532039968</v>
      </c>
      <c r="O10" s="252">
        <v>305825</v>
      </c>
      <c r="P10" s="260">
        <f t="shared" si="9"/>
        <v>0.10289874933283327</v>
      </c>
      <c r="Q10" s="259">
        <f t="shared" si="10"/>
        <v>28533</v>
      </c>
      <c r="R10" s="260">
        <f t="shared" si="1"/>
        <v>9.2013740109121001E-2</v>
      </c>
      <c r="S10" s="259">
        <f t="shared" si="2"/>
        <v>25769</v>
      </c>
      <c r="T10" s="258">
        <f>O10/$O$6</f>
        <v>0.36629959851671567</v>
      </c>
      <c r="V10" s="29"/>
      <c r="W10" s="79"/>
      <c r="AE10" s="1"/>
    </row>
    <row r="11" spans="1:31" s="4" customFormat="1" x14ac:dyDescent="0.25">
      <c r="B11" s="235" t="s">
        <v>50</v>
      </c>
      <c r="C11" s="252">
        <v>23748</v>
      </c>
      <c r="D11" s="252">
        <v>24373</v>
      </c>
      <c r="E11" s="252">
        <v>37856</v>
      </c>
      <c r="F11" s="253">
        <f t="shared" si="0"/>
        <v>6.2415603900975246E-2</v>
      </c>
      <c r="G11" s="252">
        <v>37846</v>
      </c>
      <c r="H11" s="264">
        <f t="shared" si="3"/>
        <v>-2.6415891800501967E-4</v>
      </c>
      <c r="I11" s="255">
        <f t="shared" si="4"/>
        <v>-10</v>
      </c>
      <c r="J11" s="253">
        <f t="shared" si="5"/>
        <v>4.7184642985825656E-2</v>
      </c>
      <c r="K11" s="252">
        <v>43389</v>
      </c>
      <c r="L11" s="260">
        <f t="shared" si="6"/>
        <v>0.14646197748771339</v>
      </c>
      <c r="M11" s="259">
        <f t="shared" si="7"/>
        <v>5543</v>
      </c>
      <c r="N11" s="258">
        <f t="shared" si="8"/>
        <v>5.2225188551840024E-2</v>
      </c>
      <c r="O11" s="252">
        <v>40492</v>
      </c>
      <c r="P11" s="260">
        <f t="shared" si="9"/>
        <v>-6.6768074857682769E-2</v>
      </c>
      <c r="Q11" s="259">
        <f t="shared" si="10"/>
        <v>-2897</v>
      </c>
      <c r="R11" s="260">
        <f t="shared" si="1"/>
        <v>0.7050699006232104</v>
      </c>
      <c r="S11" s="259">
        <f t="shared" si="2"/>
        <v>16744</v>
      </c>
      <c r="T11" s="258">
        <f t="shared" si="11"/>
        <v>4.8498989105334268E-2</v>
      </c>
      <c r="V11" s="29"/>
      <c r="W11" s="79"/>
      <c r="AE11" s="1"/>
    </row>
    <row r="12" spans="1:31" s="4" customFormat="1" x14ac:dyDescent="0.25">
      <c r="B12" s="235" t="s">
        <v>51</v>
      </c>
      <c r="C12" s="252">
        <v>87514</v>
      </c>
      <c r="D12" s="252">
        <v>36330</v>
      </c>
      <c r="E12" s="252">
        <v>68840</v>
      </c>
      <c r="F12" s="258">
        <f t="shared" si="0"/>
        <v>0.11350090269820202</v>
      </c>
      <c r="G12" s="252">
        <v>97242</v>
      </c>
      <c r="H12" s="260">
        <f t="shared" si="3"/>
        <v>0.41257989540964557</v>
      </c>
      <c r="I12" s="259">
        <f t="shared" si="4"/>
        <v>28402</v>
      </c>
      <c r="J12" s="258">
        <f t="shared" si="5"/>
        <v>0.1212368296049162</v>
      </c>
      <c r="K12" s="252">
        <v>108324</v>
      </c>
      <c r="L12" s="260">
        <f t="shared" si="6"/>
        <v>0.11396310236317642</v>
      </c>
      <c r="M12" s="259">
        <f t="shared" si="7"/>
        <v>11082</v>
      </c>
      <c r="N12" s="258">
        <f t="shared" si="8"/>
        <v>0.13038422929059251</v>
      </c>
      <c r="O12" s="252">
        <v>115851</v>
      </c>
      <c r="P12" s="260">
        <f t="shared" si="9"/>
        <v>6.9485986484989493E-2</v>
      </c>
      <c r="Q12" s="259">
        <f t="shared" si="10"/>
        <v>7527</v>
      </c>
      <c r="R12" s="260">
        <f t="shared" si="1"/>
        <v>0.32379962063212742</v>
      </c>
      <c r="S12" s="259">
        <f t="shared" si="2"/>
        <v>28337</v>
      </c>
      <c r="T12" s="258">
        <f t="shared" si="11"/>
        <v>0.13875966578193422</v>
      </c>
      <c r="V12" s="29"/>
      <c r="W12" s="79"/>
      <c r="AE12" s="1"/>
    </row>
    <row r="13" spans="1:31" s="4" customFormat="1" x14ac:dyDescent="0.25">
      <c r="B13" s="235" t="s">
        <v>49</v>
      </c>
      <c r="C13" s="252">
        <v>26258</v>
      </c>
      <c r="D13" s="252">
        <v>11031</v>
      </c>
      <c r="E13" s="252">
        <v>13958</v>
      </c>
      <c r="F13" s="253">
        <f t="shared" si="0"/>
        <v>2.3013445669109584E-2</v>
      </c>
      <c r="G13" s="252">
        <v>24786</v>
      </c>
      <c r="H13" s="264">
        <f t="shared" si="3"/>
        <v>0.77575583894540756</v>
      </c>
      <c r="I13" s="255">
        <f t="shared" si="4"/>
        <v>10828</v>
      </c>
      <c r="J13" s="253">
        <f t="shared" si="5"/>
        <v>3.0902038816431717E-2</v>
      </c>
      <c r="K13" s="252">
        <v>29860</v>
      </c>
      <c r="L13" s="260">
        <f t="shared" si="6"/>
        <v>0.20471233760994112</v>
      </c>
      <c r="M13" s="259">
        <f t="shared" si="7"/>
        <v>5074</v>
      </c>
      <c r="N13" s="258">
        <f t="shared" si="8"/>
        <v>3.594100187047277E-2</v>
      </c>
      <c r="O13" s="252">
        <v>26153</v>
      </c>
      <c r="P13" s="260">
        <f t="shared" si="9"/>
        <v>-0.12414601473543196</v>
      </c>
      <c r="Q13" s="259">
        <f t="shared" si="10"/>
        <v>-3707</v>
      </c>
      <c r="R13" s="260">
        <f t="shared" si="1"/>
        <v>-3.9987813237870595E-3</v>
      </c>
      <c r="S13" s="259">
        <f t="shared" si="2"/>
        <v>-105</v>
      </c>
      <c r="T13" s="258">
        <f t="shared" si="11"/>
        <v>3.1324559470310362E-2</v>
      </c>
      <c r="V13" s="29"/>
      <c r="W13" s="79"/>
      <c r="AE13" s="1"/>
    </row>
    <row r="14" spans="1:31" s="4" customFormat="1" x14ac:dyDescent="0.25">
      <c r="B14" s="235" t="s">
        <v>52</v>
      </c>
      <c r="C14" s="252">
        <v>37574</v>
      </c>
      <c r="D14" s="252">
        <v>14652</v>
      </c>
      <c r="E14" s="252">
        <v>37616</v>
      </c>
      <c r="F14" s="258">
        <f t="shared" si="0"/>
        <v>6.2019900579540488E-2</v>
      </c>
      <c r="G14" s="252">
        <v>24500</v>
      </c>
      <c r="H14" s="260">
        <f t="shared" si="3"/>
        <v>-0.34868141216503612</v>
      </c>
      <c r="I14" s="259">
        <f t="shared" si="4"/>
        <v>-13116</v>
      </c>
      <c r="J14" s="258">
        <f t="shared" si="5"/>
        <v>3.0545467239674697E-2</v>
      </c>
      <c r="K14" s="252">
        <v>26474</v>
      </c>
      <c r="L14" s="260">
        <f t="shared" si="6"/>
        <v>8.0571428571428516E-2</v>
      </c>
      <c r="M14" s="259">
        <f t="shared" si="7"/>
        <v>1974</v>
      </c>
      <c r="N14" s="258">
        <f t="shared" si="8"/>
        <v>3.1865441511014607E-2</v>
      </c>
      <c r="O14" s="252">
        <v>22996</v>
      </c>
      <c r="P14" s="260">
        <f t="shared" si="9"/>
        <v>-0.13137417843922339</v>
      </c>
      <c r="Q14" s="259">
        <f t="shared" si="10"/>
        <v>-3478</v>
      </c>
      <c r="R14" s="260">
        <f t="shared" si="1"/>
        <v>-0.38798105072656619</v>
      </c>
      <c r="S14" s="259">
        <f t="shared" si="2"/>
        <v>-14578</v>
      </c>
      <c r="T14" s="258">
        <f t="shared" si="11"/>
        <v>2.7543286413767333E-2</v>
      </c>
      <c r="V14" s="29"/>
      <c r="W14" s="79"/>
      <c r="AE14" s="1"/>
    </row>
    <row r="15" spans="1:31" s="4" customFormat="1" x14ac:dyDescent="0.25">
      <c r="B15" s="235" t="s">
        <v>47</v>
      </c>
      <c r="C15" s="252">
        <v>33892</v>
      </c>
      <c r="D15" s="252">
        <v>16922</v>
      </c>
      <c r="E15" s="252">
        <v>19322</v>
      </c>
      <c r="F15" s="253">
        <f t="shared" si="0"/>
        <v>3.1857414903176347E-2</v>
      </c>
      <c r="G15" s="252">
        <v>29432</v>
      </c>
      <c r="H15" s="264">
        <f t="shared" si="3"/>
        <v>0.52323776006624567</v>
      </c>
      <c r="I15" s="255">
        <f t="shared" si="4"/>
        <v>10110</v>
      </c>
      <c r="J15" s="253">
        <f t="shared" si="5"/>
        <v>3.6694456808085946E-2</v>
      </c>
      <c r="K15" s="252">
        <v>39183</v>
      </c>
      <c r="L15" s="260">
        <f t="shared" si="6"/>
        <v>0.33130606142973629</v>
      </c>
      <c r="M15" s="259">
        <f t="shared" si="7"/>
        <v>9751</v>
      </c>
      <c r="N15" s="258">
        <f t="shared" si="8"/>
        <v>4.7162634838939538E-2</v>
      </c>
      <c r="O15" s="252">
        <v>48762</v>
      </c>
      <c r="P15" s="260">
        <f t="shared" si="9"/>
        <v>0.24446826429829271</v>
      </c>
      <c r="Q15" s="259">
        <f t="shared" si="10"/>
        <v>9579</v>
      </c>
      <c r="R15" s="260">
        <f t="shared" si="1"/>
        <v>0.43874660686887768</v>
      </c>
      <c r="S15" s="259">
        <f t="shared" si="2"/>
        <v>14870</v>
      </c>
      <c r="T15" s="258">
        <f t="shared" si="11"/>
        <v>5.8404319538533769E-2</v>
      </c>
      <c r="V15" s="29"/>
      <c r="W15" s="79"/>
      <c r="AE15" s="1"/>
    </row>
    <row r="16" spans="1:31" s="4" customFormat="1" x14ac:dyDescent="0.25">
      <c r="B16" s="235" t="s">
        <v>203</v>
      </c>
      <c r="C16" s="252">
        <f>C6-SUM(C7:C15)</f>
        <v>42305</v>
      </c>
      <c r="D16" s="252">
        <f>D6-SUM(D7:D15)</f>
        <v>64322</v>
      </c>
      <c r="E16" s="252">
        <f>E6-SUM(E7:E15)</f>
        <v>27673</v>
      </c>
      <c r="F16" s="258">
        <f t="shared" si="0"/>
        <v>4.5626241725266484E-2</v>
      </c>
      <c r="G16" s="252">
        <f>G6-SUM(G7:G15)</f>
        <v>44261</v>
      </c>
      <c r="H16" s="260">
        <f t="shared" si="3"/>
        <v>0.59942904636288086</v>
      </c>
      <c r="I16" s="259">
        <f t="shared" si="4"/>
        <v>16588</v>
      </c>
      <c r="J16" s="258">
        <f t="shared" si="5"/>
        <v>5.5182568387560887E-2</v>
      </c>
      <c r="K16" s="252">
        <f>K6-SUM(K7:K15)</f>
        <v>46703</v>
      </c>
      <c r="L16" s="260">
        <f t="shared" si="6"/>
        <v>5.5172725424188274E-2</v>
      </c>
      <c r="M16" s="259">
        <f t="shared" si="7"/>
        <v>2442</v>
      </c>
      <c r="N16" s="258">
        <f t="shared" si="8"/>
        <v>5.6214086080264222E-2</v>
      </c>
      <c r="O16" s="252">
        <f>O6-SUM(O7:O15)</f>
        <v>42965</v>
      </c>
      <c r="P16" s="260">
        <f t="shared" si="9"/>
        <v>-8.003768494529262E-2</v>
      </c>
      <c r="Q16" s="259">
        <f t="shared" si="10"/>
        <v>-3738</v>
      </c>
      <c r="R16" s="260">
        <f t="shared" si="1"/>
        <v>1.5600992790450352E-2</v>
      </c>
      <c r="S16" s="259">
        <f t="shared" si="2"/>
        <v>660</v>
      </c>
      <c r="T16" s="258">
        <f t="shared" si="11"/>
        <v>5.1461006295334552E-2</v>
      </c>
      <c r="V16" s="29"/>
      <c r="W16" s="79"/>
      <c r="AE16" s="1"/>
    </row>
    <row r="17" spans="2:31" s="4" customFormat="1" ht="7.5" customHeight="1" x14ac:dyDescent="0.25">
      <c r="B17" s="236"/>
      <c r="C17" s="236"/>
      <c r="D17" s="236"/>
      <c r="E17" s="236"/>
      <c r="F17" s="236"/>
      <c r="G17" s="236"/>
      <c r="H17" s="236"/>
      <c r="I17" s="236"/>
      <c r="J17" s="236"/>
      <c r="K17" s="236"/>
      <c r="L17" s="236"/>
      <c r="M17" s="236"/>
      <c r="N17" s="236"/>
      <c r="O17" s="236"/>
      <c r="P17" s="236"/>
      <c r="Q17" s="236"/>
      <c r="R17" s="236"/>
      <c r="S17" s="236"/>
      <c r="T17" s="236"/>
      <c r="AE17" s="1" t="s">
        <v>182</v>
      </c>
    </row>
    <row r="18" spans="2:31" s="4" customFormat="1" x14ac:dyDescent="0.25">
      <c r="B18" s="125" t="s">
        <v>183</v>
      </c>
      <c r="C18" s="125"/>
      <c r="D18" s="125"/>
      <c r="E18" s="125"/>
      <c r="F18" s="125"/>
      <c r="G18" s="125"/>
      <c r="H18" s="125"/>
      <c r="I18" s="125"/>
      <c r="J18" s="125"/>
      <c r="K18" s="125"/>
      <c r="L18" s="125"/>
      <c r="M18" s="125"/>
      <c r="N18" s="125"/>
      <c r="O18" s="125"/>
      <c r="P18" s="125"/>
      <c r="Q18" s="125"/>
      <c r="R18" s="125"/>
      <c r="S18" s="125"/>
      <c r="T18" s="125"/>
      <c r="AE18" s="1" t="s">
        <v>184</v>
      </c>
    </row>
    <row r="19" spans="2:31" s="4" customFormat="1" x14ac:dyDescent="0.25">
      <c r="AE19" s="1"/>
    </row>
    <row r="42" spans="2:31" s="4" customFormat="1" ht="15.75" hidden="1" customHeight="1" thickBot="1" x14ac:dyDescent="0.3">
      <c r="B42" s="270" t="s">
        <v>185</v>
      </c>
      <c r="C42" s="270"/>
      <c r="D42" s="270"/>
      <c r="E42" s="270"/>
      <c r="F42" s="270"/>
      <c r="G42" s="270"/>
      <c r="H42" s="270"/>
      <c r="I42" s="270"/>
      <c r="J42" s="270"/>
      <c r="K42" s="270"/>
      <c r="L42" s="270"/>
      <c r="M42" s="270"/>
      <c r="N42" s="270"/>
      <c r="O42" s="270"/>
      <c r="P42" s="270"/>
      <c r="Q42" s="270"/>
      <c r="R42" s="270"/>
      <c r="S42" s="270"/>
      <c r="T42" s="83"/>
      <c r="AE42" s="1"/>
    </row>
    <row r="43" spans="2:31" s="4" customFormat="1" ht="6" hidden="1" customHeight="1" thickBot="1" x14ac:dyDescent="0.3">
      <c r="AE43" s="1"/>
    </row>
    <row r="44" spans="2:31" s="4" customFormat="1" ht="30" hidden="1" x14ac:dyDescent="0.25">
      <c r="C44" s="87"/>
      <c r="D44" s="87"/>
      <c r="E44" s="87"/>
      <c r="F44" s="87"/>
      <c r="G44" s="87"/>
      <c r="H44" s="87"/>
      <c r="I44" s="87"/>
      <c r="J44" s="87"/>
      <c r="K44" s="14">
        <v>2020</v>
      </c>
      <c r="L44" s="14"/>
      <c r="M44" s="14"/>
      <c r="N44" s="14" t="s">
        <v>186</v>
      </c>
      <c r="O44" s="14">
        <v>2021</v>
      </c>
      <c r="P44" s="14" t="s">
        <v>186</v>
      </c>
      <c r="Q44" s="14" t="s">
        <v>187</v>
      </c>
      <c r="R44" s="14" t="s">
        <v>188</v>
      </c>
      <c r="S44" s="14" t="s">
        <v>189</v>
      </c>
      <c r="T44" s="87"/>
      <c r="AE44" s="1"/>
    </row>
    <row r="45" spans="2:31" s="4" customFormat="1" ht="18.75" hidden="1" x14ac:dyDescent="0.3">
      <c r="B45" s="224" t="s">
        <v>173</v>
      </c>
      <c r="C45" s="225"/>
      <c r="D45" s="225"/>
      <c r="E45" s="225"/>
      <c r="F45" s="225"/>
      <c r="G45" s="225"/>
      <c r="H45" s="225"/>
      <c r="I45" s="225"/>
      <c r="J45" s="225"/>
      <c r="K45" s="225">
        <v>1824653</v>
      </c>
      <c r="L45" s="225"/>
      <c r="M45" s="225"/>
      <c r="N45" s="226"/>
      <c r="O45" s="225">
        <v>2354005</v>
      </c>
      <c r="P45" s="226"/>
      <c r="Q45" s="226">
        <v>1</v>
      </c>
      <c r="R45" s="226">
        <v>0.2901110512519367</v>
      </c>
      <c r="S45" s="225">
        <v>529352</v>
      </c>
      <c r="T45" s="237"/>
      <c r="AE45" s="1"/>
    </row>
    <row r="46" spans="2:31" ht="18.75" hidden="1" x14ac:dyDescent="0.3">
      <c r="B46" s="224" t="s">
        <v>174</v>
      </c>
      <c r="C46" s="225"/>
      <c r="D46" s="225"/>
      <c r="E46" s="225"/>
      <c r="F46" s="225"/>
      <c r="G46" s="225"/>
      <c r="H46" s="225"/>
      <c r="I46" s="225"/>
      <c r="J46" s="225"/>
      <c r="K46" s="225">
        <v>603938</v>
      </c>
      <c r="L46" s="225"/>
      <c r="M46" s="225"/>
      <c r="N46" s="226">
        <v>1</v>
      </c>
      <c r="O46" s="225">
        <v>936181</v>
      </c>
      <c r="P46" s="226">
        <v>1</v>
      </c>
      <c r="Q46" s="226">
        <v>0.39769711619134201</v>
      </c>
      <c r="R46" s="226">
        <v>0.55012766211101138</v>
      </c>
      <c r="S46" s="225">
        <v>332243</v>
      </c>
      <c r="T46" s="237"/>
      <c r="AE46" s="1" t="s">
        <v>175</v>
      </c>
    </row>
    <row r="47" spans="2:31" ht="15.75" hidden="1" x14ac:dyDescent="0.25">
      <c r="B47" s="227" t="s">
        <v>100</v>
      </c>
      <c r="C47" s="228"/>
      <c r="D47" s="228"/>
      <c r="E47" s="228"/>
      <c r="F47" s="228"/>
      <c r="G47" s="228"/>
      <c r="H47" s="228"/>
      <c r="I47" s="228"/>
      <c r="J47" s="228"/>
      <c r="K47" s="228">
        <v>276550.36166633503</v>
      </c>
      <c r="L47" s="228"/>
      <c r="M47" s="228"/>
      <c r="N47" s="229">
        <v>0.45791184139155844</v>
      </c>
      <c r="O47" s="228">
        <v>430252.45635520399</v>
      </c>
      <c r="P47" s="229">
        <v>0.4595825554622493</v>
      </c>
      <c r="Q47" s="229">
        <v>0.18277465695918402</v>
      </c>
      <c r="R47" s="229">
        <v>0.55578337978930015</v>
      </c>
      <c r="S47" s="228">
        <v>153702.09468886897</v>
      </c>
      <c r="T47" s="238"/>
      <c r="AE47" s="1" t="s">
        <v>176</v>
      </c>
    </row>
    <row r="48" spans="2:31" s="4" customFormat="1" hidden="1" x14ac:dyDescent="0.25">
      <c r="B48" s="230" t="s">
        <v>103</v>
      </c>
      <c r="C48" s="231"/>
      <c r="D48" s="231"/>
      <c r="E48" s="231"/>
      <c r="F48" s="231"/>
      <c r="G48" s="231"/>
      <c r="H48" s="231"/>
      <c r="I48" s="231"/>
      <c r="J48" s="231"/>
      <c r="K48" s="231">
        <v>327387.63833385095</v>
      </c>
      <c r="L48" s="231"/>
      <c r="M48" s="231"/>
      <c r="N48" s="234">
        <v>0.54208815860874948</v>
      </c>
      <c r="O48" s="231">
        <v>505927.5436448183</v>
      </c>
      <c r="P48" s="234">
        <v>0.54041637636826456</v>
      </c>
      <c r="Q48" s="234">
        <v>0.21492203442423372</v>
      </c>
      <c r="R48" s="232">
        <v>0.54534711884540576</v>
      </c>
      <c r="S48" s="233">
        <v>178539.90531096736</v>
      </c>
      <c r="T48" s="240"/>
      <c r="AE48" s="1" t="s">
        <v>177</v>
      </c>
    </row>
    <row r="49" spans="2:31" s="4" customFormat="1" hidden="1" x14ac:dyDescent="0.25">
      <c r="B49" s="235" t="s">
        <v>178</v>
      </c>
      <c r="C49" s="29"/>
      <c r="D49" s="29"/>
      <c r="E49" s="29"/>
      <c r="F49" s="29"/>
      <c r="G49" s="29"/>
      <c r="H49" s="29"/>
      <c r="I49" s="29"/>
      <c r="J49" s="29"/>
      <c r="K49" s="29">
        <v>242109.12821622068</v>
      </c>
      <c r="L49" s="29"/>
      <c r="M49" s="29"/>
      <c r="N49" s="31">
        <v>0.4008840778626625</v>
      </c>
      <c r="O49" s="29">
        <v>391384.01224089495</v>
      </c>
      <c r="P49" s="31">
        <v>0.41806446855992052</v>
      </c>
      <c r="Q49" s="31">
        <v>0.16626303352834634</v>
      </c>
      <c r="R49" s="22">
        <v>0.61656033014732592</v>
      </c>
      <c r="S49" s="20">
        <v>149274.88402467428</v>
      </c>
      <c r="T49" s="20"/>
      <c r="AE49" s="1" t="s">
        <v>179</v>
      </c>
    </row>
    <row r="50" spans="2:31" s="4" customFormat="1" hidden="1" x14ac:dyDescent="0.25">
      <c r="B50" s="235" t="s">
        <v>180</v>
      </c>
      <c r="C50" s="29"/>
      <c r="D50" s="29"/>
      <c r="E50" s="29"/>
      <c r="F50" s="29"/>
      <c r="G50" s="29"/>
      <c r="H50" s="29"/>
      <c r="I50" s="29"/>
      <c r="J50" s="29"/>
      <c r="K50" s="29">
        <v>85278.510117630256</v>
      </c>
      <c r="L50" s="29"/>
      <c r="M50" s="29"/>
      <c r="N50" s="31">
        <v>0.14120408074608695</v>
      </c>
      <c r="O50" s="29">
        <v>114543.53140392336</v>
      </c>
      <c r="P50" s="31">
        <v>0.12235190780834407</v>
      </c>
      <c r="Q50" s="31">
        <v>4.8659000895887379E-2</v>
      </c>
      <c r="R50" s="22">
        <v>0.34316994100771625</v>
      </c>
      <c r="S50" s="20">
        <v>29265.021286293108</v>
      </c>
      <c r="T50" s="20"/>
      <c r="AE50" s="1" t="s">
        <v>181</v>
      </c>
    </row>
    <row r="51" spans="2:31" s="4" customFormat="1" ht="7.5" hidden="1" customHeight="1" x14ac:dyDescent="0.25">
      <c r="B51" s="236"/>
      <c r="C51" s="236"/>
      <c r="D51" s="236"/>
      <c r="E51" s="236"/>
      <c r="F51" s="236"/>
      <c r="G51" s="236"/>
      <c r="H51" s="236"/>
      <c r="I51" s="236"/>
      <c r="J51" s="236"/>
      <c r="K51" s="236"/>
      <c r="L51" s="236"/>
      <c r="M51" s="236"/>
      <c r="N51" s="236"/>
      <c r="O51" s="236"/>
      <c r="P51" s="236"/>
      <c r="Q51" s="236"/>
      <c r="R51" s="236"/>
      <c r="S51" s="236"/>
      <c r="AE51" s="1" t="s">
        <v>182</v>
      </c>
    </row>
    <row r="52" spans="2:31" s="4" customFormat="1" hidden="1" x14ac:dyDescent="0.25">
      <c r="B52" s="269" t="s">
        <v>183</v>
      </c>
      <c r="C52" s="269"/>
      <c r="D52" s="269"/>
      <c r="E52" s="269"/>
      <c r="F52" s="269"/>
      <c r="G52" s="269"/>
      <c r="H52" s="269"/>
      <c r="I52" s="269"/>
      <c r="J52" s="269"/>
      <c r="K52" s="269"/>
      <c r="L52" s="269"/>
      <c r="M52" s="269"/>
      <c r="N52" s="269"/>
      <c r="O52" s="269"/>
      <c r="P52" s="269"/>
      <c r="Q52" s="269"/>
      <c r="R52" s="269"/>
      <c r="S52" s="269"/>
      <c r="T52" s="48"/>
      <c r="AE52" s="1" t="s">
        <v>184</v>
      </c>
    </row>
    <row r="53" spans="2:31" s="4" customFormat="1" hidden="1" x14ac:dyDescent="0.25">
      <c r="AE53" s="1"/>
    </row>
    <row r="54" spans="2:31" hidden="1" x14ac:dyDescent="0.25">
      <c r="C54" s="122"/>
      <c r="D54" s="122"/>
      <c r="E54" s="122"/>
      <c r="F54" s="122"/>
      <c r="G54" s="122"/>
      <c r="H54" s="122"/>
      <c r="I54" s="122"/>
      <c r="J54" s="122"/>
      <c r="K54" s="122">
        <v>0.54208815860874948</v>
      </c>
      <c r="L54" s="122"/>
      <c r="M54" s="122"/>
    </row>
    <row r="55" spans="2:31" hidden="1" x14ac:dyDescent="0.25"/>
    <row r="56" spans="2:31" hidden="1" x14ac:dyDescent="0.25"/>
    <row r="57" spans="2:31" hidden="1" x14ac:dyDescent="0.25"/>
    <row r="58" spans="2:31" hidden="1" x14ac:dyDescent="0.25"/>
    <row r="59" spans="2:31" hidden="1" x14ac:dyDescent="0.25"/>
    <row r="60" spans="2:31" hidden="1" x14ac:dyDescent="0.25"/>
    <row r="61" spans="2:31" hidden="1" x14ac:dyDescent="0.25"/>
    <row r="62" spans="2:31" hidden="1" x14ac:dyDescent="0.25"/>
    <row r="63" spans="2:31" hidden="1" x14ac:dyDescent="0.25"/>
    <row r="64" spans="2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33" spans="1:31" s="4" customFormat="1" ht="25.5" customHeight="1" thickBot="1" x14ac:dyDescent="0.3">
      <c r="B133" s="62" t="s">
        <v>27</v>
      </c>
      <c r="C133" s="62"/>
      <c r="D133" s="62"/>
      <c r="E133" s="62"/>
      <c r="F133" s="62"/>
      <c r="G133" s="62"/>
      <c r="H133" s="62"/>
      <c r="I133" s="62"/>
      <c r="J133" s="62"/>
      <c r="K133" s="62"/>
      <c r="L133" s="62"/>
      <c r="M133" s="62"/>
      <c r="N133" s="62"/>
      <c r="O133" s="62"/>
      <c r="Z133" s="1"/>
    </row>
    <row r="134" spans="1:31" s="4" customFormat="1" ht="6" customHeight="1" x14ac:dyDescent="0.25">
      <c r="Z134" s="1"/>
    </row>
    <row r="135" spans="1:31" s="4" customFormat="1" ht="30" x14ac:dyDescent="0.25">
      <c r="C135" s="182">
        <v>2019</v>
      </c>
      <c r="D135" s="182">
        <v>2020</v>
      </c>
      <c r="E135" s="182">
        <v>2021</v>
      </c>
      <c r="F135" s="182">
        <v>2022</v>
      </c>
      <c r="G135" s="173" t="str">
        <f>CONCATENATE("var. ",RIGHT(F135,2),"/",RIGHT(E135,2))</f>
        <v>var. 22/21</v>
      </c>
      <c r="H135" s="173" t="str">
        <f>CONCATENATE("dif. ",RIGHT(F135,2),"/",RIGHT(E135,2))</f>
        <v>dif. 22/21</v>
      </c>
      <c r="I135" s="173" t="str">
        <f>CONCATENATE("%/s total Península ",RIGHT(F135,4))</f>
        <v>%/s total Península 2022</v>
      </c>
      <c r="J135" s="182">
        <v>2023</v>
      </c>
      <c r="K135" s="173" t="str">
        <f>CONCATENATE("%/s total España ",RIGHT(J135,4))</f>
        <v>%/s total España 2023</v>
      </c>
      <c r="L135" s="173" t="str">
        <f>CONCATENATE("var. ",RIGHT(J135,2),"/",RIGHT(F135,2))</f>
        <v>var. 23/22</v>
      </c>
      <c r="M135" s="173" t="str">
        <f>CONCATENATE("dif. ",RIGHT(J135,2),"/",RIGHT(F135,2))</f>
        <v>dif. 23/22</v>
      </c>
      <c r="N135" s="173" t="str">
        <f>CONCATENATE("var. ",RIGHT(J135,2),"/",RIGHT(C135,2))</f>
        <v>var. 23/19</v>
      </c>
      <c r="O135" s="173" t="str">
        <f>CONCATENATE("dif. ",RIGHT(J135,2),"/",RIGHT(C135,2))</f>
        <v>dif. 23/19</v>
      </c>
      <c r="Z135" s="1"/>
    </row>
    <row r="136" spans="1:31" ht="18.75" x14ac:dyDescent="0.3">
      <c r="A136" s="4"/>
      <c r="B136" s="224" t="s">
        <v>202</v>
      </c>
      <c r="C136" s="228">
        <v>1047557</v>
      </c>
      <c r="D136" s="228">
        <v>456683</v>
      </c>
      <c r="E136" s="228">
        <v>800301</v>
      </c>
      <c r="F136" s="228">
        <v>1016781</v>
      </c>
      <c r="G136" s="229">
        <f>F136/E136-1</f>
        <v>0.27049822504282761</v>
      </c>
      <c r="H136" s="228">
        <f>F136-E136</f>
        <v>216480</v>
      </c>
      <c r="I136" s="229">
        <f>F136/F$136</f>
        <v>1</v>
      </c>
      <c r="J136" s="228">
        <v>1041269</v>
      </c>
      <c r="K136" s="229">
        <f>H136/H$136</f>
        <v>1</v>
      </c>
      <c r="L136" s="229">
        <f>J136/F136-1</f>
        <v>2.4083848931087504E-2</v>
      </c>
      <c r="M136" s="228">
        <f>J136-F136</f>
        <v>24488</v>
      </c>
      <c r="N136" s="229">
        <f>J136/C136-1</f>
        <v>-6.0025373320974351E-3</v>
      </c>
      <c r="O136" s="228">
        <f>J136-C136</f>
        <v>-6288</v>
      </c>
      <c r="Q136" s="29"/>
      <c r="R136" s="79"/>
      <c r="Z136" s="1" t="s">
        <v>175</v>
      </c>
      <c r="AE136"/>
    </row>
    <row r="137" spans="1:31" s="4" customFormat="1" x14ac:dyDescent="0.25">
      <c r="B137" s="235" t="s">
        <v>44</v>
      </c>
      <c r="C137" s="252">
        <v>222987</v>
      </c>
      <c r="D137" s="252">
        <v>117997</v>
      </c>
      <c r="E137" s="252">
        <v>247584</v>
      </c>
      <c r="F137" s="252">
        <v>207208</v>
      </c>
      <c r="G137" s="258">
        <f t="shared" ref="G137:G146" si="12">F137/E137-1</f>
        <v>-0.16308000516996257</v>
      </c>
      <c r="H137" s="265">
        <f t="shared" ref="H137:H146" si="13">F137-E137</f>
        <v>-40376</v>
      </c>
      <c r="I137" s="260">
        <f t="shared" ref="I137:K146" si="14">F137/F$136</f>
        <v>0.20378822971711705</v>
      </c>
      <c r="J137" s="252">
        <v>181512</v>
      </c>
      <c r="K137" s="260">
        <f t="shared" si="14"/>
        <v>-0.18651145602365116</v>
      </c>
      <c r="L137" s="260">
        <f t="shared" ref="L137:L146" si="15">J137/F137-1</f>
        <v>-0.12401065595922933</v>
      </c>
      <c r="M137" s="259">
        <f t="shared" ref="M137:M146" si="16">J137-F137</f>
        <v>-25696</v>
      </c>
      <c r="N137" s="258">
        <f t="shared" ref="N137:N146" si="17">J137/C137-1</f>
        <v>-0.18599738998237569</v>
      </c>
      <c r="O137" s="252">
        <f t="shared" ref="O137:O146" si="18">J137-C137</f>
        <v>-41475</v>
      </c>
      <c r="Q137" s="29"/>
      <c r="R137" s="79"/>
      <c r="Z137" s="1" t="s">
        <v>177</v>
      </c>
    </row>
    <row r="138" spans="1:31" s="4" customFormat="1" x14ac:dyDescent="0.25">
      <c r="B138" s="235" t="s">
        <v>45</v>
      </c>
      <c r="C138" s="252">
        <v>127819</v>
      </c>
      <c r="D138" s="252">
        <v>51760</v>
      </c>
      <c r="E138" s="252">
        <v>83468</v>
      </c>
      <c r="F138" s="252">
        <v>123951</v>
      </c>
      <c r="G138" s="258">
        <f t="shared" si="12"/>
        <v>0.48501222025207258</v>
      </c>
      <c r="H138" s="265">
        <f t="shared" si="13"/>
        <v>40483</v>
      </c>
      <c r="I138" s="260">
        <f t="shared" si="14"/>
        <v>0.12190530704251948</v>
      </c>
      <c r="J138" s="252">
        <v>118966</v>
      </c>
      <c r="K138" s="260">
        <f t="shared" si="14"/>
        <v>0.18700572801182558</v>
      </c>
      <c r="L138" s="260">
        <f t="shared" si="15"/>
        <v>-4.0217505304515511E-2</v>
      </c>
      <c r="M138" s="259">
        <f t="shared" si="16"/>
        <v>-4985</v>
      </c>
      <c r="N138" s="258">
        <f t="shared" si="17"/>
        <v>-6.926200330154364E-2</v>
      </c>
      <c r="O138" s="252">
        <f t="shared" si="18"/>
        <v>-8853</v>
      </c>
      <c r="Q138" s="29"/>
      <c r="R138" s="79"/>
      <c r="Z138" s="1"/>
    </row>
    <row r="139" spans="1:31" s="4" customFormat="1" x14ac:dyDescent="0.25">
      <c r="B139" s="235" t="s">
        <v>46</v>
      </c>
      <c r="C139" s="252">
        <v>10509</v>
      </c>
      <c r="D139" s="252">
        <v>2339</v>
      </c>
      <c r="E139" s="252">
        <v>4950</v>
      </c>
      <c r="F139" s="252">
        <v>6762</v>
      </c>
      <c r="G139" s="258">
        <f t="shared" si="12"/>
        <v>0.36606060606060598</v>
      </c>
      <c r="H139" s="265">
        <f t="shared" si="13"/>
        <v>1812</v>
      </c>
      <c r="I139" s="260">
        <f t="shared" si="14"/>
        <v>6.6503996435810665E-3</v>
      </c>
      <c r="J139" s="252">
        <v>20250</v>
      </c>
      <c r="K139" s="264">
        <f t="shared" si="14"/>
        <v>8.3702882483370281E-3</v>
      </c>
      <c r="L139" s="260">
        <f t="shared" si="15"/>
        <v>1.9946761313220942</v>
      </c>
      <c r="M139" s="259">
        <f t="shared" si="16"/>
        <v>13488</v>
      </c>
      <c r="N139" s="258">
        <f t="shared" si="17"/>
        <v>0.92691978304310596</v>
      </c>
      <c r="O139" s="252">
        <f t="shared" si="18"/>
        <v>9741</v>
      </c>
      <c r="Q139" s="29"/>
      <c r="R139" s="79"/>
      <c r="Z139" s="1"/>
    </row>
    <row r="140" spans="1:31" s="4" customFormat="1" x14ac:dyDescent="0.25">
      <c r="B140" s="235" t="s">
        <v>48</v>
      </c>
      <c r="C140" s="252">
        <v>356283</v>
      </c>
      <c r="D140" s="252">
        <v>103133</v>
      </c>
      <c r="E140" s="252">
        <v>181693</v>
      </c>
      <c r="F140" s="252">
        <v>342343</v>
      </c>
      <c r="G140" s="258">
        <f t="shared" si="12"/>
        <v>0.8841837605191174</v>
      </c>
      <c r="H140" s="265">
        <f t="shared" si="13"/>
        <v>160650</v>
      </c>
      <c r="I140" s="260">
        <f t="shared" si="14"/>
        <v>0.33669295551352751</v>
      </c>
      <c r="J140" s="252">
        <v>341923</v>
      </c>
      <c r="K140" s="260">
        <f t="shared" si="14"/>
        <v>0.74210088691796006</v>
      </c>
      <c r="L140" s="260">
        <f t="shared" si="15"/>
        <v>-1.2268397484394011E-3</v>
      </c>
      <c r="M140" s="259">
        <f t="shared" si="16"/>
        <v>-420</v>
      </c>
      <c r="N140" s="258">
        <f t="shared" si="17"/>
        <v>-4.0305038410477056E-2</v>
      </c>
      <c r="O140" s="252">
        <f t="shared" si="18"/>
        <v>-14360</v>
      </c>
      <c r="Q140" s="29"/>
      <c r="R140" s="79"/>
      <c r="Z140" s="1"/>
    </row>
    <row r="141" spans="1:31" s="4" customFormat="1" x14ac:dyDescent="0.25">
      <c r="B141" s="235" t="s">
        <v>50</v>
      </c>
      <c r="C141" s="252">
        <v>31009</v>
      </c>
      <c r="D141" s="252">
        <v>30584</v>
      </c>
      <c r="E141" s="252">
        <v>44398</v>
      </c>
      <c r="F141" s="252">
        <v>48630</v>
      </c>
      <c r="G141" s="258">
        <f t="shared" si="12"/>
        <v>9.531960899139591E-2</v>
      </c>
      <c r="H141" s="265">
        <f t="shared" si="13"/>
        <v>4232</v>
      </c>
      <c r="I141" s="260">
        <f t="shared" si="14"/>
        <v>4.7827408261956111E-2</v>
      </c>
      <c r="J141" s="252">
        <v>55684</v>
      </c>
      <c r="K141" s="264">
        <f t="shared" si="14"/>
        <v>1.9549150036954916E-2</v>
      </c>
      <c r="L141" s="260">
        <f t="shared" si="15"/>
        <v>0.14505449311124829</v>
      </c>
      <c r="M141" s="259">
        <f t="shared" si="16"/>
        <v>7054</v>
      </c>
      <c r="N141" s="258">
        <f t="shared" si="17"/>
        <v>0.79573672159695574</v>
      </c>
      <c r="O141" s="252">
        <f t="shared" si="18"/>
        <v>24675</v>
      </c>
      <c r="Q141" s="29"/>
      <c r="R141" s="79"/>
      <c r="Z141" s="1"/>
    </row>
    <row r="142" spans="1:31" s="4" customFormat="1" x14ac:dyDescent="0.25">
      <c r="B142" s="235" t="s">
        <v>51</v>
      </c>
      <c r="C142" s="252">
        <v>120142</v>
      </c>
      <c r="D142" s="252">
        <v>61571</v>
      </c>
      <c r="E142" s="252">
        <v>104557</v>
      </c>
      <c r="F142" s="252">
        <v>134886</v>
      </c>
      <c r="G142" s="258">
        <f t="shared" si="12"/>
        <v>0.29007144428397913</v>
      </c>
      <c r="H142" s="265">
        <f t="shared" si="13"/>
        <v>30329</v>
      </c>
      <c r="I142" s="260">
        <f t="shared" si="14"/>
        <v>0.13265983530376749</v>
      </c>
      <c r="J142" s="252">
        <v>146430</v>
      </c>
      <c r="K142" s="260">
        <f t="shared" si="14"/>
        <v>0.14010070214338508</v>
      </c>
      <c r="L142" s="260">
        <f t="shared" si="15"/>
        <v>8.5583381522174262E-2</v>
      </c>
      <c r="M142" s="259">
        <f t="shared" si="16"/>
        <v>11544</v>
      </c>
      <c r="N142" s="258">
        <f t="shared" si="17"/>
        <v>0.21880774416939963</v>
      </c>
      <c r="O142" s="252">
        <f t="shared" si="18"/>
        <v>26288</v>
      </c>
      <c r="Q142" s="29"/>
      <c r="R142" s="79"/>
      <c r="Z142" s="1"/>
    </row>
    <row r="143" spans="1:31" s="4" customFormat="1" x14ac:dyDescent="0.25">
      <c r="B143" s="235" t="s">
        <v>49</v>
      </c>
      <c r="C143" s="252">
        <v>37119</v>
      </c>
      <c r="D143" s="252">
        <v>16023</v>
      </c>
      <c r="E143" s="252">
        <v>21732</v>
      </c>
      <c r="F143" s="252">
        <v>33809</v>
      </c>
      <c r="G143" s="258">
        <f t="shared" si="12"/>
        <v>0.55572427756304066</v>
      </c>
      <c r="H143" s="265">
        <f t="shared" si="13"/>
        <v>12077</v>
      </c>
      <c r="I143" s="260">
        <f t="shared" si="14"/>
        <v>3.3251014721950939E-2</v>
      </c>
      <c r="J143" s="252">
        <v>37722</v>
      </c>
      <c r="K143" s="264">
        <f t="shared" si="14"/>
        <v>5.5788063562453805E-2</v>
      </c>
      <c r="L143" s="260">
        <f t="shared" si="15"/>
        <v>0.11573841284864983</v>
      </c>
      <c r="M143" s="259">
        <f t="shared" si="16"/>
        <v>3913</v>
      </c>
      <c r="N143" s="258">
        <f t="shared" si="17"/>
        <v>1.6245049705002845E-2</v>
      </c>
      <c r="O143" s="252">
        <f t="shared" si="18"/>
        <v>603</v>
      </c>
      <c r="Q143" s="29"/>
      <c r="R143" s="79"/>
      <c r="Z143" s="1"/>
    </row>
    <row r="144" spans="1:31" s="4" customFormat="1" x14ac:dyDescent="0.25">
      <c r="B144" s="235" t="s">
        <v>52</v>
      </c>
      <c r="C144" s="252">
        <v>45577</v>
      </c>
      <c r="D144" s="252">
        <v>26839</v>
      </c>
      <c r="E144" s="252">
        <v>45216</v>
      </c>
      <c r="F144" s="252">
        <v>29061</v>
      </c>
      <c r="G144" s="258">
        <f t="shared" si="12"/>
        <v>-0.35728503184713378</v>
      </c>
      <c r="H144" s="265">
        <f t="shared" si="13"/>
        <v>-16155</v>
      </c>
      <c r="I144" s="260">
        <f t="shared" si="14"/>
        <v>2.8581375930510109E-2</v>
      </c>
      <c r="J144" s="252">
        <v>32018</v>
      </c>
      <c r="K144" s="260">
        <f t="shared" si="14"/>
        <v>-7.4625831485587588E-2</v>
      </c>
      <c r="L144" s="260">
        <f t="shared" si="15"/>
        <v>0.10175148824885594</v>
      </c>
      <c r="M144" s="259">
        <f t="shared" si="16"/>
        <v>2957</v>
      </c>
      <c r="N144" s="258">
        <f t="shared" si="17"/>
        <v>-0.29749654430962991</v>
      </c>
      <c r="O144" s="252">
        <f t="shared" si="18"/>
        <v>-13559</v>
      </c>
      <c r="Q144" s="29"/>
      <c r="R144" s="79"/>
      <c r="Z144" s="1"/>
    </row>
    <row r="145" spans="2:31" s="4" customFormat="1" x14ac:dyDescent="0.25">
      <c r="B145" s="235" t="s">
        <v>47</v>
      </c>
      <c r="C145" s="252">
        <v>41904</v>
      </c>
      <c r="D145" s="252">
        <v>24273</v>
      </c>
      <c r="E145" s="252">
        <v>26311</v>
      </c>
      <c r="F145" s="252">
        <v>32375</v>
      </c>
      <c r="G145" s="258">
        <f t="shared" si="12"/>
        <v>0.23047394625821904</v>
      </c>
      <c r="H145" s="265">
        <f t="shared" si="13"/>
        <v>6064</v>
      </c>
      <c r="I145" s="260">
        <f t="shared" si="14"/>
        <v>3.1840681523356555E-2</v>
      </c>
      <c r="J145" s="252">
        <v>47068</v>
      </c>
      <c r="K145" s="264">
        <f t="shared" si="14"/>
        <v>2.8011825572801182E-2</v>
      </c>
      <c r="L145" s="260">
        <f t="shared" si="15"/>
        <v>0.45383783783783782</v>
      </c>
      <c r="M145" s="259">
        <f t="shared" si="16"/>
        <v>14693</v>
      </c>
      <c r="N145" s="258">
        <f t="shared" si="17"/>
        <v>0.12323405880106919</v>
      </c>
      <c r="O145" s="252">
        <f t="shared" si="18"/>
        <v>5164</v>
      </c>
      <c r="Q145" s="29"/>
      <c r="R145" s="79"/>
      <c r="Z145" s="1"/>
    </row>
    <row r="146" spans="2:31" s="4" customFormat="1" x14ac:dyDescent="0.25">
      <c r="B146" s="235" t="s">
        <v>203</v>
      </c>
      <c r="C146" s="252">
        <f>C136-SUM(C137:C145)</f>
        <v>54208</v>
      </c>
      <c r="D146" s="252">
        <f>D136-SUM(D137:D145)</f>
        <v>22164</v>
      </c>
      <c r="E146" s="252">
        <f>E136-SUM(E137:E145)</f>
        <v>40392</v>
      </c>
      <c r="F146" s="252">
        <f>F136-SUM(F137:F145)</f>
        <v>57756</v>
      </c>
      <c r="G146" s="258">
        <f t="shared" si="12"/>
        <v>0.42988710635769456</v>
      </c>
      <c r="H146" s="265">
        <f t="shared" si="13"/>
        <v>17364</v>
      </c>
      <c r="I146" s="260">
        <f t="shared" si="14"/>
        <v>5.6802792341713704E-2</v>
      </c>
      <c r="J146" s="252">
        <f>J136-SUM(J137:J145)</f>
        <v>59696</v>
      </c>
      <c r="K146" s="260">
        <f t="shared" si="14"/>
        <v>8.0210643015521069E-2</v>
      </c>
      <c r="L146" s="260">
        <f t="shared" si="15"/>
        <v>3.3589583766188813E-2</v>
      </c>
      <c r="M146" s="259">
        <f t="shared" si="16"/>
        <v>1940</v>
      </c>
      <c r="N146" s="258">
        <f t="shared" si="17"/>
        <v>0.10123966942148765</v>
      </c>
      <c r="O146" s="252">
        <f t="shared" si="18"/>
        <v>5488</v>
      </c>
      <c r="Q146" s="29"/>
      <c r="R146" s="79"/>
      <c r="Z146" s="1"/>
    </row>
    <row r="147" spans="2:31" s="4" customFormat="1" ht="7.5" customHeight="1" x14ac:dyDescent="0.25">
      <c r="B147" s="236"/>
      <c r="C147" s="236"/>
      <c r="D147" s="236"/>
      <c r="E147" s="236"/>
      <c r="F147" s="236"/>
      <c r="G147" s="236"/>
      <c r="H147" s="236"/>
      <c r="I147" s="236"/>
      <c r="J147" s="236"/>
      <c r="K147" s="236"/>
      <c r="L147" s="236"/>
      <c r="M147" s="236"/>
      <c r="N147" s="236"/>
      <c r="O147" s="236"/>
      <c r="Z147" s="1" t="s">
        <v>182</v>
      </c>
    </row>
    <row r="148" spans="2:31" s="4" customFormat="1" x14ac:dyDescent="0.25">
      <c r="B148" s="125" t="s">
        <v>183</v>
      </c>
      <c r="C148" s="125"/>
      <c r="D148" s="125"/>
      <c r="E148" s="125"/>
      <c r="F148" s="125"/>
      <c r="G148" s="125"/>
      <c r="H148" s="125"/>
      <c r="I148" s="125"/>
      <c r="J148" s="125"/>
      <c r="K148" s="125"/>
      <c r="L148" s="125"/>
      <c r="M148" s="125"/>
      <c r="N148" s="125"/>
      <c r="O148" s="125"/>
      <c r="Z148" s="1" t="s">
        <v>184</v>
      </c>
    </row>
    <row r="149" spans="2:31" x14ac:dyDescent="0.25">
      <c r="Z149" s="1"/>
      <c r="AE149"/>
    </row>
  </sheetData>
  <mergeCells count="2">
    <mergeCell ref="B42:S42"/>
    <mergeCell ref="B52:S5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FB61DF-7AB8-48F7-9291-FE2C785069F8}">
  <sheetPr>
    <tabColor theme="4" tint="0.39997558519241921"/>
  </sheetPr>
  <dimension ref="A1:AE14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13" width="14.7109375" customWidth="1"/>
    <col min="14" max="14" width="11.42578125" customWidth="1"/>
    <col min="15" max="15" width="14.7109375" customWidth="1"/>
    <col min="27" max="27" width="14" customWidth="1"/>
    <col min="31" max="31" width="11.42578125" style="1"/>
  </cols>
  <sheetData>
    <row r="1" spans="1:31" ht="30" customHeight="1" x14ac:dyDescent="0.25">
      <c r="B1" s="1" t="s">
        <v>204</v>
      </c>
      <c r="G1" s="223"/>
      <c r="H1" s="223"/>
      <c r="I1" s="223"/>
      <c r="K1" s="223"/>
    </row>
    <row r="3" spans="1:31" s="4" customFormat="1" ht="25.5" customHeight="1" thickBot="1" x14ac:dyDescent="0.3">
      <c r="B3" s="62" t="s">
        <v>28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45" x14ac:dyDescent="0.25">
      <c r="C5" s="241" t="s">
        <v>262</v>
      </c>
      <c r="D5" s="241" t="s">
        <v>263</v>
      </c>
      <c r="E5" s="241" t="s">
        <v>269</v>
      </c>
      <c r="F5" s="242" t="str">
        <f>CONCATENATE("%/s total Tenerife ",RIGHT(E5,4))</f>
        <v>%/s total Tenerife 2021</v>
      </c>
      <c r="G5" s="241" t="s">
        <v>264</v>
      </c>
      <c r="H5" s="242" t="str">
        <f>CONCATENATE("var. ",RIGHT(G5,2),"/",RIGHT(E5,2))</f>
        <v>var. 22/21</v>
      </c>
      <c r="I5" s="242" t="str">
        <f>CONCATENATE("dif. ",RIGHT(G5,2),"/",RIGHT(E5,2))</f>
        <v>dif. 22/21</v>
      </c>
      <c r="J5" s="242" t="str">
        <f>CONCATENATE("%/s total Tenerife ",RIGHT(G5,4))</f>
        <v>%/s total Tenerife 2022</v>
      </c>
      <c r="K5" s="241" t="s">
        <v>265</v>
      </c>
      <c r="L5" s="242" t="str">
        <f>CONCATENATE("var. ",RIGHT(K5,2),"/",RIGHT(G5,2))</f>
        <v>var. 23/22</v>
      </c>
      <c r="M5" s="242" t="str">
        <f>CONCATENATE("dif. ",RIGHT(K5,2),"/",RIGHT(G5,2))</f>
        <v>dif. 23/22</v>
      </c>
      <c r="N5" s="242" t="str">
        <f>CONCATENATE("%/s total Tenerife ",RIGHT(K5,4))</f>
        <v>%/s total Tenerife 2023</v>
      </c>
      <c r="O5" s="241" t="s">
        <v>266</v>
      </c>
      <c r="P5" s="242" t="str">
        <f>CONCATENATE("var. ",RIGHT(O5,2),"/",RIGHT(K5,2))</f>
        <v>var. 24/23</v>
      </c>
      <c r="Q5" s="242" t="str">
        <f>CONCATENATE("dif. ",RIGHT(O5,2),"/",RIGHT(K5,2))</f>
        <v>dif. 24/23</v>
      </c>
      <c r="R5" s="242" t="str">
        <f>CONCATENATE("var. ",RIGHT(O5,2),"/",RIGHT(C5,2))</f>
        <v>var. 24/19</v>
      </c>
      <c r="S5" s="242" t="str">
        <f>CONCATENATE("dif. ",RIGHT(O5,2),"/",RIGHT(C5,2))</f>
        <v>dif. 24/19</v>
      </c>
      <c r="T5" s="242" t="str">
        <f>CONCATENATE("%/s total Tenerife ",RIGHT(O5,4))</f>
        <v>%/s total Tenerife 2024</v>
      </c>
      <c r="AE5" s="1"/>
    </row>
    <row r="6" spans="1:31" ht="18.75" x14ac:dyDescent="0.3">
      <c r="A6" s="4"/>
      <c r="B6" s="224" t="s">
        <v>202</v>
      </c>
      <c r="C6" s="243">
        <v>495721</v>
      </c>
      <c r="D6" s="243">
        <v>204209</v>
      </c>
      <c r="E6" s="243">
        <v>281277</v>
      </c>
      <c r="F6" s="244">
        <f>E6/$E$6</f>
        <v>1</v>
      </c>
      <c r="G6" s="243">
        <v>460086</v>
      </c>
      <c r="H6" s="244">
        <f>G6/E6-1</f>
        <v>0.63570430571998426</v>
      </c>
      <c r="I6" s="243">
        <f>G6-E6</f>
        <v>178809</v>
      </c>
      <c r="J6" s="244">
        <f>G6/$G$6</f>
        <v>1</v>
      </c>
      <c r="K6" s="243">
        <v>482014</v>
      </c>
      <c r="L6" s="244">
        <f>K6/G6-1</f>
        <v>4.7660654747155862E-2</v>
      </c>
      <c r="M6" s="243">
        <f>K6-G6</f>
        <v>21928</v>
      </c>
      <c r="N6" s="244">
        <f>K6/$K$6</f>
        <v>1</v>
      </c>
      <c r="O6" s="243">
        <v>496711</v>
      </c>
      <c r="P6" s="244">
        <f>O6/K6-1</f>
        <v>3.0490815619463429E-2</v>
      </c>
      <c r="Q6" s="243">
        <f>O6-K6</f>
        <v>14697</v>
      </c>
      <c r="R6" s="244">
        <f>IFERROR(O6/C6-1,"-")</f>
        <v>1.9970911056823581E-3</v>
      </c>
      <c r="S6" s="243">
        <f>O6-C6</f>
        <v>990</v>
      </c>
      <c r="T6" s="244">
        <f>O6/$O$6</f>
        <v>1</v>
      </c>
      <c r="V6" s="29"/>
      <c r="W6" s="79"/>
      <c r="AE6" s="1" t="s">
        <v>175</v>
      </c>
    </row>
    <row r="7" spans="1:31" s="4" customFormat="1" x14ac:dyDescent="0.25">
      <c r="B7" s="235" t="s">
        <v>44</v>
      </c>
      <c r="C7" s="252">
        <v>88532</v>
      </c>
      <c r="D7" s="252">
        <v>33771</v>
      </c>
      <c r="E7" s="252">
        <v>97863</v>
      </c>
      <c r="F7" s="258">
        <f t="shared" ref="F7:F16" si="0">E7/$E$6</f>
        <v>0.34792393263580029</v>
      </c>
      <c r="G7" s="252">
        <v>97931</v>
      </c>
      <c r="H7" s="260">
        <f>G7/E7-1</f>
        <v>6.9484892145132982E-4</v>
      </c>
      <c r="I7" s="259">
        <f>G7-E7</f>
        <v>68</v>
      </c>
      <c r="J7" s="258">
        <f>G7/$G$6</f>
        <v>0.21285368387649264</v>
      </c>
      <c r="K7" s="252">
        <v>85390</v>
      </c>
      <c r="L7" s="260">
        <f>K7/G7-1</f>
        <v>-0.12805955213364517</v>
      </c>
      <c r="M7" s="259">
        <f>K7-G7</f>
        <v>-12541</v>
      </c>
      <c r="N7" s="258">
        <f>K7/$K$6</f>
        <v>0.1771525308393532</v>
      </c>
      <c r="O7" s="252">
        <v>81243</v>
      </c>
      <c r="P7" s="260">
        <f>O7/K7-1</f>
        <v>-4.8565405785220728E-2</v>
      </c>
      <c r="Q7" s="259">
        <f>O7-K7</f>
        <v>-4147</v>
      </c>
      <c r="R7" s="260">
        <f t="shared" ref="R7:R16" si="1">IFERROR(O7/C7-1,"-")</f>
        <v>-8.2331812226087764E-2</v>
      </c>
      <c r="S7" s="259">
        <f t="shared" ref="S7:S16" si="2">O7-C7</f>
        <v>-7289</v>
      </c>
      <c r="T7" s="258">
        <f>O7/$O$6</f>
        <v>0.16356191024559552</v>
      </c>
      <c r="V7" s="29"/>
      <c r="W7" s="79"/>
      <c r="AE7" s="1" t="s">
        <v>177</v>
      </c>
    </row>
    <row r="8" spans="1:31" s="4" customFormat="1" x14ac:dyDescent="0.25">
      <c r="B8" s="235" t="s">
        <v>45</v>
      </c>
      <c r="C8" s="252">
        <v>60203</v>
      </c>
      <c r="D8" s="252">
        <v>18052</v>
      </c>
      <c r="E8" s="252">
        <v>26434</v>
      </c>
      <c r="F8" s="258">
        <f t="shared" si="0"/>
        <v>9.3978533616328394E-2</v>
      </c>
      <c r="G8" s="252">
        <v>59034</v>
      </c>
      <c r="H8" s="260">
        <f t="shared" ref="H8:H16" si="3">G8/E8-1</f>
        <v>1.2332601952031474</v>
      </c>
      <c r="I8" s="259">
        <f t="shared" ref="I8:I16" si="4">G8-E8</f>
        <v>32600</v>
      </c>
      <c r="J8" s="258">
        <f t="shared" ref="J8:J16" si="5">G8/$G$6</f>
        <v>0.12831079406893495</v>
      </c>
      <c r="K8" s="252">
        <v>52383</v>
      </c>
      <c r="L8" s="260">
        <f t="shared" ref="L8:L16" si="6">K8/G8-1</f>
        <v>-0.11266388860656573</v>
      </c>
      <c r="M8" s="259">
        <f t="shared" ref="M8:M16" si="7">K8-G8</f>
        <v>-6651</v>
      </c>
      <c r="N8" s="258">
        <f t="shared" ref="N8:N16" si="8">K8/$K$6</f>
        <v>0.10867526669349853</v>
      </c>
      <c r="O8" s="252">
        <v>49661</v>
      </c>
      <c r="P8" s="260">
        <f t="shared" ref="P8:P16" si="9">O8/K8-1</f>
        <v>-5.1963423248000296E-2</v>
      </c>
      <c r="Q8" s="259">
        <f t="shared" ref="Q8:Q16" si="10">O8-K8</f>
        <v>-2722</v>
      </c>
      <c r="R8" s="260">
        <f t="shared" si="1"/>
        <v>-0.17510755277976175</v>
      </c>
      <c r="S8" s="259">
        <f t="shared" si="2"/>
        <v>-10542</v>
      </c>
      <c r="T8" s="258">
        <f t="shared" ref="T8:T16" si="11">O8/$O$6</f>
        <v>9.9979666244556689E-2</v>
      </c>
      <c r="V8" s="29"/>
      <c r="W8" s="79"/>
      <c r="AE8" s="1"/>
    </row>
    <row r="9" spans="1:31" s="4" customFormat="1" x14ac:dyDescent="0.25">
      <c r="B9" s="235" t="s">
        <v>46</v>
      </c>
      <c r="C9" s="252">
        <v>3531</v>
      </c>
      <c r="D9" s="252">
        <v>626</v>
      </c>
      <c r="E9" s="252">
        <v>1949</v>
      </c>
      <c r="F9" s="253">
        <f t="shared" si="0"/>
        <v>6.9291125829698125E-3</v>
      </c>
      <c r="G9" s="252">
        <v>2041</v>
      </c>
      <c r="H9" s="264">
        <f t="shared" si="3"/>
        <v>4.7203694202154978E-2</v>
      </c>
      <c r="I9" s="255">
        <f t="shared" si="4"/>
        <v>92</v>
      </c>
      <c r="J9" s="253">
        <f t="shared" si="5"/>
        <v>4.4361271588355218E-3</v>
      </c>
      <c r="K9" s="252">
        <v>4123</v>
      </c>
      <c r="L9" s="260">
        <f t="shared" si="6"/>
        <v>1.0200881920627145</v>
      </c>
      <c r="M9" s="259">
        <f t="shared" si="7"/>
        <v>2082</v>
      </c>
      <c r="N9" s="258">
        <f t="shared" si="8"/>
        <v>8.5536934611857747E-3</v>
      </c>
      <c r="O9" s="252">
        <v>2811</v>
      </c>
      <c r="P9" s="260">
        <f t="shared" si="9"/>
        <v>-0.31821489206888187</v>
      </c>
      <c r="Q9" s="259">
        <f t="shared" si="10"/>
        <v>-1312</v>
      </c>
      <c r="R9" s="260">
        <f t="shared" si="1"/>
        <v>-0.20390824129141882</v>
      </c>
      <c r="S9" s="259">
        <f t="shared" si="2"/>
        <v>-720</v>
      </c>
      <c r="T9" s="258">
        <f t="shared" si="11"/>
        <v>5.659226391201322E-3</v>
      </c>
      <c r="V9" s="29"/>
      <c r="W9" s="79"/>
      <c r="AE9" s="1"/>
    </row>
    <row r="10" spans="1:31" s="4" customFormat="1" x14ac:dyDescent="0.25">
      <c r="B10" s="235" t="s">
        <v>48</v>
      </c>
      <c r="C10" s="252">
        <v>223870</v>
      </c>
      <c r="D10" s="252">
        <v>58827</v>
      </c>
      <c r="E10" s="252">
        <v>81037</v>
      </c>
      <c r="F10" s="258">
        <f t="shared" si="0"/>
        <v>0.28810389758138777</v>
      </c>
      <c r="G10" s="252">
        <v>191127</v>
      </c>
      <c r="H10" s="260">
        <f t="shared" si="3"/>
        <v>1.3585152461221419</v>
      </c>
      <c r="I10" s="259">
        <f t="shared" si="4"/>
        <v>110090</v>
      </c>
      <c r="J10" s="258">
        <f t="shared" si="5"/>
        <v>0.41541581356528995</v>
      </c>
      <c r="K10" s="252">
        <v>201213</v>
      </c>
      <c r="L10" s="260">
        <f t="shared" si="6"/>
        <v>5.2771194022822598E-2</v>
      </c>
      <c r="M10" s="259">
        <f t="shared" si="7"/>
        <v>10086</v>
      </c>
      <c r="N10" s="258">
        <f t="shared" si="8"/>
        <v>0.41744223196836605</v>
      </c>
      <c r="O10" s="252">
        <v>219443</v>
      </c>
      <c r="P10" s="260">
        <f t="shared" si="9"/>
        <v>9.0600507919468498E-2</v>
      </c>
      <c r="Q10" s="259">
        <f t="shared" si="10"/>
        <v>18230</v>
      </c>
      <c r="R10" s="260">
        <f t="shared" si="1"/>
        <v>-1.977486934381556E-2</v>
      </c>
      <c r="S10" s="259">
        <f t="shared" si="2"/>
        <v>-4427</v>
      </c>
      <c r="T10" s="258">
        <f>O10/$O$6</f>
        <v>0.4417921084896449</v>
      </c>
      <c r="V10" s="29"/>
      <c r="W10" s="79"/>
      <c r="AE10" s="1"/>
    </row>
    <row r="11" spans="1:31" s="4" customFormat="1" x14ac:dyDescent="0.25">
      <c r="B11" s="235" t="s">
        <v>50</v>
      </c>
      <c r="C11" s="252">
        <v>14514</v>
      </c>
      <c r="D11" s="252">
        <v>22315</v>
      </c>
      <c r="E11" s="252">
        <v>15909</v>
      </c>
      <c r="F11" s="253">
        <f t="shared" si="0"/>
        <v>5.6559903582589402E-2</v>
      </c>
      <c r="G11" s="252">
        <v>24254</v>
      </c>
      <c r="H11" s="264">
        <f t="shared" si="3"/>
        <v>0.52454585454774016</v>
      </c>
      <c r="I11" s="255">
        <f t="shared" si="4"/>
        <v>8345</v>
      </c>
      <c r="J11" s="253">
        <f t="shared" si="5"/>
        <v>5.2716231313276213E-2</v>
      </c>
      <c r="K11" s="252">
        <v>26621</v>
      </c>
      <c r="L11" s="260">
        <f t="shared" si="6"/>
        <v>9.7592149748495061E-2</v>
      </c>
      <c r="M11" s="259">
        <f t="shared" si="7"/>
        <v>2367</v>
      </c>
      <c r="N11" s="258">
        <f t="shared" si="8"/>
        <v>5.5228686303717321E-2</v>
      </c>
      <c r="O11" s="252">
        <v>27150</v>
      </c>
      <c r="P11" s="260">
        <f t="shared" si="9"/>
        <v>1.9871529995116655E-2</v>
      </c>
      <c r="Q11" s="259">
        <f t="shared" si="10"/>
        <v>529</v>
      </c>
      <c r="R11" s="260">
        <f t="shared" si="1"/>
        <v>0.87060768912773878</v>
      </c>
      <c r="S11" s="259">
        <f t="shared" si="2"/>
        <v>12636</v>
      </c>
      <c r="T11" s="258">
        <f t="shared" si="11"/>
        <v>5.4659550523342544E-2</v>
      </c>
      <c r="V11" s="29"/>
      <c r="W11" s="79"/>
      <c r="AE11" s="1"/>
    </row>
    <row r="12" spans="1:31" s="4" customFormat="1" x14ac:dyDescent="0.25">
      <c r="B12" s="235" t="s">
        <v>51</v>
      </c>
      <c r="C12" s="252">
        <v>43263</v>
      </c>
      <c r="D12" s="252">
        <v>19639</v>
      </c>
      <c r="E12" s="252">
        <v>33892</v>
      </c>
      <c r="F12" s="258">
        <f t="shared" si="0"/>
        <v>0.12049332153002201</v>
      </c>
      <c r="G12" s="252">
        <v>46536</v>
      </c>
      <c r="H12" s="260">
        <f t="shared" si="3"/>
        <v>0.37306739053463955</v>
      </c>
      <c r="I12" s="259">
        <f t="shared" si="4"/>
        <v>12644</v>
      </c>
      <c r="J12" s="258">
        <f t="shared" si="5"/>
        <v>0.10114630742948058</v>
      </c>
      <c r="K12" s="252">
        <v>59509</v>
      </c>
      <c r="L12" s="260">
        <f t="shared" si="6"/>
        <v>0.2787734227264913</v>
      </c>
      <c r="M12" s="259">
        <f t="shared" si="7"/>
        <v>12973</v>
      </c>
      <c r="N12" s="258">
        <f t="shared" si="8"/>
        <v>0.12345906965357853</v>
      </c>
      <c r="O12" s="252">
        <v>58416</v>
      </c>
      <c r="P12" s="260">
        <f t="shared" si="9"/>
        <v>-1.8366969702061864E-2</v>
      </c>
      <c r="Q12" s="259">
        <f t="shared" si="10"/>
        <v>-1093</v>
      </c>
      <c r="R12" s="260">
        <f t="shared" si="1"/>
        <v>0.35025310311351499</v>
      </c>
      <c r="S12" s="259">
        <f t="shared" si="2"/>
        <v>15153</v>
      </c>
      <c r="T12" s="258">
        <f t="shared" si="11"/>
        <v>0.11760560970061061</v>
      </c>
      <c r="V12" s="29"/>
      <c r="W12" s="79"/>
      <c r="AE12" s="1"/>
    </row>
    <row r="13" spans="1:31" s="4" customFormat="1" x14ac:dyDescent="0.25">
      <c r="B13" s="235" t="s">
        <v>49</v>
      </c>
      <c r="C13" s="252">
        <v>13348</v>
      </c>
      <c r="D13" s="252">
        <v>5101</v>
      </c>
      <c r="E13" s="252">
        <v>6944</v>
      </c>
      <c r="F13" s="253">
        <f t="shared" si="0"/>
        <v>2.4687407786630262E-2</v>
      </c>
      <c r="G13" s="252">
        <v>12895</v>
      </c>
      <c r="H13" s="264">
        <f t="shared" si="3"/>
        <v>0.85699884792626735</v>
      </c>
      <c r="I13" s="255">
        <f t="shared" si="4"/>
        <v>5951</v>
      </c>
      <c r="J13" s="253">
        <f t="shared" si="5"/>
        <v>2.8027368796268524E-2</v>
      </c>
      <c r="K13" s="252">
        <v>20325</v>
      </c>
      <c r="L13" s="260">
        <f t="shared" si="6"/>
        <v>0.57619232260566111</v>
      </c>
      <c r="M13" s="259">
        <f t="shared" si="7"/>
        <v>7430</v>
      </c>
      <c r="N13" s="258">
        <f t="shared" si="8"/>
        <v>4.2166825029978379E-2</v>
      </c>
      <c r="O13" s="252">
        <v>17951</v>
      </c>
      <c r="P13" s="260">
        <f t="shared" si="9"/>
        <v>-0.11680196801968024</v>
      </c>
      <c r="Q13" s="259">
        <f t="shared" si="10"/>
        <v>-2374</v>
      </c>
      <c r="R13" s="260">
        <f t="shared" si="1"/>
        <v>0.34484566976326048</v>
      </c>
      <c r="S13" s="259">
        <f t="shared" si="2"/>
        <v>4603</v>
      </c>
      <c r="T13" s="258">
        <f t="shared" si="11"/>
        <v>3.6139727125028435E-2</v>
      </c>
      <c r="V13" s="29"/>
      <c r="W13" s="79"/>
      <c r="AE13" s="1"/>
    </row>
    <row r="14" spans="1:31" s="4" customFormat="1" x14ac:dyDescent="0.25">
      <c r="B14" s="235" t="s">
        <v>52</v>
      </c>
      <c r="C14" s="252">
        <v>16407</v>
      </c>
      <c r="D14" s="252">
        <v>4587</v>
      </c>
      <c r="E14" s="252">
        <v>9019</v>
      </c>
      <c r="F14" s="258">
        <f t="shared" si="0"/>
        <v>3.2064477365728448E-2</v>
      </c>
      <c r="G14" s="252">
        <v>7256</v>
      </c>
      <c r="H14" s="260">
        <f t="shared" si="3"/>
        <v>-0.19547621687548511</v>
      </c>
      <c r="I14" s="259">
        <f t="shared" si="4"/>
        <v>-1763</v>
      </c>
      <c r="J14" s="258">
        <f t="shared" si="5"/>
        <v>1.5770964558799876E-2</v>
      </c>
      <c r="K14" s="252">
        <v>9010</v>
      </c>
      <c r="L14" s="260">
        <f t="shared" si="6"/>
        <v>0.24173098125689085</v>
      </c>
      <c r="M14" s="259">
        <f t="shared" si="7"/>
        <v>1754</v>
      </c>
      <c r="N14" s="258">
        <f t="shared" si="8"/>
        <v>1.8692403125220428E-2</v>
      </c>
      <c r="O14" s="252">
        <v>7991</v>
      </c>
      <c r="P14" s="260">
        <f t="shared" si="9"/>
        <v>-0.11309655937846841</v>
      </c>
      <c r="Q14" s="259">
        <f t="shared" si="10"/>
        <v>-1019</v>
      </c>
      <c r="R14" s="260">
        <f t="shared" si="1"/>
        <v>-0.512951788870604</v>
      </c>
      <c r="S14" s="259">
        <f t="shared" si="2"/>
        <v>-8416</v>
      </c>
      <c r="T14" s="258">
        <f t="shared" si="11"/>
        <v>1.6087825717570177E-2</v>
      </c>
      <c r="V14" s="29"/>
      <c r="W14" s="79"/>
      <c r="AE14" s="1"/>
    </row>
    <row r="15" spans="1:31" s="4" customFormat="1" x14ac:dyDescent="0.25">
      <c r="B15" s="235" t="s">
        <v>47</v>
      </c>
      <c r="C15" s="252">
        <v>15258</v>
      </c>
      <c r="D15" s="252">
        <v>10850</v>
      </c>
      <c r="E15" s="252">
        <v>2574</v>
      </c>
      <c r="F15" s="253">
        <f t="shared" si="0"/>
        <v>9.1511214923367355E-3</v>
      </c>
      <c r="G15" s="252">
        <v>6675</v>
      </c>
      <c r="H15" s="264">
        <f t="shared" si="3"/>
        <v>1.5932400932400932</v>
      </c>
      <c r="I15" s="255">
        <f t="shared" si="4"/>
        <v>4101</v>
      </c>
      <c r="J15" s="253">
        <f t="shared" si="5"/>
        <v>1.4508157170615928E-2</v>
      </c>
      <c r="K15" s="252">
        <v>10712</v>
      </c>
      <c r="L15" s="260">
        <f t="shared" si="6"/>
        <v>0.60479400749063661</v>
      </c>
      <c r="M15" s="259">
        <f t="shared" si="7"/>
        <v>4037</v>
      </c>
      <c r="N15" s="258">
        <f t="shared" si="8"/>
        <v>2.2223420896488485E-2</v>
      </c>
      <c r="O15" s="252">
        <v>17927</v>
      </c>
      <c r="P15" s="260">
        <f t="shared" si="9"/>
        <v>0.67354368932038833</v>
      </c>
      <c r="Q15" s="259">
        <f t="shared" si="10"/>
        <v>7215</v>
      </c>
      <c r="R15" s="260">
        <f t="shared" si="1"/>
        <v>0.17492462970245115</v>
      </c>
      <c r="S15" s="259">
        <f t="shared" si="2"/>
        <v>2669</v>
      </c>
      <c r="T15" s="258">
        <f t="shared" si="11"/>
        <v>3.6091409290311668E-2</v>
      </c>
      <c r="V15" s="29"/>
      <c r="W15" s="79"/>
      <c r="AE15" s="1"/>
    </row>
    <row r="16" spans="1:31" s="4" customFormat="1" x14ac:dyDescent="0.25">
      <c r="B16" s="235" t="s">
        <v>203</v>
      </c>
      <c r="C16" s="252">
        <f>C6-SUM(C7:C15)</f>
        <v>16795</v>
      </c>
      <c r="D16" s="252">
        <f>D6-SUM(D7:D15)</f>
        <v>30441</v>
      </c>
      <c r="E16" s="252">
        <f>E6-SUM(E7:E15)</f>
        <v>5656</v>
      </c>
      <c r="F16" s="258">
        <f t="shared" si="0"/>
        <v>2.0108291826206905E-2</v>
      </c>
      <c r="G16" s="252">
        <f>G6-SUM(G7:G15)</f>
        <v>12337</v>
      </c>
      <c r="H16" s="260">
        <f t="shared" si="3"/>
        <v>1.1812234794908063</v>
      </c>
      <c r="I16" s="259">
        <f t="shared" si="4"/>
        <v>6681</v>
      </c>
      <c r="J16" s="258">
        <f t="shared" si="5"/>
        <v>2.6814552062005798E-2</v>
      </c>
      <c r="K16" s="252">
        <f>K6-SUM(K7:K15)</f>
        <v>12728</v>
      </c>
      <c r="L16" s="260">
        <f t="shared" si="6"/>
        <v>3.1693280376104305E-2</v>
      </c>
      <c r="M16" s="259">
        <f t="shared" si="7"/>
        <v>391</v>
      </c>
      <c r="N16" s="258">
        <f t="shared" si="8"/>
        <v>2.6405872028613275E-2</v>
      </c>
      <c r="O16" s="252">
        <f>O6-SUM(O7:O15)</f>
        <v>14118</v>
      </c>
      <c r="P16" s="260">
        <f t="shared" si="9"/>
        <v>0.10920804525455696</v>
      </c>
      <c r="Q16" s="259">
        <f t="shared" si="10"/>
        <v>1390</v>
      </c>
      <c r="R16" s="260">
        <f t="shared" si="1"/>
        <v>-0.15939267639178323</v>
      </c>
      <c r="S16" s="259">
        <f t="shared" si="2"/>
        <v>-2677</v>
      </c>
      <c r="T16" s="258">
        <f t="shared" si="11"/>
        <v>2.8422966272138125E-2</v>
      </c>
      <c r="V16" s="29"/>
      <c r="W16" s="79"/>
      <c r="AE16" s="1"/>
    </row>
    <row r="17" spans="2:31" s="4" customFormat="1" ht="7.5" customHeight="1" x14ac:dyDescent="0.25">
      <c r="B17" s="236"/>
      <c r="C17" s="236"/>
      <c r="D17" s="236"/>
      <c r="E17" s="236"/>
      <c r="F17" s="236"/>
      <c r="G17" s="236"/>
      <c r="H17" s="236"/>
      <c r="I17" s="236"/>
      <c r="J17" s="236"/>
      <c r="K17" s="236"/>
      <c r="L17" s="236"/>
      <c r="M17" s="236"/>
      <c r="N17" s="236"/>
      <c r="O17" s="236"/>
      <c r="P17" s="236"/>
      <c r="Q17" s="236"/>
      <c r="R17" s="236"/>
      <c r="S17" s="236"/>
      <c r="T17" s="236"/>
      <c r="AE17" s="1" t="s">
        <v>182</v>
      </c>
    </row>
    <row r="18" spans="2:31" s="4" customFormat="1" x14ac:dyDescent="0.25">
      <c r="B18" s="125" t="s">
        <v>183</v>
      </c>
      <c r="C18" s="125"/>
      <c r="D18" s="125"/>
      <c r="E18" s="125"/>
      <c r="F18" s="125"/>
      <c r="G18" s="125"/>
      <c r="H18" s="125"/>
      <c r="I18" s="125"/>
      <c r="J18" s="125"/>
      <c r="K18" s="125"/>
      <c r="L18" s="125"/>
      <c r="M18" s="125"/>
      <c r="N18" s="125"/>
      <c r="O18" s="125"/>
      <c r="P18" s="125"/>
      <c r="Q18" s="125"/>
      <c r="R18" s="125"/>
      <c r="S18" s="125"/>
      <c r="T18" s="125"/>
      <c r="AE18" s="1" t="s">
        <v>184</v>
      </c>
    </row>
    <row r="19" spans="2:31" s="4" customFormat="1" x14ac:dyDescent="0.25">
      <c r="AE19" s="1"/>
    </row>
    <row r="42" spans="2:31" s="4" customFormat="1" ht="15.75" hidden="1" customHeight="1" thickBot="1" x14ac:dyDescent="0.3">
      <c r="B42" s="270" t="s">
        <v>185</v>
      </c>
      <c r="C42" s="270"/>
      <c r="D42" s="270"/>
      <c r="E42" s="270"/>
      <c r="F42" s="270"/>
      <c r="G42" s="270"/>
      <c r="H42" s="270"/>
      <c r="I42" s="270"/>
      <c r="J42" s="270"/>
      <c r="K42" s="270"/>
      <c r="L42" s="270"/>
      <c r="M42" s="270"/>
      <c r="N42" s="270"/>
      <c r="O42" s="270"/>
      <c r="P42" s="270"/>
      <c r="Q42" s="270"/>
      <c r="R42" s="270"/>
      <c r="S42" s="270"/>
      <c r="T42" s="83"/>
      <c r="AE42" s="1"/>
    </row>
    <row r="43" spans="2:31" s="4" customFormat="1" ht="6" hidden="1" customHeight="1" thickBot="1" x14ac:dyDescent="0.3">
      <c r="AE43" s="1"/>
    </row>
    <row r="44" spans="2:31" s="4" customFormat="1" ht="30" hidden="1" x14ac:dyDescent="0.25">
      <c r="C44" s="87"/>
      <c r="D44" s="87"/>
      <c r="E44" s="87"/>
      <c r="F44" s="87"/>
      <c r="G44" s="87"/>
      <c r="H44" s="87"/>
      <c r="I44" s="87"/>
      <c r="J44" s="87"/>
      <c r="K44" s="14">
        <v>2020</v>
      </c>
      <c r="L44" s="14"/>
      <c r="M44" s="14"/>
      <c r="N44" s="14" t="s">
        <v>186</v>
      </c>
      <c r="O44" s="14">
        <v>2021</v>
      </c>
      <c r="P44" s="14" t="s">
        <v>186</v>
      </c>
      <c r="Q44" s="14" t="s">
        <v>187</v>
      </c>
      <c r="R44" s="14" t="s">
        <v>188</v>
      </c>
      <c r="S44" s="14" t="s">
        <v>189</v>
      </c>
      <c r="T44" s="87"/>
      <c r="AE44" s="1"/>
    </row>
    <row r="45" spans="2:31" s="4" customFormat="1" ht="18.75" hidden="1" x14ac:dyDescent="0.3">
      <c r="B45" s="224" t="s">
        <v>173</v>
      </c>
      <c r="C45" s="225"/>
      <c r="D45" s="225"/>
      <c r="E45" s="225"/>
      <c r="F45" s="225"/>
      <c r="G45" s="225"/>
      <c r="H45" s="225"/>
      <c r="I45" s="225"/>
      <c r="J45" s="225"/>
      <c r="K45" s="225">
        <v>1824653</v>
      </c>
      <c r="L45" s="225"/>
      <c r="M45" s="225"/>
      <c r="N45" s="226"/>
      <c r="O45" s="225">
        <v>2354005</v>
      </c>
      <c r="P45" s="226"/>
      <c r="Q45" s="226">
        <v>1</v>
      </c>
      <c r="R45" s="226">
        <v>0.2901110512519367</v>
      </c>
      <c r="S45" s="225">
        <v>529352</v>
      </c>
      <c r="T45" s="237"/>
      <c r="AE45" s="1"/>
    </row>
    <row r="46" spans="2:31" ht="18.75" hidden="1" x14ac:dyDescent="0.3">
      <c r="B46" s="224" t="s">
        <v>174</v>
      </c>
      <c r="C46" s="225"/>
      <c r="D46" s="225"/>
      <c r="E46" s="225"/>
      <c r="F46" s="225"/>
      <c r="G46" s="225"/>
      <c r="H46" s="225"/>
      <c r="I46" s="225"/>
      <c r="J46" s="225"/>
      <c r="K46" s="225">
        <v>603938</v>
      </c>
      <c r="L46" s="225"/>
      <c r="M46" s="225"/>
      <c r="N46" s="226">
        <v>1</v>
      </c>
      <c r="O46" s="225">
        <v>936181</v>
      </c>
      <c r="P46" s="226">
        <v>1</v>
      </c>
      <c r="Q46" s="226">
        <v>0.39769711619134201</v>
      </c>
      <c r="R46" s="226">
        <v>0.55012766211101138</v>
      </c>
      <c r="S46" s="225">
        <v>332243</v>
      </c>
      <c r="T46" s="237"/>
      <c r="AE46" s="1" t="s">
        <v>175</v>
      </c>
    </row>
    <row r="47" spans="2:31" ht="15.75" hidden="1" x14ac:dyDescent="0.25">
      <c r="B47" s="227" t="s">
        <v>100</v>
      </c>
      <c r="C47" s="228"/>
      <c r="D47" s="228"/>
      <c r="E47" s="228"/>
      <c r="F47" s="228"/>
      <c r="G47" s="228"/>
      <c r="H47" s="228"/>
      <c r="I47" s="228"/>
      <c r="J47" s="228"/>
      <c r="K47" s="228">
        <v>276550.36166633503</v>
      </c>
      <c r="L47" s="228"/>
      <c r="M47" s="228"/>
      <c r="N47" s="229">
        <v>0.45791184139155844</v>
      </c>
      <c r="O47" s="228">
        <v>430252.45635520399</v>
      </c>
      <c r="P47" s="229">
        <v>0.4595825554622493</v>
      </c>
      <c r="Q47" s="229">
        <v>0.18277465695918402</v>
      </c>
      <c r="R47" s="229">
        <v>0.55578337978930015</v>
      </c>
      <c r="S47" s="228">
        <v>153702.09468886897</v>
      </c>
      <c r="T47" s="238"/>
      <c r="AE47" s="1" t="s">
        <v>176</v>
      </c>
    </row>
    <row r="48" spans="2:31" s="4" customFormat="1" hidden="1" x14ac:dyDescent="0.25">
      <c r="B48" s="230" t="s">
        <v>103</v>
      </c>
      <c r="C48" s="231"/>
      <c r="D48" s="231"/>
      <c r="E48" s="231"/>
      <c r="F48" s="231"/>
      <c r="G48" s="231"/>
      <c r="H48" s="231"/>
      <c r="I48" s="231"/>
      <c r="J48" s="231"/>
      <c r="K48" s="231">
        <v>327387.63833385095</v>
      </c>
      <c r="L48" s="231"/>
      <c r="M48" s="231"/>
      <c r="N48" s="234">
        <v>0.54208815860874948</v>
      </c>
      <c r="O48" s="231">
        <v>505927.5436448183</v>
      </c>
      <c r="P48" s="234">
        <v>0.54041637636826456</v>
      </c>
      <c r="Q48" s="234">
        <v>0.21492203442423372</v>
      </c>
      <c r="R48" s="232">
        <v>0.54534711884540576</v>
      </c>
      <c r="S48" s="233">
        <v>178539.90531096736</v>
      </c>
      <c r="T48" s="240"/>
      <c r="AE48" s="1" t="s">
        <v>177</v>
      </c>
    </row>
    <row r="49" spans="2:31" s="4" customFormat="1" hidden="1" x14ac:dyDescent="0.25">
      <c r="B49" s="235" t="s">
        <v>178</v>
      </c>
      <c r="C49" s="29"/>
      <c r="D49" s="29"/>
      <c r="E49" s="29"/>
      <c r="F49" s="29"/>
      <c r="G49" s="29"/>
      <c r="H49" s="29"/>
      <c r="I49" s="29"/>
      <c r="J49" s="29"/>
      <c r="K49" s="29">
        <v>242109.12821622068</v>
      </c>
      <c r="L49" s="29"/>
      <c r="M49" s="29"/>
      <c r="N49" s="31">
        <v>0.4008840778626625</v>
      </c>
      <c r="O49" s="29">
        <v>391384.01224089495</v>
      </c>
      <c r="P49" s="31">
        <v>0.41806446855992052</v>
      </c>
      <c r="Q49" s="31">
        <v>0.16626303352834634</v>
      </c>
      <c r="R49" s="22">
        <v>0.61656033014732592</v>
      </c>
      <c r="S49" s="20">
        <v>149274.88402467428</v>
      </c>
      <c r="T49" s="20"/>
      <c r="AE49" s="1" t="s">
        <v>179</v>
      </c>
    </row>
    <row r="50" spans="2:31" s="4" customFormat="1" hidden="1" x14ac:dyDescent="0.25">
      <c r="B50" s="235" t="s">
        <v>180</v>
      </c>
      <c r="C50" s="29"/>
      <c r="D50" s="29"/>
      <c r="E50" s="29"/>
      <c r="F50" s="29"/>
      <c r="G50" s="29"/>
      <c r="H50" s="29"/>
      <c r="I50" s="29"/>
      <c r="J50" s="29"/>
      <c r="K50" s="29">
        <v>85278.510117630256</v>
      </c>
      <c r="L50" s="29"/>
      <c r="M50" s="29"/>
      <c r="N50" s="31">
        <v>0.14120408074608695</v>
      </c>
      <c r="O50" s="29">
        <v>114543.53140392336</v>
      </c>
      <c r="P50" s="31">
        <v>0.12235190780834407</v>
      </c>
      <c r="Q50" s="31">
        <v>4.8659000895887379E-2</v>
      </c>
      <c r="R50" s="22">
        <v>0.34316994100771625</v>
      </c>
      <c r="S50" s="20">
        <v>29265.021286293108</v>
      </c>
      <c r="T50" s="20"/>
      <c r="AE50" s="1" t="s">
        <v>181</v>
      </c>
    </row>
    <row r="51" spans="2:31" s="4" customFormat="1" ht="7.5" hidden="1" customHeight="1" x14ac:dyDescent="0.25">
      <c r="B51" s="236"/>
      <c r="C51" s="236"/>
      <c r="D51" s="236"/>
      <c r="E51" s="236"/>
      <c r="F51" s="236"/>
      <c r="G51" s="236"/>
      <c r="H51" s="236"/>
      <c r="I51" s="236"/>
      <c r="J51" s="236"/>
      <c r="K51" s="236"/>
      <c r="L51" s="236"/>
      <c r="M51" s="236"/>
      <c r="N51" s="236"/>
      <c r="O51" s="236"/>
      <c r="P51" s="236"/>
      <c r="Q51" s="236"/>
      <c r="R51" s="236"/>
      <c r="S51" s="236"/>
      <c r="AE51" s="1" t="s">
        <v>182</v>
      </c>
    </row>
    <row r="52" spans="2:31" s="4" customFormat="1" hidden="1" x14ac:dyDescent="0.25">
      <c r="B52" s="269" t="s">
        <v>183</v>
      </c>
      <c r="C52" s="269"/>
      <c r="D52" s="269"/>
      <c r="E52" s="269"/>
      <c r="F52" s="269"/>
      <c r="G52" s="269"/>
      <c r="H52" s="269"/>
      <c r="I52" s="269"/>
      <c r="J52" s="269"/>
      <c r="K52" s="269"/>
      <c r="L52" s="269"/>
      <c r="M52" s="269"/>
      <c r="N52" s="269"/>
      <c r="O52" s="269"/>
      <c r="P52" s="269"/>
      <c r="Q52" s="269"/>
      <c r="R52" s="269"/>
      <c r="S52" s="269"/>
      <c r="T52" s="48"/>
      <c r="AE52" s="1" t="s">
        <v>184</v>
      </c>
    </row>
    <row r="53" spans="2:31" s="4" customFormat="1" hidden="1" x14ac:dyDescent="0.25">
      <c r="AE53" s="1"/>
    </row>
    <row r="54" spans="2:31" hidden="1" x14ac:dyDescent="0.25">
      <c r="C54" s="122"/>
      <c r="D54" s="122"/>
      <c r="E54" s="122"/>
      <c r="F54" s="122"/>
      <c r="G54" s="122"/>
      <c r="H54" s="122"/>
      <c r="I54" s="122"/>
      <c r="J54" s="122"/>
      <c r="K54" s="122">
        <v>0.54208815860874948</v>
      </c>
      <c r="L54" s="122"/>
      <c r="M54" s="122"/>
    </row>
    <row r="55" spans="2:31" hidden="1" x14ac:dyDescent="0.25"/>
    <row r="56" spans="2:31" hidden="1" x14ac:dyDescent="0.25"/>
    <row r="57" spans="2:31" hidden="1" x14ac:dyDescent="0.25"/>
    <row r="58" spans="2:31" hidden="1" x14ac:dyDescent="0.25"/>
    <row r="59" spans="2:31" hidden="1" x14ac:dyDescent="0.25"/>
    <row r="60" spans="2:31" hidden="1" x14ac:dyDescent="0.25"/>
    <row r="61" spans="2:31" hidden="1" x14ac:dyDescent="0.25"/>
    <row r="62" spans="2:31" hidden="1" x14ac:dyDescent="0.25"/>
    <row r="63" spans="2:31" hidden="1" x14ac:dyDescent="0.25"/>
    <row r="64" spans="2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33" spans="1:31" s="4" customFormat="1" ht="25.5" customHeight="1" thickBot="1" x14ac:dyDescent="0.3">
      <c r="B133" s="62" t="s">
        <v>28</v>
      </c>
      <c r="C133" s="62"/>
      <c r="D133" s="62"/>
      <c r="E133" s="62"/>
      <c r="F133" s="62"/>
      <c r="G133" s="62"/>
      <c r="H133" s="62"/>
      <c r="I133" s="62"/>
      <c r="J133" s="62"/>
      <c r="K133" s="62"/>
      <c r="L133" s="62"/>
      <c r="M133" s="62"/>
      <c r="N133" s="62"/>
      <c r="O133" s="62"/>
      <c r="Z133" s="1"/>
    </row>
    <row r="134" spans="1:31" s="4" customFormat="1" ht="6" customHeight="1" x14ac:dyDescent="0.25">
      <c r="Z134" s="1"/>
    </row>
    <row r="135" spans="1:31" s="4" customFormat="1" ht="30" x14ac:dyDescent="0.25">
      <c r="C135" s="182">
        <v>2019</v>
      </c>
      <c r="D135" s="182">
        <v>2020</v>
      </c>
      <c r="E135" s="182">
        <v>2021</v>
      </c>
      <c r="F135" s="182">
        <v>2022</v>
      </c>
      <c r="G135" s="173" t="str">
        <f>CONCATENATE("var. ",RIGHT(F135,2),"/",RIGHT(E135,2))</f>
        <v>var. 22/21</v>
      </c>
      <c r="H135" s="173" t="str">
        <f>CONCATENATE("dif. ",RIGHT(F135,2),"/",RIGHT(E135,2))</f>
        <v>dif. 22/21</v>
      </c>
      <c r="I135" s="173" t="str">
        <f>CONCATENATE("%/s total Península ",RIGHT(F135,4))</f>
        <v>%/s total Península 2022</v>
      </c>
      <c r="J135" s="182">
        <v>2023</v>
      </c>
      <c r="K135" s="173" t="str">
        <f>CONCATENATE("%/s total España ",RIGHT(J135,4))</f>
        <v>%/s total España 2023</v>
      </c>
      <c r="L135" s="173" t="str">
        <f>CONCATENATE("var. ",RIGHT(J135,2),"/",RIGHT(F135,2))</f>
        <v>var. 23/22</v>
      </c>
      <c r="M135" s="173" t="str">
        <f>CONCATENATE("dif. ",RIGHT(J135,2),"/",RIGHT(F135,2))</f>
        <v>dif. 23/22</v>
      </c>
      <c r="N135" s="173" t="str">
        <f>CONCATENATE("var. ",RIGHT(J135,2),"/",RIGHT(C135,2))</f>
        <v>var. 23/19</v>
      </c>
      <c r="O135" s="173" t="str">
        <f>CONCATENATE("dif. ",RIGHT(J135,2),"/",RIGHT(C135,2))</f>
        <v>dif. 23/19</v>
      </c>
      <c r="Z135" s="1"/>
    </row>
    <row r="136" spans="1:31" ht="18.75" x14ac:dyDescent="0.3">
      <c r="A136" s="4"/>
      <c r="B136" s="224" t="s">
        <v>202</v>
      </c>
      <c r="C136" s="228">
        <v>632407</v>
      </c>
      <c r="D136" s="228">
        <v>248294</v>
      </c>
      <c r="E136" s="228">
        <v>384253</v>
      </c>
      <c r="F136" s="228">
        <v>593573</v>
      </c>
      <c r="G136" s="229">
        <f>F136/E136-1</f>
        <v>0.54474525898301374</v>
      </c>
      <c r="H136" s="228">
        <f>F136-E136</f>
        <v>209320</v>
      </c>
      <c r="I136" s="229">
        <f>F136/F$136</f>
        <v>1</v>
      </c>
      <c r="J136" s="228">
        <v>612478</v>
      </c>
      <c r="K136" s="229">
        <f>H136/H$136</f>
        <v>1</v>
      </c>
      <c r="L136" s="229">
        <f>J136/F136-1</f>
        <v>3.1849494501939857E-2</v>
      </c>
      <c r="M136" s="228">
        <f>J136-F136</f>
        <v>18905</v>
      </c>
      <c r="N136" s="229">
        <f>J136/C136-1</f>
        <v>-3.1512933917556274E-2</v>
      </c>
      <c r="O136" s="228">
        <f>J136-C136</f>
        <v>-19929</v>
      </c>
      <c r="Q136" s="29"/>
      <c r="R136" s="79"/>
      <c r="Z136" s="1" t="s">
        <v>175</v>
      </c>
      <c r="AE136"/>
    </row>
    <row r="137" spans="1:31" s="4" customFormat="1" x14ac:dyDescent="0.25">
      <c r="B137" s="235" t="s">
        <v>44</v>
      </c>
      <c r="C137" s="252">
        <v>109920</v>
      </c>
      <c r="D137" s="252">
        <v>49521</v>
      </c>
      <c r="E137" s="252">
        <v>120918</v>
      </c>
      <c r="F137" s="252">
        <v>120397</v>
      </c>
      <c r="G137" s="258">
        <f t="shared" ref="G137:G146" si="12">F137/E137-1</f>
        <v>-4.3087050728592979E-3</v>
      </c>
      <c r="H137" s="265">
        <f t="shared" ref="H137:H146" si="13">F137-E137</f>
        <v>-521</v>
      </c>
      <c r="I137" s="260">
        <f t="shared" ref="I137:K146" si="14">F137/F$136</f>
        <v>0.20283436072732419</v>
      </c>
      <c r="J137" s="252">
        <v>106138</v>
      </c>
      <c r="K137" s="260">
        <f t="shared" si="14"/>
        <v>-2.4890120389833748E-3</v>
      </c>
      <c r="L137" s="260">
        <f t="shared" ref="L137:L146" si="15">J137/F137-1</f>
        <v>-0.11843318355108512</v>
      </c>
      <c r="M137" s="259">
        <f t="shared" ref="M137:M146" si="16">J137-F137</f>
        <v>-14259</v>
      </c>
      <c r="N137" s="258">
        <f t="shared" ref="N137:N145" si="17">J137/C137-1</f>
        <v>-3.4406841339155725E-2</v>
      </c>
      <c r="O137" s="252">
        <f t="shared" ref="O137:O146" si="18">J137-C137</f>
        <v>-3782</v>
      </c>
      <c r="Q137" s="29"/>
      <c r="R137" s="79"/>
      <c r="Z137" s="1" t="s">
        <v>177</v>
      </c>
    </row>
    <row r="138" spans="1:31" s="4" customFormat="1" x14ac:dyDescent="0.25">
      <c r="B138" s="235" t="s">
        <v>45</v>
      </c>
      <c r="C138" s="252">
        <v>76491</v>
      </c>
      <c r="D138" s="252">
        <v>26848</v>
      </c>
      <c r="E138" s="252">
        <v>39986</v>
      </c>
      <c r="F138" s="252">
        <v>75857</v>
      </c>
      <c r="G138" s="258">
        <f t="shared" si="12"/>
        <v>0.89708898114340019</v>
      </c>
      <c r="H138" s="265">
        <f t="shared" si="13"/>
        <v>35871</v>
      </c>
      <c r="I138" s="260">
        <f t="shared" si="14"/>
        <v>0.12779725492904831</v>
      </c>
      <c r="J138" s="252">
        <v>67064</v>
      </c>
      <c r="K138" s="260">
        <f t="shared" si="14"/>
        <v>0.17136919549015861</v>
      </c>
      <c r="L138" s="260">
        <f t="shared" si="15"/>
        <v>-0.1159154725338466</v>
      </c>
      <c r="M138" s="259">
        <f t="shared" si="16"/>
        <v>-8793</v>
      </c>
      <c r="N138" s="258">
        <f t="shared" si="17"/>
        <v>-0.12324325737668484</v>
      </c>
      <c r="O138" s="252">
        <f t="shared" si="18"/>
        <v>-9427</v>
      </c>
      <c r="Q138" s="29"/>
      <c r="R138" s="79"/>
      <c r="Z138" s="1"/>
    </row>
    <row r="139" spans="1:31" s="4" customFormat="1" x14ac:dyDescent="0.25">
      <c r="B139" s="235" t="s">
        <v>46</v>
      </c>
      <c r="C139" s="252">
        <v>4565</v>
      </c>
      <c r="D139" s="252">
        <v>681</v>
      </c>
      <c r="E139" s="252">
        <v>2535</v>
      </c>
      <c r="F139" s="252">
        <v>3247</v>
      </c>
      <c r="G139" s="258">
        <f t="shared" si="12"/>
        <v>0.28086785009861925</v>
      </c>
      <c r="H139" s="266">
        <f t="shared" si="13"/>
        <v>712</v>
      </c>
      <c r="I139" s="264">
        <f t="shared" si="14"/>
        <v>5.4702622929277446E-3</v>
      </c>
      <c r="J139" s="252">
        <v>5439</v>
      </c>
      <c r="K139" s="264">
        <f t="shared" si="14"/>
        <v>3.4014905407987769E-3</v>
      </c>
      <c r="L139" s="260">
        <f t="shared" si="15"/>
        <v>0.67508469356328926</v>
      </c>
      <c r="M139" s="259">
        <f t="shared" si="16"/>
        <v>2192</v>
      </c>
      <c r="N139" s="258">
        <f t="shared" si="17"/>
        <v>0.1914567360350492</v>
      </c>
      <c r="O139" s="252">
        <f t="shared" si="18"/>
        <v>874</v>
      </c>
      <c r="Q139" s="29"/>
      <c r="R139" s="79"/>
      <c r="Z139" s="1"/>
    </row>
    <row r="140" spans="1:31" s="4" customFormat="1" x14ac:dyDescent="0.25">
      <c r="B140" s="235" t="s">
        <v>48</v>
      </c>
      <c r="C140" s="252">
        <v>284219</v>
      </c>
      <c r="D140" s="252">
        <v>74813</v>
      </c>
      <c r="E140" s="252">
        <v>114704</v>
      </c>
      <c r="F140" s="252">
        <v>244952</v>
      </c>
      <c r="G140" s="258">
        <f t="shared" si="12"/>
        <v>1.1355140186915889</v>
      </c>
      <c r="H140" s="265">
        <f t="shared" si="13"/>
        <v>130248</v>
      </c>
      <c r="I140" s="260">
        <f t="shared" si="14"/>
        <v>0.4126737570610523</v>
      </c>
      <c r="J140" s="252">
        <v>249820</v>
      </c>
      <c r="K140" s="260">
        <f t="shared" si="14"/>
        <v>0.62224345499713363</v>
      </c>
      <c r="L140" s="260">
        <f t="shared" si="15"/>
        <v>1.987328129592747E-2</v>
      </c>
      <c r="M140" s="259">
        <f t="shared" si="16"/>
        <v>4868</v>
      </c>
      <c r="N140" s="258">
        <f t="shared" si="17"/>
        <v>-0.12102991003416375</v>
      </c>
      <c r="O140" s="252">
        <f t="shared" si="18"/>
        <v>-34399</v>
      </c>
      <c r="Q140" s="29"/>
      <c r="R140" s="79"/>
      <c r="Z140" s="1"/>
    </row>
    <row r="141" spans="1:31" s="4" customFormat="1" x14ac:dyDescent="0.25">
      <c r="B141" s="235" t="s">
        <v>50</v>
      </c>
      <c r="C141" s="252">
        <v>19123</v>
      </c>
      <c r="D141" s="252">
        <v>25621</v>
      </c>
      <c r="E141" s="252">
        <v>20278</v>
      </c>
      <c r="F141" s="252">
        <v>32271</v>
      </c>
      <c r="G141" s="258">
        <f t="shared" si="12"/>
        <v>0.59142913502317773</v>
      </c>
      <c r="H141" s="266">
        <f t="shared" si="13"/>
        <v>11993</v>
      </c>
      <c r="I141" s="264">
        <f t="shared" si="14"/>
        <v>5.4367365092414917E-2</v>
      </c>
      <c r="J141" s="252">
        <v>36164</v>
      </c>
      <c r="K141" s="264">
        <f t="shared" si="14"/>
        <v>5.7295050640168162E-2</v>
      </c>
      <c r="L141" s="260">
        <f t="shared" si="15"/>
        <v>0.12063462551516846</v>
      </c>
      <c r="M141" s="259">
        <f t="shared" si="16"/>
        <v>3893</v>
      </c>
      <c r="N141" s="258">
        <f t="shared" si="17"/>
        <v>0.89112586937196037</v>
      </c>
      <c r="O141" s="252">
        <f t="shared" si="18"/>
        <v>17041</v>
      </c>
      <c r="Q141" s="29"/>
      <c r="R141" s="79"/>
      <c r="Z141" s="1"/>
    </row>
    <row r="142" spans="1:31" s="4" customFormat="1" x14ac:dyDescent="0.25">
      <c r="B142" s="235" t="s">
        <v>51</v>
      </c>
      <c r="C142" s="252">
        <v>59066</v>
      </c>
      <c r="D142" s="252">
        <v>33780</v>
      </c>
      <c r="E142" s="252">
        <v>51310</v>
      </c>
      <c r="F142" s="252">
        <v>65021</v>
      </c>
      <c r="G142" s="258">
        <f t="shared" si="12"/>
        <v>0.26721886571818354</v>
      </c>
      <c r="H142" s="265">
        <f t="shared" si="13"/>
        <v>13711</v>
      </c>
      <c r="I142" s="260">
        <f t="shared" si="14"/>
        <v>0.10954170759114717</v>
      </c>
      <c r="J142" s="252">
        <v>80309</v>
      </c>
      <c r="K142" s="260">
        <f t="shared" si="14"/>
        <v>6.5502579782151724E-2</v>
      </c>
      <c r="L142" s="260">
        <f t="shared" si="15"/>
        <v>0.23512403684963323</v>
      </c>
      <c r="M142" s="259">
        <f t="shared" si="16"/>
        <v>15288</v>
      </c>
      <c r="N142" s="258">
        <f t="shared" si="17"/>
        <v>0.3596485287644331</v>
      </c>
      <c r="O142" s="252">
        <f t="shared" si="18"/>
        <v>21243</v>
      </c>
      <c r="Q142" s="29"/>
      <c r="R142" s="79"/>
      <c r="Z142" s="1"/>
    </row>
    <row r="143" spans="1:31" s="4" customFormat="1" x14ac:dyDescent="0.25">
      <c r="B143" s="235" t="s">
        <v>49</v>
      </c>
      <c r="C143" s="252">
        <v>17966</v>
      </c>
      <c r="D143" s="252">
        <v>7339</v>
      </c>
      <c r="E143" s="252">
        <v>10731</v>
      </c>
      <c r="F143" s="252">
        <v>17520</v>
      </c>
      <c r="G143" s="258">
        <f t="shared" si="12"/>
        <v>0.63265306122448983</v>
      </c>
      <c r="H143" s="266">
        <f t="shared" si="13"/>
        <v>6789</v>
      </c>
      <c r="I143" s="264">
        <f t="shared" si="14"/>
        <v>2.951616734588669E-2</v>
      </c>
      <c r="J143" s="252">
        <v>25698</v>
      </c>
      <c r="K143" s="264">
        <f t="shared" si="14"/>
        <v>3.243359449646474E-2</v>
      </c>
      <c r="L143" s="260">
        <f t="shared" si="15"/>
        <v>0.46678082191780823</v>
      </c>
      <c r="M143" s="259">
        <f t="shared" si="16"/>
        <v>8178</v>
      </c>
      <c r="N143" s="258">
        <f t="shared" si="17"/>
        <v>0.43036847378381382</v>
      </c>
      <c r="O143" s="252">
        <f t="shared" si="18"/>
        <v>7732</v>
      </c>
      <c r="Q143" s="29"/>
      <c r="R143" s="79"/>
      <c r="Z143" s="1"/>
    </row>
    <row r="144" spans="1:31" s="4" customFormat="1" x14ac:dyDescent="0.25">
      <c r="B144" s="235" t="s">
        <v>52</v>
      </c>
      <c r="C144" s="252">
        <v>20687</v>
      </c>
      <c r="D144" s="252">
        <v>6781</v>
      </c>
      <c r="E144" s="252">
        <v>11021</v>
      </c>
      <c r="F144" s="252">
        <v>9118</v>
      </c>
      <c r="G144" s="258">
        <f t="shared" si="12"/>
        <v>-0.17267035659196084</v>
      </c>
      <c r="H144" s="265">
        <f t="shared" si="13"/>
        <v>-1903</v>
      </c>
      <c r="I144" s="260">
        <f t="shared" si="14"/>
        <v>1.536121083674628E-2</v>
      </c>
      <c r="J144" s="252">
        <v>11280</v>
      </c>
      <c r="K144" s="260">
        <f t="shared" si="14"/>
        <v>-9.0913433976686411E-3</v>
      </c>
      <c r="L144" s="260">
        <f t="shared" si="15"/>
        <v>0.23711340206185572</v>
      </c>
      <c r="M144" s="259">
        <f t="shared" si="16"/>
        <v>2162</v>
      </c>
      <c r="N144" s="258">
        <f t="shared" si="17"/>
        <v>-0.45473002368637305</v>
      </c>
      <c r="O144" s="252">
        <f t="shared" si="18"/>
        <v>-9407</v>
      </c>
      <c r="Q144" s="29"/>
      <c r="R144" s="79"/>
      <c r="Z144" s="1"/>
    </row>
    <row r="145" spans="2:31" s="4" customFormat="1" x14ac:dyDescent="0.25">
      <c r="B145" s="235" t="s">
        <v>47</v>
      </c>
      <c r="C145" s="252">
        <v>19152</v>
      </c>
      <c r="D145" s="252">
        <v>15343</v>
      </c>
      <c r="E145" s="252">
        <v>4744</v>
      </c>
      <c r="F145" s="252">
        <v>9037</v>
      </c>
      <c r="G145" s="258">
        <f t="shared" si="12"/>
        <v>0.9049325463743676</v>
      </c>
      <c r="H145" s="266">
        <f t="shared" si="13"/>
        <v>4293</v>
      </c>
      <c r="I145" s="264">
        <f t="shared" si="14"/>
        <v>1.5224749104153995E-2</v>
      </c>
      <c r="J145" s="252">
        <v>15069</v>
      </c>
      <c r="K145" s="264">
        <f t="shared" si="14"/>
        <v>2.0509268106248806E-2</v>
      </c>
      <c r="L145" s="260">
        <f t="shared" si="15"/>
        <v>0.66747814540223516</v>
      </c>
      <c r="M145" s="259">
        <f t="shared" si="16"/>
        <v>6032</v>
      </c>
      <c r="N145" s="258">
        <f t="shared" si="17"/>
        <v>-0.21318922305764409</v>
      </c>
      <c r="O145" s="252">
        <f t="shared" si="18"/>
        <v>-4083</v>
      </c>
      <c r="Q145" s="29"/>
      <c r="R145" s="79"/>
      <c r="Z145" s="1"/>
    </row>
    <row r="146" spans="2:31" s="4" customFormat="1" x14ac:dyDescent="0.25">
      <c r="B146" s="235" t="s">
        <v>203</v>
      </c>
      <c r="C146" s="252">
        <f>C136-SUM(C137:C145)</f>
        <v>21218</v>
      </c>
      <c r="D146" s="252">
        <f>D136-SUM(D137:D145)</f>
        <v>7567</v>
      </c>
      <c r="E146" s="252">
        <f>E136-SUM(E137:E145)</f>
        <v>8026</v>
      </c>
      <c r="F146" s="252">
        <f>F136-SUM(F137:F145)</f>
        <v>16153</v>
      </c>
      <c r="G146" s="258">
        <f t="shared" si="12"/>
        <v>1.012584101669574</v>
      </c>
      <c r="H146" s="265">
        <f t="shared" si="13"/>
        <v>8127</v>
      </c>
      <c r="I146" s="260">
        <f t="shared" si="14"/>
        <v>2.7213165019298383E-2</v>
      </c>
      <c r="J146" s="252">
        <f>J136-SUM(J137:J145)</f>
        <v>15497</v>
      </c>
      <c r="K146" s="260">
        <f t="shared" si="14"/>
        <v>3.8825721383527613E-2</v>
      </c>
      <c r="L146" s="260">
        <f t="shared" si="15"/>
        <v>-4.0611651086485456E-2</v>
      </c>
      <c r="M146" s="259">
        <f t="shared" si="16"/>
        <v>-656</v>
      </c>
      <c r="N146" s="258">
        <f>J146/C146-1</f>
        <v>-0.26962955980771042</v>
      </c>
      <c r="O146" s="252">
        <f t="shared" si="18"/>
        <v>-5721</v>
      </c>
      <c r="Q146" s="29"/>
      <c r="R146" s="79"/>
      <c r="Z146" s="1"/>
    </row>
    <row r="147" spans="2:31" s="4" customFormat="1" ht="7.5" customHeight="1" x14ac:dyDescent="0.25">
      <c r="B147" s="236"/>
      <c r="C147" s="236"/>
      <c r="D147" s="236"/>
      <c r="E147" s="236"/>
      <c r="F147" s="236"/>
      <c r="G147" s="236"/>
      <c r="H147" s="236"/>
      <c r="I147" s="236"/>
      <c r="J147" s="236"/>
      <c r="K147" s="236"/>
      <c r="L147" s="236"/>
      <c r="M147" s="236"/>
      <c r="N147" s="236"/>
      <c r="O147" s="236"/>
      <c r="Z147" s="1" t="s">
        <v>182</v>
      </c>
    </row>
    <row r="148" spans="2:31" s="4" customFormat="1" x14ac:dyDescent="0.25">
      <c r="B148" s="125" t="s">
        <v>183</v>
      </c>
      <c r="C148" s="125"/>
      <c r="D148" s="125"/>
      <c r="E148" s="125"/>
      <c r="F148" s="125"/>
      <c r="G148" s="125"/>
      <c r="H148" s="125"/>
      <c r="I148" s="125"/>
      <c r="J148" s="125"/>
      <c r="K148" s="125"/>
      <c r="L148" s="125"/>
      <c r="M148" s="125"/>
      <c r="N148" s="125"/>
      <c r="O148" s="125"/>
      <c r="Z148" s="1" t="s">
        <v>184</v>
      </c>
    </row>
    <row r="149" spans="2:31" x14ac:dyDescent="0.25">
      <c r="Z149" s="1"/>
      <c r="AE149"/>
    </row>
  </sheetData>
  <mergeCells count="2">
    <mergeCell ref="B42:S42"/>
    <mergeCell ref="B52:S5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C12464-AFAF-451F-910F-7893D6FC9AB7}">
  <sheetPr>
    <tabColor theme="4" tint="0.39997558519241921"/>
  </sheetPr>
  <dimension ref="A1:AE14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13" width="14.7109375" customWidth="1"/>
    <col min="14" max="14" width="11.42578125" customWidth="1"/>
    <col min="15" max="15" width="14.7109375" customWidth="1"/>
    <col min="27" max="27" width="14" customWidth="1"/>
    <col min="31" max="31" width="11.42578125" style="1"/>
  </cols>
  <sheetData>
    <row r="1" spans="1:31" ht="30" customHeight="1" x14ac:dyDescent="0.25">
      <c r="B1" s="1" t="s">
        <v>205</v>
      </c>
      <c r="G1" s="223"/>
      <c r="H1" s="223"/>
      <c r="I1" s="223"/>
      <c r="K1" s="223"/>
    </row>
    <row r="3" spans="1:31" s="4" customFormat="1" ht="25.5" customHeight="1" thickBot="1" x14ac:dyDescent="0.3">
      <c r="B3" s="62" t="s">
        <v>29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45" x14ac:dyDescent="0.25">
      <c r="C5" s="241" t="s">
        <v>262</v>
      </c>
      <c r="D5" s="241" t="s">
        <v>263</v>
      </c>
      <c r="E5" s="241" t="s">
        <v>269</v>
      </c>
      <c r="F5" s="242" t="str">
        <f>CONCATENATE("%/s total Tenerife ",RIGHT(E5,4))</f>
        <v>%/s total Tenerife 2021</v>
      </c>
      <c r="G5" s="241" t="s">
        <v>264</v>
      </c>
      <c r="H5" s="242" t="str">
        <f>CONCATENATE("var. ",RIGHT(G5,2),"/",RIGHT(E5,2))</f>
        <v>var. 22/21</v>
      </c>
      <c r="I5" s="242" t="str">
        <f>CONCATENATE("dif. ",RIGHT(G5,2),"/",RIGHT(E5,2))</f>
        <v>dif. 22/21</v>
      </c>
      <c r="J5" s="242" t="str">
        <f>CONCATENATE("%/s total Tenerife ",RIGHT(G5,4))</f>
        <v>%/s total Tenerife 2022</v>
      </c>
      <c r="K5" s="241" t="s">
        <v>265</v>
      </c>
      <c r="L5" s="242" t="str">
        <f>CONCATENATE("var. ",RIGHT(K5,2),"/",RIGHT(G5,2))</f>
        <v>var. 23/22</v>
      </c>
      <c r="M5" s="242" t="str">
        <f>CONCATENATE("dif. ",RIGHT(K5,2),"/",RIGHT(G5,2))</f>
        <v>dif. 23/22</v>
      </c>
      <c r="N5" s="242" t="str">
        <f>CONCATENATE("%/s total Tenerife ",RIGHT(K5,4))</f>
        <v>%/s total Tenerife 2023</v>
      </c>
      <c r="O5" s="241" t="s">
        <v>266</v>
      </c>
      <c r="P5" s="242" t="str">
        <f>CONCATENATE("var. ",RIGHT(O5,2),"/",RIGHT(K5,2))</f>
        <v>var. 24/23</v>
      </c>
      <c r="Q5" s="242" t="str">
        <f>CONCATENATE("dif. ",RIGHT(O5,2),"/",RIGHT(K5,2))</f>
        <v>dif. 24/23</v>
      </c>
      <c r="R5" s="242" t="str">
        <f>CONCATENATE("var. ",RIGHT(O5,2),"/",RIGHT(C5,2))</f>
        <v>var. 24/19</v>
      </c>
      <c r="S5" s="242" t="str">
        <f>CONCATENATE("dif. ",RIGHT(O5,2),"/",RIGHT(C5,2))</f>
        <v>dif. 24/19</v>
      </c>
      <c r="T5" s="242" t="str">
        <f>CONCATENATE("%/s total Tenerife ",RIGHT(O5,4))</f>
        <v>%/s total Tenerife 2024</v>
      </c>
      <c r="AE5" s="1"/>
    </row>
    <row r="6" spans="1:31" ht="18.75" x14ac:dyDescent="0.3">
      <c r="A6" s="4"/>
      <c r="B6" s="224" t="s">
        <v>202</v>
      </c>
      <c r="C6" s="243">
        <v>328320</v>
      </c>
      <c r="D6" s="243">
        <v>151426</v>
      </c>
      <c r="E6" s="243">
        <v>325238</v>
      </c>
      <c r="F6" s="244">
        <f>E6/$E$6</f>
        <v>1</v>
      </c>
      <c r="G6" s="243">
        <v>341997</v>
      </c>
      <c r="H6" s="244">
        <f>G6/E6-1</f>
        <v>5.152841918840978E-2</v>
      </c>
      <c r="I6" s="243">
        <f>G6-E6</f>
        <v>16759</v>
      </c>
      <c r="J6" s="244">
        <f>G6/$G$6</f>
        <v>1</v>
      </c>
      <c r="K6" s="243">
        <v>348792</v>
      </c>
      <c r="L6" s="244">
        <f>K6/G6-1</f>
        <v>1.9868595338555561E-2</v>
      </c>
      <c r="M6" s="243">
        <f>K6-G6</f>
        <v>6795</v>
      </c>
      <c r="N6" s="244">
        <f>K6/$K$6</f>
        <v>1</v>
      </c>
      <c r="O6" s="243">
        <v>338193</v>
      </c>
      <c r="P6" s="244">
        <f>O6/K6-1</f>
        <v>-3.0387738250877261E-2</v>
      </c>
      <c r="Q6" s="243">
        <f>O6-K6</f>
        <v>-10599</v>
      </c>
      <c r="R6" s="244">
        <f>IFERROR(O6/C6-1,"-")</f>
        <v>3.0071271929824617E-2</v>
      </c>
      <c r="S6" s="243">
        <f>O6-C6</f>
        <v>9873</v>
      </c>
      <c r="T6" s="244">
        <f>O6/$O$6</f>
        <v>1</v>
      </c>
      <c r="V6" s="29"/>
      <c r="W6" s="79"/>
      <c r="AE6" s="1" t="s">
        <v>175</v>
      </c>
    </row>
    <row r="7" spans="1:31" s="4" customFormat="1" x14ac:dyDescent="0.25">
      <c r="B7" s="235" t="s">
        <v>44</v>
      </c>
      <c r="C7" s="252">
        <v>94584</v>
      </c>
      <c r="D7" s="252">
        <v>42842</v>
      </c>
      <c r="E7" s="252">
        <v>110132</v>
      </c>
      <c r="F7" s="258">
        <f t="shared" ref="F7:F16" si="0">E7/$E$6</f>
        <v>0.33861971848308009</v>
      </c>
      <c r="G7" s="252">
        <v>74040</v>
      </c>
      <c r="H7" s="260">
        <f>G7/E7-1</f>
        <v>-0.32771583191079801</v>
      </c>
      <c r="I7" s="259">
        <f>G7-E7</f>
        <v>-36092</v>
      </c>
      <c r="J7" s="258">
        <f>G7/$G$6</f>
        <v>0.21649312713269414</v>
      </c>
      <c r="K7" s="252">
        <v>63391</v>
      </c>
      <c r="L7" s="260">
        <f>K7/G7-1</f>
        <v>-0.14382766072393305</v>
      </c>
      <c r="M7" s="259">
        <f>K7-G7</f>
        <v>-10649</v>
      </c>
      <c r="N7" s="258">
        <f>K7/$K$6</f>
        <v>0.18174442074359504</v>
      </c>
      <c r="O7" s="252">
        <v>50766</v>
      </c>
      <c r="P7" s="260">
        <f>O7/K7-1</f>
        <v>-0.19916076414632988</v>
      </c>
      <c r="Q7" s="259">
        <f>O7-K7</f>
        <v>-12625</v>
      </c>
      <c r="R7" s="260">
        <f t="shared" ref="R7:R16" si="1">IFERROR(O7/C7-1,"-")</f>
        <v>-0.4632707434661254</v>
      </c>
      <c r="S7" s="259">
        <f t="shared" ref="S7:S16" si="2">O7-C7</f>
        <v>-43818</v>
      </c>
      <c r="T7" s="258">
        <f>O7/$O$6</f>
        <v>0.15010955282930161</v>
      </c>
      <c r="V7" s="29"/>
      <c r="W7" s="79"/>
      <c r="AE7" s="1" t="s">
        <v>177</v>
      </c>
    </row>
    <row r="8" spans="1:31" s="4" customFormat="1" x14ac:dyDescent="0.25">
      <c r="B8" s="235" t="s">
        <v>45</v>
      </c>
      <c r="C8" s="252">
        <v>40885</v>
      </c>
      <c r="D8" s="252">
        <v>16143</v>
      </c>
      <c r="E8" s="252">
        <v>35855</v>
      </c>
      <c r="F8" s="258">
        <f t="shared" si="0"/>
        <v>0.11024234560537206</v>
      </c>
      <c r="G8" s="252">
        <v>41441</v>
      </c>
      <c r="H8" s="260">
        <f t="shared" ref="H8:H16" si="3">G8/E8-1</f>
        <v>0.15579417096639236</v>
      </c>
      <c r="I8" s="259">
        <f t="shared" ref="I8:I16" si="4">G8-E8</f>
        <v>5586</v>
      </c>
      <c r="J8" s="258">
        <f t="shared" ref="J8:J16" si="5">G8/$G$6</f>
        <v>0.12117357754600186</v>
      </c>
      <c r="K8" s="252">
        <v>42012</v>
      </c>
      <c r="L8" s="260">
        <f t="shared" ref="L8:L16" si="6">K8/G8-1</f>
        <v>1.3778625033179726E-2</v>
      </c>
      <c r="M8" s="259">
        <f t="shared" ref="M8:M16" si="7">K8-G8</f>
        <v>571</v>
      </c>
      <c r="N8" s="258">
        <f t="shared" ref="N8:N16" si="8">K8/$K$6</f>
        <v>0.12045001032133765</v>
      </c>
      <c r="O8" s="252">
        <v>41448</v>
      </c>
      <c r="P8" s="260">
        <f t="shared" ref="P8:P16" si="9">O8/K8-1</f>
        <v>-1.3424735789774322E-2</v>
      </c>
      <c r="Q8" s="259">
        <f t="shared" ref="Q8:Q16" si="10">O8-K8</f>
        <v>-564</v>
      </c>
      <c r="R8" s="260">
        <f t="shared" si="1"/>
        <v>1.3770331417390258E-2</v>
      </c>
      <c r="S8" s="259">
        <f t="shared" si="2"/>
        <v>563</v>
      </c>
      <c r="T8" s="258">
        <f t="shared" ref="T8:T16" si="11">O8/$O$6</f>
        <v>0.12255723802680718</v>
      </c>
      <c r="V8" s="29"/>
      <c r="W8" s="79"/>
      <c r="AE8" s="1"/>
    </row>
    <row r="9" spans="1:31" s="4" customFormat="1" x14ac:dyDescent="0.25">
      <c r="B9" s="235" t="s">
        <v>46</v>
      </c>
      <c r="C9" s="252">
        <v>4959</v>
      </c>
      <c r="D9" s="252">
        <v>1503</v>
      </c>
      <c r="E9" s="252">
        <v>1994</v>
      </c>
      <c r="F9" s="253">
        <f t="shared" si="0"/>
        <v>6.1308949138784517E-3</v>
      </c>
      <c r="G9" s="252">
        <v>2187</v>
      </c>
      <c r="H9" s="264">
        <f t="shared" si="3"/>
        <v>9.679037111333999E-2</v>
      </c>
      <c r="I9" s="255">
        <f t="shared" si="4"/>
        <v>193</v>
      </c>
      <c r="J9" s="253">
        <f t="shared" si="5"/>
        <v>6.3947929367801472E-3</v>
      </c>
      <c r="K9" s="252">
        <v>12282</v>
      </c>
      <c r="L9" s="260">
        <f t="shared" si="6"/>
        <v>4.6159122085048008</v>
      </c>
      <c r="M9" s="259">
        <f t="shared" si="7"/>
        <v>10095</v>
      </c>
      <c r="N9" s="258">
        <f t="shared" si="8"/>
        <v>3.5212963600082574E-2</v>
      </c>
      <c r="O9" s="252">
        <v>5931</v>
      </c>
      <c r="P9" s="260">
        <f t="shared" si="9"/>
        <v>-0.51709819247679534</v>
      </c>
      <c r="Q9" s="259">
        <f t="shared" si="10"/>
        <v>-6351</v>
      </c>
      <c r="R9" s="260">
        <f t="shared" si="1"/>
        <v>0.19600725952813058</v>
      </c>
      <c r="S9" s="259">
        <f t="shared" si="2"/>
        <v>972</v>
      </c>
      <c r="T9" s="258">
        <f t="shared" si="11"/>
        <v>1.7537323362695267E-2</v>
      </c>
      <c r="V9" s="29"/>
      <c r="W9" s="79"/>
      <c r="AE9" s="1"/>
    </row>
    <row r="10" spans="1:31" s="4" customFormat="1" x14ac:dyDescent="0.25">
      <c r="B10" s="235" t="s">
        <v>48</v>
      </c>
      <c r="C10" s="252">
        <v>56186</v>
      </c>
      <c r="D10" s="252">
        <v>16241</v>
      </c>
      <c r="E10" s="252">
        <v>45986</v>
      </c>
      <c r="F10" s="258">
        <f t="shared" si="0"/>
        <v>0.14139184228165222</v>
      </c>
      <c r="G10" s="252">
        <v>76215</v>
      </c>
      <c r="H10" s="260">
        <f t="shared" si="3"/>
        <v>0.6573522376375418</v>
      </c>
      <c r="I10" s="259">
        <f t="shared" si="4"/>
        <v>30229</v>
      </c>
      <c r="J10" s="258">
        <f t="shared" si="5"/>
        <v>0.22285283204238635</v>
      </c>
      <c r="K10" s="252">
        <v>76079</v>
      </c>
      <c r="L10" s="260">
        <f t="shared" si="6"/>
        <v>-1.7844256379977441E-3</v>
      </c>
      <c r="M10" s="259">
        <f t="shared" si="7"/>
        <v>-136</v>
      </c>
      <c r="N10" s="258">
        <f t="shared" si="8"/>
        <v>0.21812140186701529</v>
      </c>
      <c r="O10" s="252">
        <v>86382</v>
      </c>
      <c r="P10" s="260">
        <f t="shared" si="9"/>
        <v>0.13542501873053014</v>
      </c>
      <c r="Q10" s="259">
        <f t="shared" si="10"/>
        <v>10303</v>
      </c>
      <c r="R10" s="260">
        <f t="shared" si="1"/>
        <v>0.5374292528387854</v>
      </c>
      <c r="S10" s="259">
        <f t="shared" si="2"/>
        <v>30196</v>
      </c>
      <c r="T10" s="258">
        <f>O10/$O$6</f>
        <v>0.25542219974984698</v>
      </c>
      <c r="V10" s="29"/>
      <c r="W10" s="79"/>
      <c r="AE10" s="1"/>
    </row>
    <row r="11" spans="1:31" s="4" customFormat="1" x14ac:dyDescent="0.25">
      <c r="B11" s="235" t="s">
        <v>50</v>
      </c>
      <c r="C11" s="252">
        <v>9234</v>
      </c>
      <c r="D11" s="252">
        <v>2058</v>
      </c>
      <c r="E11" s="252">
        <v>21947</v>
      </c>
      <c r="F11" s="253">
        <f t="shared" si="0"/>
        <v>6.7479814781790562E-2</v>
      </c>
      <c r="G11" s="252">
        <v>13592</v>
      </c>
      <c r="H11" s="264">
        <f t="shared" si="3"/>
        <v>-0.38068984371440284</v>
      </c>
      <c r="I11" s="255">
        <f t="shared" si="4"/>
        <v>-8355</v>
      </c>
      <c r="J11" s="253">
        <f t="shared" si="5"/>
        <v>3.9743038681625861E-2</v>
      </c>
      <c r="K11" s="252">
        <v>16768</v>
      </c>
      <c r="L11" s="260">
        <f t="shared" si="6"/>
        <v>0.23366686286050609</v>
      </c>
      <c r="M11" s="259">
        <f t="shared" si="7"/>
        <v>3176</v>
      </c>
      <c r="N11" s="258">
        <f t="shared" si="8"/>
        <v>4.8074497121493615E-2</v>
      </c>
      <c r="O11" s="252">
        <v>13342</v>
      </c>
      <c r="P11" s="260">
        <f t="shared" si="9"/>
        <v>-0.20431774809160308</v>
      </c>
      <c r="Q11" s="259">
        <f t="shared" si="10"/>
        <v>-3426</v>
      </c>
      <c r="R11" s="260">
        <f t="shared" si="1"/>
        <v>0.44487762616417581</v>
      </c>
      <c r="S11" s="259">
        <f t="shared" si="2"/>
        <v>4108</v>
      </c>
      <c r="T11" s="258">
        <f t="shared" si="11"/>
        <v>3.945084611449675E-2</v>
      </c>
      <c r="V11" s="29"/>
      <c r="W11" s="79"/>
      <c r="AE11" s="1"/>
    </row>
    <row r="12" spans="1:31" s="4" customFormat="1" x14ac:dyDescent="0.25">
      <c r="B12" s="235" t="s">
        <v>51</v>
      </c>
      <c r="C12" s="252">
        <v>44251</v>
      </c>
      <c r="D12" s="252">
        <v>16691</v>
      </c>
      <c r="E12" s="252">
        <v>34948</v>
      </c>
      <c r="F12" s="258">
        <f t="shared" si="0"/>
        <v>0.10745361858085463</v>
      </c>
      <c r="G12" s="252">
        <v>50706</v>
      </c>
      <c r="H12" s="260">
        <f t="shared" si="3"/>
        <v>0.45089847773835423</v>
      </c>
      <c r="I12" s="259">
        <f t="shared" si="4"/>
        <v>15758</v>
      </c>
      <c r="J12" s="258">
        <f t="shared" si="5"/>
        <v>0.14826445846016192</v>
      </c>
      <c r="K12" s="252">
        <v>48815</v>
      </c>
      <c r="L12" s="260">
        <f t="shared" si="6"/>
        <v>-3.7293416952628888E-2</v>
      </c>
      <c r="M12" s="259">
        <f t="shared" si="7"/>
        <v>-1891</v>
      </c>
      <c r="N12" s="258">
        <f t="shared" si="8"/>
        <v>0.13995447143283102</v>
      </c>
      <c r="O12" s="252">
        <v>57435</v>
      </c>
      <c r="P12" s="260">
        <f t="shared" si="9"/>
        <v>0.17658506606575841</v>
      </c>
      <c r="Q12" s="259">
        <f t="shared" si="10"/>
        <v>8620</v>
      </c>
      <c r="R12" s="260">
        <f t="shared" si="1"/>
        <v>0.29793676979051331</v>
      </c>
      <c r="S12" s="259">
        <f t="shared" si="2"/>
        <v>13184</v>
      </c>
      <c r="T12" s="258">
        <f t="shared" si="11"/>
        <v>0.16982906210359175</v>
      </c>
      <c r="V12" s="29"/>
      <c r="W12" s="79"/>
      <c r="AE12" s="1"/>
    </row>
    <row r="13" spans="1:31" s="4" customFormat="1" x14ac:dyDescent="0.25">
      <c r="B13" s="235" t="s">
        <v>49</v>
      </c>
      <c r="C13" s="252">
        <v>12910</v>
      </c>
      <c r="D13" s="252">
        <v>5930</v>
      </c>
      <c r="E13" s="252">
        <v>7014</v>
      </c>
      <c r="F13" s="253">
        <f t="shared" si="0"/>
        <v>2.1565745700071946E-2</v>
      </c>
      <c r="G13" s="252">
        <v>11891</v>
      </c>
      <c r="H13" s="264">
        <f t="shared" si="3"/>
        <v>0.69532363843741085</v>
      </c>
      <c r="I13" s="255">
        <f t="shared" si="4"/>
        <v>4877</v>
      </c>
      <c r="J13" s="253">
        <f t="shared" si="5"/>
        <v>3.4769310841907972E-2</v>
      </c>
      <c r="K13" s="252">
        <v>9535</v>
      </c>
      <c r="L13" s="260">
        <f t="shared" si="6"/>
        <v>-0.19813304179631652</v>
      </c>
      <c r="M13" s="259">
        <f t="shared" si="7"/>
        <v>-2356</v>
      </c>
      <c r="N13" s="258">
        <f t="shared" si="8"/>
        <v>2.7337209569026813E-2</v>
      </c>
      <c r="O13" s="252">
        <v>8202</v>
      </c>
      <c r="P13" s="260">
        <f t="shared" si="9"/>
        <v>-0.13980073413738858</v>
      </c>
      <c r="Q13" s="259">
        <f t="shared" si="10"/>
        <v>-1333</v>
      </c>
      <c r="R13" s="260">
        <f t="shared" si="1"/>
        <v>-0.36467854376452358</v>
      </c>
      <c r="S13" s="259">
        <f t="shared" si="2"/>
        <v>-4708</v>
      </c>
      <c r="T13" s="258">
        <f t="shared" si="11"/>
        <v>2.4252423911790014E-2</v>
      </c>
      <c r="V13" s="29"/>
      <c r="W13" s="79"/>
      <c r="AE13" s="1"/>
    </row>
    <row r="14" spans="1:31" s="4" customFormat="1" x14ac:dyDescent="0.25">
      <c r="B14" s="235" t="s">
        <v>52</v>
      </c>
      <c r="C14" s="252">
        <v>21167</v>
      </c>
      <c r="D14" s="252">
        <v>10065</v>
      </c>
      <c r="E14" s="252">
        <v>28597</v>
      </c>
      <c r="F14" s="258">
        <f t="shared" si="0"/>
        <v>8.7926380066289916E-2</v>
      </c>
      <c r="G14" s="252">
        <v>17244</v>
      </c>
      <c r="H14" s="260">
        <f t="shared" si="3"/>
        <v>-0.39699968528167295</v>
      </c>
      <c r="I14" s="259">
        <f t="shared" si="4"/>
        <v>-11353</v>
      </c>
      <c r="J14" s="258">
        <f t="shared" si="5"/>
        <v>5.0421494925394085E-2</v>
      </c>
      <c r="K14" s="252">
        <v>17464</v>
      </c>
      <c r="L14" s="260">
        <f t="shared" si="6"/>
        <v>1.2758060774762159E-2</v>
      </c>
      <c r="M14" s="259">
        <f t="shared" si="7"/>
        <v>220</v>
      </c>
      <c r="N14" s="258">
        <f t="shared" si="8"/>
        <v>5.0069955732929654E-2</v>
      </c>
      <c r="O14" s="252">
        <v>15005</v>
      </c>
      <c r="P14" s="260">
        <f t="shared" si="9"/>
        <v>-0.14080393953275305</v>
      </c>
      <c r="Q14" s="259">
        <f t="shared" si="10"/>
        <v>-2459</v>
      </c>
      <c r="R14" s="260">
        <f t="shared" si="1"/>
        <v>-0.29111352577124772</v>
      </c>
      <c r="S14" s="259">
        <f t="shared" si="2"/>
        <v>-6162</v>
      </c>
      <c r="T14" s="258">
        <f t="shared" si="11"/>
        <v>4.4368156644283001E-2</v>
      </c>
      <c r="V14" s="29"/>
      <c r="W14" s="79"/>
      <c r="AE14" s="1"/>
    </row>
    <row r="15" spans="1:31" s="4" customFormat="1" x14ac:dyDescent="0.25">
      <c r="B15" s="235" t="s">
        <v>47</v>
      </c>
      <c r="C15" s="252">
        <v>18634</v>
      </c>
      <c r="D15" s="252">
        <v>6072</v>
      </c>
      <c r="E15" s="252">
        <v>16748</v>
      </c>
      <c r="F15" s="253">
        <f t="shared" si="0"/>
        <v>5.1494597802224831E-2</v>
      </c>
      <c r="G15" s="252">
        <v>22757</v>
      </c>
      <c r="H15" s="264">
        <f t="shared" si="3"/>
        <v>0.35878910914736095</v>
      </c>
      <c r="I15" s="255">
        <f t="shared" si="4"/>
        <v>6009</v>
      </c>
      <c r="J15" s="253">
        <f t="shared" si="5"/>
        <v>6.6541519370052954E-2</v>
      </c>
      <c r="K15" s="252">
        <v>28471</v>
      </c>
      <c r="L15" s="260">
        <f t="shared" si="6"/>
        <v>0.25108757744869714</v>
      </c>
      <c r="M15" s="259">
        <f t="shared" si="7"/>
        <v>5714</v>
      </c>
      <c r="N15" s="258">
        <f t="shared" si="8"/>
        <v>8.1627445583614303E-2</v>
      </c>
      <c r="O15" s="252">
        <v>30835</v>
      </c>
      <c r="P15" s="260">
        <f t="shared" si="9"/>
        <v>8.303185697727522E-2</v>
      </c>
      <c r="Q15" s="259">
        <f t="shared" si="10"/>
        <v>2364</v>
      </c>
      <c r="R15" s="260">
        <f t="shared" si="1"/>
        <v>0.65477084898572513</v>
      </c>
      <c r="S15" s="259">
        <f t="shared" si="2"/>
        <v>12201</v>
      </c>
      <c r="T15" s="258">
        <f t="shared" si="11"/>
        <v>9.1175748758844807E-2</v>
      </c>
      <c r="V15" s="29"/>
      <c r="W15" s="79"/>
      <c r="AE15" s="1"/>
    </row>
    <row r="16" spans="1:31" s="4" customFormat="1" x14ac:dyDescent="0.25">
      <c r="B16" s="235" t="s">
        <v>203</v>
      </c>
      <c r="C16" s="252">
        <f>C6-SUM(C7:C15)</f>
        <v>25510</v>
      </c>
      <c r="D16" s="252">
        <f>D6-SUM(D7:D15)</f>
        <v>33881</v>
      </c>
      <c r="E16" s="252">
        <f>E6-SUM(E7:E15)</f>
        <v>22017</v>
      </c>
      <c r="F16" s="258">
        <f t="shared" si="0"/>
        <v>6.769504178478529E-2</v>
      </c>
      <c r="G16" s="252">
        <f>G6-SUM(G7:G15)</f>
        <v>31924</v>
      </c>
      <c r="H16" s="260">
        <f t="shared" si="3"/>
        <v>0.44997047735840479</v>
      </c>
      <c r="I16" s="259">
        <f t="shared" si="4"/>
        <v>9907</v>
      </c>
      <c r="J16" s="258">
        <f t="shared" si="5"/>
        <v>9.3345848062994702E-2</v>
      </c>
      <c r="K16" s="252">
        <f>K6-SUM(K7:K15)</f>
        <v>33975</v>
      </c>
      <c r="L16" s="260">
        <f t="shared" si="6"/>
        <v>6.4246335045733627E-2</v>
      </c>
      <c r="M16" s="259">
        <f t="shared" si="7"/>
        <v>2051</v>
      </c>
      <c r="N16" s="258">
        <f t="shared" si="8"/>
        <v>9.7407624028074041E-2</v>
      </c>
      <c r="O16" s="252">
        <f>O6-SUM(O7:O15)</f>
        <v>28847</v>
      </c>
      <c r="P16" s="260">
        <f t="shared" si="9"/>
        <v>-0.15093451066961006</v>
      </c>
      <c r="Q16" s="259">
        <f t="shared" si="10"/>
        <v>-5128</v>
      </c>
      <c r="R16" s="260">
        <f t="shared" si="1"/>
        <v>0.13081144649157195</v>
      </c>
      <c r="S16" s="259">
        <f t="shared" si="2"/>
        <v>3337</v>
      </c>
      <c r="T16" s="258">
        <f t="shared" si="11"/>
        <v>8.5297448498342657E-2</v>
      </c>
      <c r="V16" s="29"/>
      <c r="W16" s="79"/>
      <c r="AE16" s="1"/>
    </row>
    <row r="17" spans="2:31" s="4" customFormat="1" ht="7.5" customHeight="1" x14ac:dyDescent="0.25">
      <c r="B17" s="236"/>
      <c r="C17" s="236"/>
      <c r="D17" s="236"/>
      <c r="E17" s="236"/>
      <c r="F17" s="236"/>
      <c r="G17" s="236"/>
      <c r="H17" s="236"/>
      <c r="I17" s="236"/>
      <c r="J17" s="236"/>
      <c r="K17" s="236"/>
      <c r="L17" s="236"/>
      <c r="M17" s="236"/>
      <c r="N17" s="236"/>
      <c r="O17" s="236"/>
      <c r="P17" s="236"/>
      <c r="Q17" s="236"/>
      <c r="R17" s="236"/>
      <c r="S17" s="236"/>
      <c r="T17" s="236"/>
      <c r="AE17" s="1" t="s">
        <v>182</v>
      </c>
    </row>
    <row r="18" spans="2:31" s="4" customFormat="1" x14ac:dyDescent="0.25">
      <c r="B18" s="125" t="s">
        <v>183</v>
      </c>
      <c r="C18" s="125"/>
      <c r="D18" s="125"/>
      <c r="E18" s="125"/>
      <c r="F18" s="125"/>
      <c r="G18" s="125"/>
      <c r="H18" s="125"/>
      <c r="I18" s="125"/>
      <c r="J18" s="125"/>
      <c r="K18" s="125"/>
      <c r="L18" s="125"/>
      <c r="M18" s="125"/>
      <c r="N18" s="125"/>
      <c r="O18" s="125"/>
      <c r="P18" s="125"/>
      <c r="Q18" s="125"/>
      <c r="R18" s="125"/>
      <c r="S18" s="125"/>
      <c r="T18" s="125"/>
      <c r="AE18" s="1" t="s">
        <v>184</v>
      </c>
    </row>
    <row r="19" spans="2:31" s="4" customFormat="1" x14ac:dyDescent="0.25">
      <c r="AE19" s="1"/>
    </row>
    <row r="42" spans="2:31" s="4" customFormat="1" ht="15.75" hidden="1" customHeight="1" thickBot="1" x14ac:dyDescent="0.3">
      <c r="B42" s="270" t="s">
        <v>185</v>
      </c>
      <c r="C42" s="270"/>
      <c r="D42" s="270"/>
      <c r="E42" s="270"/>
      <c r="F42" s="270"/>
      <c r="G42" s="270"/>
      <c r="H42" s="270"/>
      <c r="I42" s="270"/>
      <c r="J42" s="270"/>
      <c r="K42" s="270"/>
      <c r="L42" s="270"/>
      <c r="M42" s="270"/>
      <c r="N42" s="270"/>
      <c r="O42" s="270"/>
      <c r="P42" s="270"/>
      <c r="Q42" s="270"/>
      <c r="R42" s="270"/>
      <c r="S42" s="270"/>
      <c r="T42" s="83"/>
      <c r="AE42" s="1"/>
    </row>
    <row r="43" spans="2:31" s="4" customFormat="1" ht="6" hidden="1" customHeight="1" thickBot="1" x14ac:dyDescent="0.3">
      <c r="AE43" s="1"/>
    </row>
    <row r="44" spans="2:31" s="4" customFormat="1" ht="30" hidden="1" x14ac:dyDescent="0.25">
      <c r="C44" s="87"/>
      <c r="D44" s="87"/>
      <c r="E44" s="87"/>
      <c r="F44" s="87"/>
      <c r="G44" s="87"/>
      <c r="H44" s="87"/>
      <c r="I44" s="87"/>
      <c r="J44" s="87"/>
      <c r="K44" s="14">
        <v>2020</v>
      </c>
      <c r="L44" s="14"/>
      <c r="M44" s="14"/>
      <c r="N44" s="14" t="s">
        <v>186</v>
      </c>
      <c r="O44" s="14">
        <v>2021</v>
      </c>
      <c r="P44" s="14" t="s">
        <v>186</v>
      </c>
      <c r="Q44" s="14" t="s">
        <v>187</v>
      </c>
      <c r="R44" s="14" t="s">
        <v>188</v>
      </c>
      <c r="S44" s="14" t="s">
        <v>189</v>
      </c>
      <c r="T44" s="87"/>
      <c r="AE44" s="1"/>
    </row>
    <row r="45" spans="2:31" s="4" customFormat="1" ht="18.75" hidden="1" x14ac:dyDescent="0.3">
      <c r="B45" s="224" t="s">
        <v>173</v>
      </c>
      <c r="C45" s="225"/>
      <c r="D45" s="225"/>
      <c r="E45" s="225"/>
      <c r="F45" s="225"/>
      <c r="G45" s="225"/>
      <c r="H45" s="225"/>
      <c r="I45" s="225"/>
      <c r="J45" s="225"/>
      <c r="K45" s="225">
        <v>1824653</v>
      </c>
      <c r="L45" s="225"/>
      <c r="M45" s="225"/>
      <c r="N45" s="226"/>
      <c r="O45" s="225">
        <v>2354005</v>
      </c>
      <c r="P45" s="226"/>
      <c r="Q45" s="226">
        <v>1</v>
      </c>
      <c r="R45" s="226">
        <v>0.2901110512519367</v>
      </c>
      <c r="S45" s="225">
        <v>529352</v>
      </c>
      <c r="T45" s="237"/>
      <c r="AE45" s="1"/>
    </row>
    <row r="46" spans="2:31" ht="18.75" hidden="1" x14ac:dyDescent="0.3">
      <c r="B46" s="224" t="s">
        <v>174</v>
      </c>
      <c r="C46" s="225"/>
      <c r="D46" s="225"/>
      <c r="E46" s="225"/>
      <c r="F46" s="225"/>
      <c r="G46" s="225"/>
      <c r="H46" s="225"/>
      <c r="I46" s="225"/>
      <c r="J46" s="225"/>
      <c r="K46" s="225">
        <v>603938</v>
      </c>
      <c r="L46" s="225"/>
      <c r="M46" s="225"/>
      <c r="N46" s="226">
        <v>1</v>
      </c>
      <c r="O46" s="225">
        <v>936181</v>
      </c>
      <c r="P46" s="226">
        <v>1</v>
      </c>
      <c r="Q46" s="226">
        <v>0.39769711619134201</v>
      </c>
      <c r="R46" s="226">
        <v>0.55012766211101138</v>
      </c>
      <c r="S46" s="225">
        <v>332243</v>
      </c>
      <c r="T46" s="237"/>
      <c r="AE46" s="1" t="s">
        <v>175</v>
      </c>
    </row>
    <row r="47" spans="2:31" ht="15.75" hidden="1" x14ac:dyDescent="0.25">
      <c r="B47" s="227" t="s">
        <v>100</v>
      </c>
      <c r="C47" s="228"/>
      <c r="D47" s="228"/>
      <c r="E47" s="228"/>
      <c r="F47" s="228"/>
      <c r="G47" s="228"/>
      <c r="H47" s="228"/>
      <c r="I47" s="228"/>
      <c r="J47" s="228"/>
      <c r="K47" s="228">
        <v>276550.36166633503</v>
      </c>
      <c r="L47" s="228"/>
      <c r="M47" s="228"/>
      <c r="N47" s="229">
        <v>0.45791184139155844</v>
      </c>
      <c r="O47" s="228">
        <v>430252.45635520399</v>
      </c>
      <c r="P47" s="229">
        <v>0.4595825554622493</v>
      </c>
      <c r="Q47" s="229">
        <v>0.18277465695918402</v>
      </c>
      <c r="R47" s="229">
        <v>0.55578337978930015</v>
      </c>
      <c r="S47" s="228">
        <v>153702.09468886897</v>
      </c>
      <c r="T47" s="238"/>
      <c r="AE47" s="1" t="s">
        <v>176</v>
      </c>
    </row>
    <row r="48" spans="2:31" s="4" customFormat="1" hidden="1" x14ac:dyDescent="0.25">
      <c r="B48" s="230" t="s">
        <v>103</v>
      </c>
      <c r="C48" s="231"/>
      <c r="D48" s="231"/>
      <c r="E48" s="231"/>
      <c r="F48" s="231"/>
      <c r="G48" s="231"/>
      <c r="H48" s="231"/>
      <c r="I48" s="231"/>
      <c r="J48" s="231"/>
      <c r="K48" s="231">
        <v>327387.63833385095</v>
      </c>
      <c r="L48" s="231"/>
      <c r="M48" s="231"/>
      <c r="N48" s="234">
        <v>0.54208815860874948</v>
      </c>
      <c r="O48" s="231">
        <v>505927.5436448183</v>
      </c>
      <c r="P48" s="234">
        <v>0.54041637636826456</v>
      </c>
      <c r="Q48" s="234">
        <v>0.21492203442423372</v>
      </c>
      <c r="R48" s="232">
        <v>0.54534711884540576</v>
      </c>
      <c r="S48" s="233">
        <v>178539.90531096736</v>
      </c>
      <c r="T48" s="240"/>
      <c r="AE48" s="1" t="s">
        <v>177</v>
      </c>
    </row>
    <row r="49" spans="2:31" s="4" customFormat="1" hidden="1" x14ac:dyDescent="0.25">
      <c r="B49" s="235" t="s">
        <v>178</v>
      </c>
      <c r="C49" s="29"/>
      <c r="D49" s="29"/>
      <c r="E49" s="29"/>
      <c r="F49" s="29"/>
      <c r="G49" s="29"/>
      <c r="H49" s="29"/>
      <c r="I49" s="29"/>
      <c r="J49" s="29"/>
      <c r="K49" s="29">
        <v>242109.12821622068</v>
      </c>
      <c r="L49" s="29"/>
      <c r="M49" s="29"/>
      <c r="N49" s="31">
        <v>0.4008840778626625</v>
      </c>
      <c r="O49" s="29">
        <v>391384.01224089495</v>
      </c>
      <c r="P49" s="31">
        <v>0.41806446855992052</v>
      </c>
      <c r="Q49" s="31">
        <v>0.16626303352834634</v>
      </c>
      <c r="R49" s="22">
        <v>0.61656033014732592</v>
      </c>
      <c r="S49" s="20">
        <v>149274.88402467428</v>
      </c>
      <c r="T49" s="20"/>
      <c r="AE49" s="1" t="s">
        <v>179</v>
      </c>
    </row>
    <row r="50" spans="2:31" s="4" customFormat="1" hidden="1" x14ac:dyDescent="0.25">
      <c r="B50" s="235" t="s">
        <v>180</v>
      </c>
      <c r="C50" s="29"/>
      <c r="D50" s="29"/>
      <c r="E50" s="29"/>
      <c r="F50" s="29"/>
      <c r="G50" s="29"/>
      <c r="H50" s="29"/>
      <c r="I50" s="29"/>
      <c r="J50" s="29"/>
      <c r="K50" s="29">
        <v>85278.510117630256</v>
      </c>
      <c r="L50" s="29"/>
      <c r="M50" s="29"/>
      <c r="N50" s="31">
        <v>0.14120408074608695</v>
      </c>
      <c r="O50" s="29">
        <v>114543.53140392336</v>
      </c>
      <c r="P50" s="31">
        <v>0.12235190780834407</v>
      </c>
      <c r="Q50" s="31">
        <v>4.8659000895887379E-2</v>
      </c>
      <c r="R50" s="22">
        <v>0.34316994100771625</v>
      </c>
      <c r="S50" s="20">
        <v>29265.021286293108</v>
      </c>
      <c r="T50" s="20"/>
      <c r="AE50" s="1" t="s">
        <v>181</v>
      </c>
    </row>
    <row r="51" spans="2:31" s="4" customFormat="1" ht="7.5" hidden="1" customHeight="1" x14ac:dyDescent="0.25">
      <c r="B51" s="236"/>
      <c r="C51" s="236"/>
      <c r="D51" s="236"/>
      <c r="E51" s="236"/>
      <c r="F51" s="236"/>
      <c r="G51" s="236"/>
      <c r="H51" s="236"/>
      <c r="I51" s="236"/>
      <c r="J51" s="236"/>
      <c r="K51" s="236"/>
      <c r="L51" s="236"/>
      <c r="M51" s="236"/>
      <c r="N51" s="236"/>
      <c r="O51" s="236"/>
      <c r="P51" s="236"/>
      <c r="Q51" s="236"/>
      <c r="R51" s="236"/>
      <c r="S51" s="236"/>
      <c r="AE51" s="1" t="s">
        <v>182</v>
      </c>
    </row>
    <row r="52" spans="2:31" s="4" customFormat="1" hidden="1" x14ac:dyDescent="0.25">
      <c r="B52" s="269" t="s">
        <v>183</v>
      </c>
      <c r="C52" s="269"/>
      <c r="D52" s="269"/>
      <c r="E52" s="269"/>
      <c r="F52" s="269"/>
      <c r="G52" s="269"/>
      <c r="H52" s="269"/>
      <c r="I52" s="269"/>
      <c r="J52" s="269"/>
      <c r="K52" s="269"/>
      <c r="L52" s="269"/>
      <c r="M52" s="269"/>
      <c r="N52" s="269"/>
      <c r="O52" s="269"/>
      <c r="P52" s="269"/>
      <c r="Q52" s="269"/>
      <c r="R52" s="269"/>
      <c r="S52" s="269"/>
      <c r="T52" s="48"/>
      <c r="AE52" s="1" t="s">
        <v>184</v>
      </c>
    </row>
    <row r="53" spans="2:31" s="4" customFormat="1" hidden="1" x14ac:dyDescent="0.25">
      <c r="AE53" s="1"/>
    </row>
    <row r="54" spans="2:31" hidden="1" x14ac:dyDescent="0.25">
      <c r="C54" s="122"/>
      <c r="D54" s="122"/>
      <c r="E54" s="122"/>
      <c r="F54" s="122"/>
      <c r="G54" s="122"/>
      <c r="H54" s="122"/>
      <c r="I54" s="122"/>
      <c r="J54" s="122"/>
      <c r="K54" s="122">
        <v>0.54208815860874948</v>
      </c>
      <c r="L54" s="122"/>
      <c r="M54" s="122"/>
    </row>
    <row r="55" spans="2:31" hidden="1" x14ac:dyDescent="0.25"/>
    <row r="56" spans="2:31" hidden="1" x14ac:dyDescent="0.25"/>
    <row r="57" spans="2:31" hidden="1" x14ac:dyDescent="0.25"/>
    <row r="58" spans="2:31" hidden="1" x14ac:dyDescent="0.25"/>
    <row r="59" spans="2:31" hidden="1" x14ac:dyDescent="0.25"/>
    <row r="60" spans="2:31" hidden="1" x14ac:dyDescent="0.25"/>
    <row r="61" spans="2:31" hidden="1" x14ac:dyDescent="0.25"/>
    <row r="62" spans="2:31" hidden="1" x14ac:dyDescent="0.25"/>
    <row r="63" spans="2:31" hidden="1" x14ac:dyDescent="0.25"/>
    <row r="64" spans="2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33" spans="1:31" s="4" customFormat="1" ht="25.5" customHeight="1" thickBot="1" x14ac:dyDescent="0.3">
      <c r="B133" s="62" t="s">
        <v>29</v>
      </c>
      <c r="C133" s="62"/>
      <c r="D133" s="62"/>
      <c r="E133" s="62"/>
      <c r="F133" s="62"/>
      <c r="G133" s="62"/>
      <c r="H133" s="62"/>
      <c r="I133" s="62"/>
      <c r="J133" s="62"/>
      <c r="K133" s="62"/>
      <c r="L133" s="62"/>
      <c r="M133" s="62"/>
      <c r="N133" s="62"/>
      <c r="O133" s="62"/>
      <c r="Z133" s="1"/>
    </row>
    <row r="134" spans="1:31" s="4" customFormat="1" ht="6" customHeight="1" x14ac:dyDescent="0.25">
      <c r="Z134" s="1"/>
    </row>
    <row r="135" spans="1:31" s="4" customFormat="1" ht="30" x14ac:dyDescent="0.25">
      <c r="C135" s="182">
        <v>2019</v>
      </c>
      <c r="D135" s="182">
        <v>2020</v>
      </c>
      <c r="E135" s="182">
        <v>2021</v>
      </c>
      <c r="F135" s="182">
        <v>2022</v>
      </c>
      <c r="G135" s="173" t="str">
        <f>CONCATENATE("var. ",RIGHT(F135,2),"/",RIGHT(E135,2))</f>
        <v>var. 22/21</v>
      </c>
      <c r="H135" s="173" t="str">
        <f>CONCATENATE("dif. ",RIGHT(F135,2),"/",RIGHT(E135,2))</f>
        <v>dif. 22/21</v>
      </c>
      <c r="I135" s="173" t="str">
        <f>CONCATENATE("%/s total Península ",RIGHT(F135,4))</f>
        <v>%/s total Península 2022</v>
      </c>
      <c r="J135" s="182">
        <v>2023</v>
      </c>
      <c r="K135" s="173" t="str">
        <f>CONCATENATE("%/s total España ",RIGHT(J135,4))</f>
        <v>%/s total España 2023</v>
      </c>
      <c r="L135" s="173" t="str">
        <f>CONCATENATE("var. ",RIGHT(J135,2),"/",RIGHT(F135,2))</f>
        <v>var. 23/22</v>
      </c>
      <c r="M135" s="173" t="str">
        <f>CONCATENATE("dif. ",RIGHT(J135,2),"/",RIGHT(F135,2))</f>
        <v>dif. 23/22</v>
      </c>
      <c r="N135" s="173" t="str">
        <f>CONCATENATE("var. ",RIGHT(J135,2),"/",RIGHT(C135,2))</f>
        <v>var. 23/19</v>
      </c>
      <c r="O135" s="173" t="str">
        <f>CONCATENATE("dif. ",RIGHT(J135,2),"/",RIGHT(C135,2))</f>
        <v>dif. 23/19</v>
      </c>
      <c r="Z135" s="1"/>
    </row>
    <row r="136" spans="1:31" ht="18.75" x14ac:dyDescent="0.3">
      <c r="A136" s="4"/>
      <c r="B136" s="224" t="s">
        <v>202</v>
      </c>
      <c r="C136" s="228">
        <v>415150</v>
      </c>
      <c r="D136" s="228">
        <v>208389</v>
      </c>
      <c r="E136" s="228">
        <v>416048</v>
      </c>
      <c r="F136" s="228">
        <v>423208</v>
      </c>
      <c r="G136" s="229">
        <f>F136/E136-1</f>
        <v>1.7209552743914225E-2</v>
      </c>
      <c r="H136" s="228">
        <f>F136-E136</f>
        <v>7160</v>
      </c>
      <c r="I136" s="229">
        <f>F136/F$136</f>
        <v>1</v>
      </c>
      <c r="J136" s="228">
        <v>428791</v>
      </c>
      <c r="K136" s="229">
        <f>H136/H$136</f>
        <v>1</v>
      </c>
      <c r="L136" s="229">
        <f>J136/F136-1</f>
        <v>1.3192094667397569E-2</v>
      </c>
      <c r="M136" s="228">
        <f>J136-F136</f>
        <v>5583</v>
      </c>
      <c r="N136" s="229">
        <f>J136/C136-1</f>
        <v>3.2858003131398306E-2</v>
      </c>
      <c r="O136" s="228">
        <f>J136-C136</f>
        <v>13641</v>
      </c>
      <c r="Q136" s="29"/>
      <c r="R136" s="79"/>
      <c r="Z136" s="1" t="s">
        <v>175</v>
      </c>
      <c r="AE136"/>
    </row>
    <row r="137" spans="1:31" s="4" customFormat="1" x14ac:dyDescent="0.25">
      <c r="B137" s="235" t="s">
        <v>44</v>
      </c>
      <c r="C137" s="252">
        <v>113067</v>
      </c>
      <c r="D137" s="252">
        <v>68476</v>
      </c>
      <c r="E137" s="252">
        <v>126666</v>
      </c>
      <c r="F137" s="252">
        <v>86811</v>
      </c>
      <c r="G137" s="258">
        <f t="shared" ref="G137:G146" si="12">F137/E137-1</f>
        <v>-0.31464639287575202</v>
      </c>
      <c r="H137" s="265">
        <f t="shared" ref="H137:H146" si="13">F137-E137</f>
        <v>-39855</v>
      </c>
      <c r="I137" s="260">
        <f t="shared" ref="I137:K146" si="14">F137/F$136</f>
        <v>0.20512608457307044</v>
      </c>
      <c r="J137" s="252">
        <v>75374</v>
      </c>
      <c r="K137" s="260">
        <f t="shared" si="14"/>
        <v>-5.5663407821229054</v>
      </c>
      <c r="L137" s="260">
        <f t="shared" ref="L137:L146" si="15">J137/F137-1</f>
        <v>-0.13174597689232936</v>
      </c>
      <c r="M137" s="259">
        <f t="shared" ref="M137:M146" si="16">J137-F137</f>
        <v>-11437</v>
      </c>
      <c r="N137" s="258">
        <f t="shared" ref="N137:N146" si="17">J137/C137-1</f>
        <v>-0.33336871058752771</v>
      </c>
      <c r="O137" s="252">
        <f t="shared" ref="O137:O146" si="18">J137-C137</f>
        <v>-37693</v>
      </c>
      <c r="Q137" s="29"/>
      <c r="R137" s="79"/>
      <c r="Z137" s="1" t="s">
        <v>177</v>
      </c>
    </row>
    <row r="138" spans="1:31" s="4" customFormat="1" x14ac:dyDescent="0.25">
      <c r="B138" s="235" t="s">
        <v>45</v>
      </c>
      <c r="C138" s="252">
        <v>51328</v>
      </c>
      <c r="D138" s="252">
        <v>24912</v>
      </c>
      <c r="E138" s="252">
        <v>43482</v>
      </c>
      <c r="F138" s="252">
        <v>48094</v>
      </c>
      <c r="G138" s="258">
        <f t="shared" si="12"/>
        <v>0.10606687824847061</v>
      </c>
      <c r="H138" s="265">
        <f t="shared" si="13"/>
        <v>4612</v>
      </c>
      <c r="I138" s="260">
        <f t="shared" si="14"/>
        <v>0.11364151906391183</v>
      </c>
      <c r="J138" s="252">
        <v>51902</v>
      </c>
      <c r="K138" s="260">
        <f t="shared" si="14"/>
        <v>0.64413407821229052</v>
      </c>
      <c r="L138" s="260">
        <f t="shared" si="15"/>
        <v>7.9178275876408799E-2</v>
      </c>
      <c r="M138" s="259">
        <f t="shared" si="16"/>
        <v>3808</v>
      </c>
      <c r="N138" s="258">
        <f t="shared" si="17"/>
        <v>1.118298004987528E-2</v>
      </c>
      <c r="O138" s="252">
        <f t="shared" si="18"/>
        <v>574</v>
      </c>
      <c r="Q138" s="29"/>
      <c r="R138" s="79"/>
      <c r="Z138" s="1"/>
    </row>
    <row r="139" spans="1:31" s="4" customFormat="1" x14ac:dyDescent="0.25">
      <c r="B139" s="235" t="s">
        <v>46</v>
      </c>
      <c r="C139" s="252">
        <v>5944</v>
      </c>
      <c r="D139" s="252">
        <v>1658</v>
      </c>
      <c r="E139" s="252">
        <v>2415</v>
      </c>
      <c r="F139" s="252">
        <v>3515</v>
      </c>
      <c r="G139" s="258">
        <f t="shared" si="12"/>
        <v>0.45548654244306408</v>
      </c>
      <c r="H139" s="266">
        <f t="shared" si="13"/>
        <v>1100</v>
      </c>
      <c r="I139" s="264">
        <f t="shared" si="14"/>
        <v>8.3056085896296861E-3</v>
      </c>
      <c r="J139" s="252">
        <v>14811</v>
      </c>
      <c r="K139" s="264">
        <f t="shared" si="14"/>
        <v>0.15363128491620112</v>
      </c>
      <c r="L139" s="260">
        <f t="shared" si="15"/>
        <v>3.2136557610241825</v>
      </c>
      <c r="M139" s="259">
        <f t="shared" si="16"/>
        <v>11296</v>
      </c>
      <c r="N139" s="258">
        <f t="shared" si="17"/>
        <v>1.4917563930013458</v>
      </c>
      <c r="O139" s="252">
        <f t="shared" si="18"/>
        <v>8867</v>
      </c>
      <c r="Q139" s="29"/>
      <c r="R139" s="79"/>
      <c r="Z139" s="1"/>
    </row>
    <row r="140" spans="1:31" s="4" customFormat="1" x14ac:dyDescent="0.25">
      <c r="B140" s="235" t="s">
        <v>48</v>
      </c>
      <c r="C140" s="252">
        <v>72064</v>
      </c>
      <c r="D140" s="252">
        <v>28320</v>
      </c>
      <c r="E140" s="252">
        <v>66989</v>
      </c>
      <c r="F140" s="252">
        <v>97391</v>
      </c>
      <c r="G140" s="258">
        <f t="shared" si="12"/>
        <v>0.45383570436937415</v>
      </c>
      <c r="H140" s="265">
        <f t="shared" si="13"/>
        <v>30402</v>
      </c>
      <c r="I140" s="260">
        <f t="shared" si="14"/>
        <v>0.23012561199221188</v>
      </c>
      <c r="J140" s="252">
        <v>92103</v>
      </c>
      <c r="K140" s="260">
        <f t="shared" si="14"/>
        <v>4.2460893854748605</v>
      </c>
      <c r="L140" s="260">
        <f t="shared" si="15"/>
        <v>-5.4296598248298134E-2</v>
      </c>
      <c r="M140" s="259">
        <f t="shared" si="16"/>
        <v>-5288</v>
      </c>
      <c r="N140" s="258">
        <f t="shared" si="17"/>
        <v>0.27807226909413862</v>
      </c>
      <c r="O140" s="252">
        <f t="shared" si="18"/>
        <v>20039</v>
      </c>
      <c r="Q140" s="29"/>
      <c r="R140" s="79"/>
      <c r="Z140" s="1"/>
    </row>
    <row r="141" spans="1:31" s="4" customFormat="1" x14ac:dyDescent="0.25">
      <c r="B141" s="235" t="s">
        <v>50</v>
      </c>
      <c r="C141" s="252">
        <v>11886</v>
      </c>
      <c r="D141" s="252">
        <v>4963</v>
      </c>
      <c r="E141" s="252">
        <v>24120</v>
      </c>
      <c r="F141" s="252">
        <v>16359</v>
      </c>
      <c r="G141" s="258">
        <f t="shared" si="12"/>
        <v>-0.32176616915422884</v>
      </c>
      <c r="H141" s="266">
        <f t="shared" si="13"/>
        <v>-7761</v>
      </c>
      <c r="I141" s="264">
        <f t="shared" si="14"/>
        <v>3.8654751327952215E-2</v>
      </c>
      <c r="J141" s="252">
        <v>19520</v>
      </c>
      <c r="K141" s="264">
        <f t="shared" si="14"/>
        <v>-1.0839385474860335</v>
      </c>
      <c r="L141" s="260">
        <f t="shared" si="15"/>
        <v>0.19322696986368371</v>
      </c>
      <c r="M141" s="259">
        <f t="shared" si="16"/>
        <v>3161</v>
      </c>
      <c r="N141" s="258">
        <f t="shared" si="17"/>
        <v>0.64226821470637718</v>
      </c>
      <c r="O141" s="252">
        <f t="shared" si="18"/>
        <v>7634</v>
      </c>
      <c r="Q141" s="29"/>
      <c r="R141" s="79"/>
      <c r="Z141" s="1"/>
    </row>
    <row r="142" spans="1:31" s="4" customFormat="1" x14ac:dyDescent="0.25">
      <c r="B142" s="235" t="s">
        <v>51</v>
      </c>
      <c r="C142" s="252">
        <v>61076</v>
      </c>
      <c r="D142" s="252">
        <v>27791</v>
      </c>
      <c r="E142" s="252">
        <v>53247</v>
      </c>
      <c r="F142" s="252">
        <v>69865</v>
      </c>
      <c r="G142" s="258">
        <f t="shared" si="12"/>
        <v>0.31209270005821921</v>
      </c>
      <c r="H142" s="265">
        <f t="shared" si="13"/>
        <v>16618</v>
      </c>
      <c r="I142" s="260">
        <f t="shared" si="14"/>
        <v>0.16508430842517155</v>
      </c>
      <c r="J142" s="252">
        <v>66121</v>
      </c>
      <c r="K142" s="260">
        <f t="shared" si="14"/>
        <v>2.3209497206703911</v>
      </c>
      <c r="L142" s="260">
        <f t="shared" si="15"/>
        <v>-5.3589064624633198E-2</v>
      </c>
      <c r="M142" s="259">
        <f t="shared" si="16"/>
        <v>-3744</v>
      </c>
      <c r="N142" s="258">
        <f t="shared" si="17"/>
        <v>8.2602004060514878E-2</v>
      </c>
      <c r="O142" s="252">
        <f t="shared" si="18"/>
        <v>5045</v>
      </c>
      <c r="Q142" s="29"/>
      <c r="R142" s="79"/>
      <c r="Z142" s="1"/>
    </row>
    <row r="143" spans="1:31" s="4" customFormat="1" x14ac:dyDescent="0.25">
      <c r="B143" s="235" t="s">
        <v>49</v>
      </c>
      <c r="C143" s="252">
        <v>19153</v>
      </c>
      <c r="D143" s="252">
        <v>8684</v>
      </c>
      <c r="E143" s="252">
        <v>11001</v>
      </c>
      <c r="F143" s="252">
        <v>16289</v>
      </c>
      <c r="G143" s="258">
        <f t="shared" si="12"/>
        <v>0.48068357422052532</v>
      </c>
      <c r="H143" s="266">
        <f t="shared" si="13"/>
        <v>5288</v>
      </c>
      <c r="I143" s="264">
        <f t="shared" si="14"/>
        <v>3.8489348027447495E-2</v>
      </c>
      <c r="J143" s="252">
        <v>12024</v>
      </c>
      <c r="K143" s="264">
        <f t="shared" si="14"/>
        <v>0.73854748603351961</v>
      </c>
      <c r="L143" s="260">
        <f t="shared" si="15"/>
        <v>-0.261833138928111</v>
      </c>
      <c r="M143" s="259">
        <f t="shared" si="16"/>
        <v>-4265</v>
      </c>
      <c r="N143" s="258">
        <f t="shared" si="17"/>
        <v>-0.37221323030334674</v>
      </c>
      <c r="O143" s="252">
        <f t="shared" si="18"/>
        <v>-7129</v>
      </c>
      <c r="Q143" s="29"/>
      <c r="R143" s="79"/>
      <c r="Z143" s="1"/>
    </row>
    <row r="144" spans="1:31" s="4" customFormat="1" x14ac:dyDescent="0.25">
      <c r="B144" s="235" t="s">
        <v>52</v>
      </c>
      <c r="C144" s="252">
        <v>24890</v>
      </c>
      <c r="D144" s="252">
        <v>20058</v>
      </c>
      <c r="E144" s="252">
        <v>34195</v>
      </c>
      <c r="F144" s="252">
        <v>19943</v>
      </c>
      <c r="G144" s="258">
        <f t="shared" si="12"/>
        <v>-0.41678607983623339</v>
      </c>
      <c r="H144" s="265">
        <f t="shared" si="13"/>
        <v>-14252</v>
      </c>
      <c r="I144" s="260">
        <f t="shared" si="14"/>
        <v>4.7123400313793688E-2</v>
      </c>
      <c r="J144" s="252">
        <v>20738</v>
      </c>
      <c r="K144" s="260">
        <f t="shared" si="14"/>
        <v>-1.9905027932960895</v>
      </c>
      <c r="L144" s="260">
        <f t="shared" si="15"/>
        <v>3.9863611292182632E-2</v>
      </c>
      <c r="M144" s="259">
        <f t="shared" si="16"/>
        <v>795</v>
      </c>
      <c r="N144" s="258">
        <f t="shared" si="17"/>
        <v>-0.16681398151868221</v>
      </c>
      <c r="O144" s="252">
        <f t="shared" si="18"/>
        <v>-4152</v>
      </c>
      <c r="Q144" s="29"/>
      <c r="R144" s="79"/>
      <c r="Z144" s="1"/>
    </row>
    <row r="145" spans="2:31" s="4" customFormat="1" x14ac:dyDescent="0.25">
      <c r="B145" s="235" t="s">
        <v>47</v>
      </c>
      <c r="C145" s="252">
        <v>22752</v>
      </c>
      <c r="D145" s="252">
        <v>8930</v>
      </c>
      <c r="E145" s="252">
        <v>21567</v>
      </c>
      <c r="F145" s="252">
        <v>23338</v>
      </c>
      <c r="G145" s="258">
        <f t="shared" si="12"/>
        <v>8.2116196040246781E-2</v>
      </c>
      <c r="H145" s="266">
        <f t="shared" si="13"/>
        <v>1771</v>
      </c>
      <c r="I145" s="264">
        <f t="shared" si="14"/>
        <v>5.5145460388272435E-2</v>
      </c>
      <c r="J145" s="252">
        <v>31999</v>
      </c>
      <c r="K145" s="264">
        <f t="shared" si="14"/>
        <v>0.24734636871508381</v>
      </c>
      <c r="L145" s="260">
        <f t="shared" si="15"/>
        <v>0.37111149198731685</v>
      </c>
      <c r="M145" s="259">
        <f t="shared" si="16"/>
        <v>8661</v>
      </c>
      <c r="N145" s="258">
        <f t="shared" si="17"/>
        <v>0.40642580872011247</v>
      </c>
      <c r="O145" s="252">
        <f t="shared" si="18"/>
        <v>9247</v>
      </c>
      <c r="Q145" s="29"/>
      <c r="R145" s="79"/>
      <c r="Z145" s="1"/>
    </row>
    <row r="146" spans="2:31" s="4" customFormat="1" x14ac:dyDescent="0.25">
      <c r="B146" s="235" t="s">
        <v>203</v>
      </c>
      <c r="C146" s="252">
        <f>C136-SUM(C137:C145)</f>
        <v>32990</v>
      </c>
      <c r="D146" s="252">
        <f>D136-SUM(D137:D145)</f>
        <v>14597</v>
      </c>
      <c r="E146" s="252">
        <f>E136-SUM(E137:E145)</f>
        <v>32366</v>
      </c>
      <c r="F146" s="252">
        <f>F136-SUM(F137:F145)</f>
        <v>41603</v>
      </c>
      <c r="G146" s="258">
        <f t="shared" si="12"/>
        <v>0.28539207810665523</v>
      </c>
      <c r="H146" s="265">
        <f t="shared" si="13"/>
        <v>9237</v>
      </c>
      <c r="I146" s="260">
        <f t="shared" si="14"/>
        <v>9.8303907298538787E-2</v>
      </c>
      <c r="J146" s="252">
        <f>J136-SUM(J137:J145)</f>
        <v>44199</v>
      </c>
      <c r="K146" s="260">
        <f t="shared" si="14"/>
        <v>1.2900837988826817</v>
      </c>
      <c r="L146" s="260">
        <f t="shared" si="15"/>
        <v>6.2399346200995076E-2</v>
      </c>
      <c r="M146" s="259">
        <f t="shared" si="16"/>
        <v>2596</v>
      </c>
      <c r="N146" s="258">
        <f t="shared" si="17"/>
        <v>0.33976962715974546</v>
      </c>
      <c r="O146" s="252">
        <f t="shared" si="18"/>
        <v>11209</v>
      </c>
      <c r="Q146" s="29"/>
      <c r="R146" s="79"/>
      <c r="Z146" s="1"/>
    </row>
    <row r="147" spans="2:31" s="4" customFormat="1" ht="7.5" customHeight="1" x14ac:dyDescent="0.25">
      <c r="B147" s="236"/>
      <c r="C147" s="236"/>
      <c r="D147" s="236"/>
      <c r="E147" s="236"/>
      <c r="F147" s="236"/>
      <c r="G147" s="236"/>
      <c r="H147" s="236"/>
      <c r="I147" s="236"/>
      <c r="J147" s="236"/>
      <c r="K147" s="236"/>
      <c r="L147" s="236"/>
      <c r="M147" s="236"/>
      <c r="N147" s="236"/>
      <c r="O147" s="236"/>
      <c r="Z147" s="1" t="s">
        <v>182</v>
      </c>
    </row>
    <row r="148" spans="2:31" s="4" customFormat="1" x14ac:dyDescent="0.25">
      <c r="B148" s="125" t="s">
        <v>183</v>
      </c>
      <c r="C148" s="125"/>
      <c r="D148" s="125"/>
      <c r="E148" s="125"/>
      <c r="F148" s="125"/>
      <c r="G148" s="125"/>
      <c r="H148" s="125"/>
      <c r="I148" s="125"/>
      <c r="J148" s="125"/>
      <c r="K148" s="125"/>
      <c r="L148" s="125"/>
      <c r="M148" s="125"/>
      <c r="N148" s="125"/>
      <c r="O148" s="125"/>
      <c r="Z148" s="1" t="s">
        <v>184</v>
      </c>
    </row>
    <row r="149" spans="2:31" x14ac:dyDescent="0.25">
      <c r="Z149" s="1"/>
      <c r="AE149"/>
    </row>
  </sheetData>
  <mergeCells count="2">
    <mergeCell ref="B42:S42"/>
    <mergeCell ref="B52:S5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2C902E-E253-4DA0-927F-DA0F7F88F496}">
  <sheetPr>
    <tabColor theme="4" tint="0.39997558519241921"/>
  </sheetPr>
  <dimension ref="A4:E23"/>
  <sheetViews>
    <sheetView showGridLines="0" zoomScaleNormal="100" workbookViewId="0"/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70" t="s">
        <v>319</v>
      </c>
      <c r="C4" s="270"/>
      <c r="D4" s="270"/>
      <c r="E4" s="1" t="s">
        <v>66</v>
      </c>
    </row>
    <row r="5" spans="1:5" ht="10.5" customHeight="1" thickBot="1" x14ac:dyDescent="0.3">
      <c r="B5" s="106"/>
      <c r="C5" s="107"/>
      <c r="D5" s="106"/>
      <c r="E5" s="1" t="s">
        <v>67</v>
      </c>
    </row>
    <row r="6" spans="1:5" ht="22.5" thickTop="1" thickBot="1" x14ac:dyDescent="0.3">
      <c r="B6" s="108" t="s">
        <v>30</v>
      </c>
      <c r="C6" s="292" t="s">
        <v>206</v>
      </c>
      <c r="D6" s="293"/>
    </row>
    <row r="7" spans="1:5" ht="16.5" thickTop="1" thickBot="1" x14ac:dyDescent="0.3">
      <c r="B7" s="85"/>
      <c r="C7" s="111" t="s">
        <v>138</v>
      </c>
      <c r="D7" s="112" t="s">
        <v>139</v>
      </c>
    </row>
    <row r="8" spans="1:5" x14ac:dyDescent="0.25">
      <c r="A8" s="1" t="s">
        <v>70</v>
      </c>
      <c r="B8" s="114">
        <v>2023</v>
      </c>
      <c r="C8" s="115">
        <v>1041269</v>
      </c>
      <c r="D8" s="116">
        <f t="shared" ref="D8:D20" si="0">C8/C9-1</f>
        <v>2.4083848931087504E-2</v>
      </c>
    </row>
    <row r="9" spans="1:5" x14ac:dyDescent="0.25">
      <c r="A9" s="1"/>
      <c r="B9" s="114">
        <v>2022</v>
      </c>
      <c r="C9" s="115">
        <v>1016781</v>
      </c>
      <c r="D9" s="116">
        <f t="shared" si="0"/>
        <v>0.27049822504282761</v>
      </c>
    </row>
    <row r="10" spans="1:5" x14ac:dyDescent="0.25">
      <c r="A10" s="1"/>
      <c r="B10" s="114">
        <v>2021</v>
      </c>
      <c r="C10" s="115">
        <v>800301</v>
      </c>
      <c r="D10" s="116">
        <f t="shared" si="0"/>
        <v>0.75242126376501872</v>
      </c>
    </row>
    <row r="11" spans="1:5" x14ac:dyDescent="0.25">
      <c r="A11" s="1" t="s">
        <v>72</v>
      </c>
      <c r="B11" s="114">
        <v>2020</v>
      </c>
      <c r="C11" s="115">
        <v>456683</v>
      </c>
      <c r="D11" s="116">
        <f t="shared" si="0"/>
        <v>-0.5640494980225419</v>
      </c>
    </row>
    <row r="12" spans="1:5" x14ac:dyDescent="0.25">
      <c r="A12" s="1" t="s">
        <v>74</v>
      </c>
      <c r="B12" s="114">
        <v>2019</v>
      </c>
      <c r="C12" s="115">
        <v>1047557</v>
      </c>
      <c r="D12" s="116">
        <f t="shared" si="0"/>
        <v>1.8337832570067158E-2</v>
      </c>
    </row>
    <row r="13" spans="1:5" x14ac:dyDescent="0.25">
      <c r="A13" s="1" t="s">
        <v>76</v>
      </c>
      <c r="B13" s="114">
        <v>2018</v>
      </c>
      <c r="C13" s="115">
        <v>1028693</v>
      </c>
      <c r="D13" s="116">
        <f t="shared" si="0"/>
        <v>5.9228437393170408E-2</v>
      </c>
    </row>
    <row r="14" spans="1:5" x14ac:dyDescent="0.25">
      <c r="A14" s="1" t="s">
        <v>78</v>
      </c>
      <c r="B14" s="114">
        <v>2017</v>
      </c>
      <c r="C14" s="115">
        <v>971172</v>
      </c>
      <c r="D14" s="116">
        <f>C14/C15-1</f>
        <v>7.945898148032926E-3</v>
      </c>
    </row>
    <row r="15" spans="1:5" x14ac:dyDescent="0.25">
      <c r="A15" s="1" t="s">
        <v>80</v>
      </c>
      <c r="B15" s="114">
        <v>2016</v>
      </c>
      <c r="C15" s="115">
        <v>963516</v>
      </c>
      <c r="D15" s="116">
        <f>C15/C16-1</f>
        <v>2.6852246568334959E-2</v>
      </c>
    </row>
    <row r="16" spans="1:5" x14ac:dyDescent="0.25">
      <c r="A16" s="1" t="s">
        <v>82</v>
      </c>
      <c r="B16" s="114">
        <v>2015</v>
      </c>
      <c r="C16" s="115">
        <v>938320</v>
      </c>
      <c r="D16" s="116">
        <f t="shared" si="0"/>
        <v>3.0851989557787451E-3</v>
      </c>
    </row>
    <row r="17" spans="1:4" x14ac:dyDescent="0.25">
      <c r="A17" s="1" t="s">
        <v>84</v>
      </c>
      <c r="B17" s="114">
        <v>2014</v>
      </c>
      <c r="C17" s="115">
        <v>935434</v>
      </c>
      <c r="D17" s="116">
        <f t="shared" si="0"/>
        <v>-2.6347206912954224E-2</v>
      </c>
    </row>
    <row r="18" spans="1:4" x14ac:dyDescent="0.25">
      <c r="A18" s="1" t="s">
        <v>86</v>
      </c>
      <c r="B18" s="114">
        <v>2013</v>
      </c>
      <c r="C18" s="115">
        <v>960747</v>
      </c>
      <c r="D18" s="116">
        <f t="shared" si="0"/>
        <v>-2.0906750694513754E-2</v>
      </c>
    </row>
    <row r="19" spans="1:4" x14ac:dyDescent="0.25">
      <c r="A19" s="1" t="s">
        <v>88</v>
      </c>
      <c r="B19" s="114">
        <v>2012</v>
      </c>
      <c r="C19" s="115">
        <v>981262</v>
      </c>
      <c r="D19" s="116">
        <f>C19/C20-1</f>
        <v>-6.5069419830861785E-2</v>
      </c>
    </row>
    <row r="20" spans="1:4" x14ac:dyDescent="0.25">
      <c r="A20" s="1" t="s">
        <v>90</v>
      </c>
      <c r="B20" s="114">
        <v>2011</v>
      </c>
      <c r="C20" s="115">
        <v>1049556</v>
      </c>
      <c r="D20" s="116">
        <f t="shared" si="0"/>
        <v>-0.1178659799359888</v>
      </c>
    </row>
    <row r="21" spans="1:4" x14ac:dyDescent="0.25">
      <c r="A21" s="1" t="s">
        <v>92</v>
      </c>
      <c r="B21" s="114">
        <v>2010</v>
      </c>
      <c r="C21" s="115">
        <v>1189792</v>
      </c>
      <c r="D21" s="116"/>
    </row>
    <row r="22" spans="1:4" ht="6" customHeight="1" x14ac:dyDescent="0.25"/>
    <row r="23" spans="1:4" x14ac:dyDescent="0.25">
      <c r="B23" s="105" t="s">
        <v>55</v>
      </c>
      <c r="C23" s="105"/>
      <c r="D23" s="105"/>
    </row>
  </sheetData>
  <mergeCells count="2">
    <mergeCell ref="B4:D4"/>
    <mergeCell ref="C6:D6"/>
  </mergeCells>
  <pageMargins left="0.7" right="0.7" top="0.75" bottom="0.75" header="0.3" footer="0.3"/>
  <pageSetup paperSize="9" orientation="portrait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98C9FE-32AE-41B6-91E7-56FF89B1D470}">
  <sheetPr>
    <tabColor theme="4" tint="0.39997558519241921"/>
  </sheetPr>
  <dimension ref="A4:E23"/>
  <sheetViews>
    <sheetView showGridLines="0" zoomScaleNormal="100" workbookViewId="0"/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70" t="s">
        <v>320</v>
      </c>
      <c r="C4" s="270"/>
      <c r="D4" s="270"/>
      <c r="E4" s="1" t="s">
        <v>66</v>
      </c>
    </row>
    <row r="5" spans="1:5" ht="10.5" customHeight="1" thickBot="1" x14ac:dyDescent="0.3">
      <c r="B5" s="106"/>
      <c r="C5" s="107"/>
      <c r="D5" s="106"/>
      <c r="E5" s="1" t="s">
        <v>67</v>
      </c>
    </row>
    <row r="6" spans="1:5" ht="22.5" thickTop="1" thickBot="1" x14ac:dyDescent="0.3">
      <c r="B6" s="108" t="s">
        <v>30</v>
      </c>
      <c r="C6" s="292" t="s">
        <v>207</v>
      </c>
      <c r="D6" s="293"/>
    </row>
    <row r="7" spans="1:5" ht="16.5" thickTop="1" thickBot="1" x14ac:dyDescent="0.3">
      <c r="B7" s="85"/>
      <c r="C7" s="111" t="s">
        <v>138</v>
      </c>
      <c r="D7" s="112" t="s">
        <v>139</v>
      </c>
    </row>
    <row r="8" spans="1:5" x14ac:dyDescent="0.25">
      <c r="A8" s="1" t="s">
        <v>70</v>
      </c>
      <c r="B8" s="114">
        <v>2023</v>
      </c>
      <c r="C8" s="115">
        <v>25698</v>
      </c>
      <c r="D8" s="116">
        <f t="shared" ref="D8:D20" si="0">C8/C9-1</f>
        <v>0.46678082191780823</v>
      </c>
    </row>
    <row r="9" spans="1:5" x14ac:dyDescent="0.25">
      <c r="A9" s="1"/>
      <c r="B9" s="114">
        <v>2022</v>
      </c>
      <c r="C9" s="115">
        <v>17520</v>
      </c>
      <c r="D9" s="116">
        <f t="shared" si="0"/>
        <v>0.63265306122448983</v>
      </c>
    </row>
    <row r="10" spans="1:5" x14ac:dyDescent="0.25">
      <c r="A10" s="1"/>
      <c r="B10" s="114">
        <v>2021</v>
      </c>
      <c r="C10" s="115">
        <v>10731</v>
      </c>
      <c r="D10" s="116">
        <f t="shared" si="0"/>
        <v>0.46218830903392827</v>
      </c>
    </row>
    <row r="11" spans="1:5" x14ac:dyDescent="0.25">
      <c r="A11" s="1" t="s">
        <v>72</v>
      </c>
      <c r="B11" s="114">
        <v>2020</v>
      </c>
      <c r="C11" s="115">
        <v>7339</v>
      </c>
      <c r="D11" s="116">
        <f t="shared" si="0"/>
        <v>-0.59150617833685848</v>
      </c>
    </row>
    <row r="12" spans="1:5" x14ac:dyDescent="0.25">
      <c r="A12" s="1" t="s">
        <v>74</v>
      </c>
      <c r="B12" s="114">
        <v>2019</v>
      </c>
      <c r="C12" s="115">
        <v>17966</v>
      </c>
      <c r="D12" s="116">
        <f t="shared" si="0"/>
        <v>2.5573695627354676E-2</v>
      </c>
    </row>
    <row r="13" spans="1:5" x14ac:dyDescent="0.25">
      <c r="A13" s="1" t="s">
        <v>76</v>
      </c>
      <c r="B13" s="114">
        <v>2018</v>
      </c>
      <c r="C13" s="115">
        <v>17518</v>
      </c>
      <c r="D13" s="116">
        <f t="shared" si="0"/>
        <v>-0.20861944344054928</v>
      </c>
    </row>
    <row r="14" spans="1:5" x14ac:dyDescent="0.25">
      <c r="A14" s="1" t="s">
        <v>78</v>
      </c>
      <c r="B14" s="114">
        <v>2017</v>
      </c>
      <c r="C14" s="115">
        <v>22136</v>
      </c>
      <c r="D14" s="116">
        <f>C14/C15-1</f>
        <v>1.1700182815356452E-2</v>
      </c>
    </row>
    <row r="15" spans="1:5" x14ac:dyDescent="0.25">
      <c r="A15" s="1" t="s">
        <v>80</v>
      </c>
      <c r="B15" s="114">
        <v>2016</v>
      </c>
      <c r="C15" s="115">
        <v>21880</v>
      </c>
      <c r="D15" s="116">
        <f>C15/C16-1</f>
        <v>1.9014719533218405</v>
      </c>
    </row>
    <row r="16" spans="1:5" x14ac:dyDescent="0.25">
      <c r="A16" s="1" t="s">
        <v>82</v>
      </c>
      <c r="B16" s="114">
        <v>2015</v>
      </c>
      <c r="C16" s="115">
        <v>7541</v>
      </c>
      <c r="D16" s="116">
        <f t="shared" si="0"/>
        <v>-0.12537694270470889</v>
      </c>
    </row>
    <row r="17" spans="1:4" x14ac:dyDescent="0.25">
      <c r="A17" s="1" t="s">
        <v>84</v>
      </c>
      <c r="B17" s="114">
        <v>2014</v>
      </c>
      <c r="C17" s="115">
        <v>8622</v>
      </c>
      <c r="D17" s="116">
        <f t="shared" si="0"/>
        <v>0.41972665898238093</v>
      </c>
    </row>
    <row r="18" spans="1:4" x14ac:dyDescent="0.25">
      <c r="A18" s="1" t="s">
        <v>86</v>
      </c>
      <c r="B18" s="114">
        <v>2013</v>
      </c>
      <c r="C18" s="115">
        <v>6073</v>
      </c>
      <c r="D18" s="116">
        <f t="shared" si="0"/>
        <v>-0.50992575855390576</v>
      </c>
    </row>
    <row r="19" spans="1:4" x14ac:dyDescent="0.25">
      <c r="A19" s="1" t="s">
        <v>88</v>
      </c>
      <c r="B19" s="114">
        <v>2012</v>
      </c>
      <c r="C19" s="115">
        <v>12392</v>
      </c>
      <c r="D19" s="116">
        <f>C19/C20-1</f>
        <v>2.8688729316266</v>
      </c>
    </row>
    <row r="20" spans="1:4" x14ac:dyDescent="0.25">
      <c r="A20" s="1" t="s">
        <v>90</v>
      </c>
      <c r="B20" s="114">
        <v>2011</v>
      </c>
      <c r="C20" s="115">
        <v>3203</v>
      </c>
      <c r="D20" s="116">
        <f t="shared" si="0"/>
        <v>-0.25250875145857643</v>
      </c>
    </row>
    <row r="21" spans="1:4" x14ac:dyDescent="0.25">
      <c r="A21" s="1" t="s">
        <v>92</v>
      </c>
      <c r="B21" s="114">
        <v>2010</v>
      </c>
      <c r="C21" s="115">
        <v>4285</v>
      </c>
      <c r="D21" s="116"/>
    </row>
    <row r="22" spans="1:4" ht="6" customHeight="1" x14ac:dyDescent="0.25"/>
    <row r="23" spans="1:4" x14ac:dyDescent="0.25">
      <c r="B23" s="105" t="s">
        <v>55</v>
      </c>
      <c r="C23" s="105"/>
      <c r="D23" s="105"/>
    </row>
  </sheetData>
  <mergeCells count="2">
    <mergeCell ref="B4:D4"/>
    <mergeCell ref="C6:D6"/>
  </mergeCells>
  <pageMargins left="0.7" right="0.7" top="0.75" bottom="0.75" header="0.3" footer="0.3"/>
  <pageSetup paperSize="9" orientation="portrait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B2B214-90E8-4DBF-B3A9-305076E36EE8}">
  <sheetPr>
    <tabColor theme="4" tint="0.39997558519241921"/>
  </sheetPr>
  <dimension ref="A4:E23"/>
  <sheetViews>
    <sheetView showGridLines="0" zoomScaleNormal="100" workbookViewId="0"/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70" t="s">
        <v>321</v>
      </c>
      <c r="C4" s="270"/>
      <c r="D4" s="270"/>
      <c r="E4" s="1" t="s">
        <v>66</v>
      </c>
    </row>
    <row r="5" spans="1:5" ht="10.5" customHeight="1" thickBot="1" x14ac:dyDescent="0.3">
      <c r="B5" s="106"/>
      <c r="C5" s="107"/>
      <c r="D5" s="106"/>
      <c r="E5" s="1" t="s">
        <v>67</v>
      </c>
    </row>
    <row r="6" spans="1:5" ht="22.5" thickTop="1" thickBot="1" x14ac:dyDescent="0.3">
      <c r="B6" s="108" t="s">
        <v>30</v>
      </c>
      <c r="C6" s="292" t="s">
        <v>208</v>
      </c>
      <c r="D6" s="293"/>
    </row>
    <row r="7" spans="1:5" ht="16.5" thickTop="1" thickBot="1" x14ac:dyDescent="0.3">
      <c r="B7" s="85"/>
      <c r="C7" s="111" t="s">
        <v>138</v>
      </c>
      <c r="D7" s="112" t="s">
        <v>139</v>
      </c>
    </row>
    <row r="8" spans="1:5" x14ac:dyDescent="0.25">
      <c r="A8" s="1" t="s">
        <v>70</v>
      </c>
      <c r="B8" s="114">
        <v>2023</v>
      </c>
      <c r="C8" s="115">
        <v>12024</v>
      </c>
      <c r="D8" s="116">
        <f t="shared" ref="D8:D20" si="0">C8/C9-1</f>
        <v>-0.261833138928111</v>
      </c>
    </row>
    <row r="9" spans="1:5" x14ac:dyDescent="0.25">
      <c r="A9" s="1"/>
      <c r="B9" s="114">
        <v>2022</v>
      </c>
      <c r="C9" s="115">
        <v>16289</v>
      </c>
      <c r="D9" s="116">
        <f t="shared" si="0"/>
        <v>0.48068357422052532</v>
      </c>
    </row>
    <row r="10" spans="1:5" x14ac:dyDescent="0.25">
      <c r="A10" s="1"/>
      <c r="B10" s="114">
        <v>2021</v>
      </c>
      <c r="C10" s="115">
        <v>11001</v>
      </c>
      <c r="D10" s="116">
        <f t="shared" si="0"/>
        <v>0.26681252878857675</v>
      </c>
    </row>
    <row r="11" spans="1:5" x14ac:dyDescent="0.25">
      <c r="A11" s="1" t="s">
        <v>72</v>
      </c>
      <c r="B11" s="114">
        <v>2020</v>
      </c>
      <c r="C11" s="115">
        <v>8684</v>
      </c>
      <c r="D11" s="116">
        <f t="shared" si="0"/>
        <v>-0.54659844410797265</v>
      </c>
    </row>
    <row r="12" spans="1:5" x14ac:dyDescent="0.25">
      <c r="A12" s="1" t="s">
        <v>74</v>
      </c>
      <c r="B12" s="114">
        <v>2019</v>
      </c>
      <c r="C12" s="115">
        <v>19153</v>
      </c>
      <c r="D12" s="116">
        <f t="shared" si="0"/>
        <v>0.14250775471247912</v>
      </c>
    </row>
    <row r="13" spans="1:5" x14ac:dyDescent="0.25">
      <c r="A13" s="1" t="s">
        <v>76</v>
      </c>
      <c r="B13" s="114">
        <v>2018</v>
      </c>
      <c r="C13" s="115">
        <v>16764</v>
      </c>
      <c r="D13" s="116">
        <f t="shared" si="0"/>
        <v>0.10507580751483192</v>
      </c>
    </row>
    <row r="14" spans="1:5" x14ac:dyDescent="0.25">
      <c r="A14" s="1" t="s">
        <v>78</v>
      </c>
      <c r="B14" s="114">
        <v>2017</v>
      </c>
      <c r="C14" s="115">
        <v>15170</v>
      </c>
      <c r="D14" s="116">
        <f>C14/C15-1</f>
        <v>0.1184016514302566</v>
      </c>
    </row>
    <row r="15" spans="1:5" x14ac:dyDescent="0.25">
      <c r="A15" s="1" t="s">
        <v>80</v>
      </c>
      <c r="B15" s="114">
        <v>2016</v>
      </c>
      <c r="C15" s="115">
        <v>13564</v>
      </c>
      <c r="D15" s="116">
        <f>C15/C16-1</f>
        <v>-0.23006187205540107</v>
      </c>
    </row>
    <row r="16" spans="1:5" x14ac:dyDescent="0.25">
      <c r="A16" s="1" t="s">
        <v>82</v>
      </c>
      <c r="B16" s="114">
        <v>2015</v>
      </c>
      <c r="C16" s="115">
        <v>17617</v>
      </c>
      <c r="D16" s="116">
        <f t="shared" si="0"/>
        <v>0.6649655042056517</v>
      </c>
    </row>
    <row r="17" spans="1:4" x14ac:dyDescent="0.25">
      <c r="A17" s="1" t="s">
        <v>84</v>
      </c>
      <c r="B17" s="114">
        <v>2014</v>
      </c>
      <c r="C17" s="115">
        <v>10581</v>
      </c>
      <c r="D17" s="116">
        <f t="shared" si="0"/>
        <v>-7.8762306610408173E-3</v>
      </c>
    </row>
    <row r="18" spans="1:4" x14ac:dyDescent="0.25">
      <c r="A18" s="1" t="s">
        <v>86</v>
      </c>
      <c r="B18" s="114">
        <v>2013</v>
      </c>
      <c r="C18" s="115">
        <v>10665</v>
      </c>
      <c r="D18" s="116">
        <f t="shared" si="0"/>
        <v>0.33982412060301503</v>
      </c>
    </row>
    <row r="19" spans="1:4" x14ac:dyDescent="0.25">
      <c r="A19" s="1" t="s">
        <v>88</v>
      </c>
      <c r="B19" s="114">
        <v>2012</v>
      </c>
      <c r="C19" s="115">
        <v>7960</v>
      </c>
      <c r="D19" s="116">
        <f>C19/C20-1</f>
        <v>-0.52154835607381145</v>
      </c>
    </row>
    <row r="20" spans="1:4" x14ac:dyDescent="0.25">
      <c r="A20" s="1" t="s">
        <v>90</v>
      </c>
      <c r="B20" s="114">
        <v>2011</v>
      </c>
      <c r="C20" s="115">
        <v>16637</v>
      </c>
      <c r="D20" s="116">
        <f t="shared" si="0"/>
        <v>-0.25932686314664766</v>
      </c>
    </row>
    <row r="21" spans="1:4" x14ac:dyDescent="0.25">
      <c r="A21" s="1" t="s">
        <v>92</v>
      </c>
      <c r="B21" s="114">
        <v>2010</v>
      </c>
      <c r="C21" s="115">
        <v>22462</v>
      </c>
      <c r="D21" s="116"/>
    </row>
    <row r="22" spans="1:4" ht="6" customHeight="1" x14ac:dyDescent="0.25"/>
    <row r="23" spans="1:4" x14ac:dyDescent="0.25">
      <c r="B23" s="105" t="s">
        <v>55</v>
      </c>
      <c r="C23" s="105"/>
      <c r="D23" s="105"/>
    </row>
  </sheetData>
  <mergeCells count="2">
    <mergeCell ref="B4:D4"/>
    <mergeCell ref="C6:D6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001BBB-74D0-472C-8990-D646BDED3942}">
  <sheetPr>
    <tabColor rgb="FF92D050"/>
  </sheetPr>
  <dimension ref="B1:W54"/>
  <sheetViews>
    <sheetView showGridLines="0" zoomScaleNormal="100" workbookViewId="0"/>
  </sheetViews>
  <sheetFormatPr baseColWidth="10" defaultRowHeight="15" x14ac:dyDescent="0.25"/>
  <cols>
    <col min="1" max="1" width="15.5703125" customWidth="1"/>
    <col min="2" max="2" width="24.7109375" customWidth="1"/>
    <col min="3" max="8" width="11.42578125" customWidth="1"/>
    <col min="9" max="10" width="10.7109375" customWidth="1"/>
    <col min="11" max="11" width="12" customWidth="1"/>
    <col min="12" max="12" width="10.7109375" customWidth="1"/>
    <col min="13" max="18" width="12.28515625" customWidth="1"/>
    <col min="19" max="19" width="10.7109375" customWidth="1"/>
    <col min="20" max="20" width="13" customWidth="1"/>
    <col min="21" max="21" width="10.7109375" customWidth="1"/>
    <col min="24" max="24" width="14.42578125" customWidth="1"/>
    <col min="25" max="26" width="7.85546875" customWidth="1"/>
    <col min="27" max="27" width="8.140625" customWidth="1"/>
    <col min="28" max="28" width="9" customWidth="1"/>
    <col min="29" max="30" width="9.42578125" customWidth="1"/>
  </cols>
  <sheetData>
    <row r="1" spans="2:23" ht="42.75" customHeight="1" x14ac:dyDescent="0.25"/>
    <row r="3" spans="2:23" ht="30.75" customHeight="1" thickBot="1" x14ac:dyDescent="0.3">
      <c r="B3" s="82" t="str">
        <f>CONCATENATE("Plazas alojativas en funcionamiento Tenerife y municipios")</f>
        <v>Plazas alojativas en funcionamiento Tenerife y municipios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62"/>
      <c r="W3" s="62"/>
    </row>
    <row r="4" spans="2:23" ht="6.95" customHeight="1" x14ac:dyDescent="0.25">
      <c r="B4" s="83"/>
      <c r="C4" s="83"/>
      <c r="D4" s="83"/>
      <c r="E4" s="83"/>
      <c r="F4" s="83"/>
      <c r="G4" s="83"/>
      <c r="H4" s="83"/>
      <c r="I4" s="84"/>
      <c r="J4" s="83"/>
      <c r="K4" s="83"/>
      <c r="L4" s="83"/>
      <c r="M4" s="83"/>
      <c r="N4" s="83"/>
      <c r="O4" s="83"/>
      <c r="P4" s="83"/>
      <c r="Q4" s="83"/>
      <c r="R4" s="84"/>
      <c r="S4" s="84"/>
      <c r="T4" s="84"/>
      <c r="U4" s="84"/>
      <c r="V4" s="84"/>
      <c r="W4" s="84"/>
    </row>
    <row r="5" spans="2:23" ht="15.75" thickBot="1" x14ac:dyDescent="0.3">
      <c r="B5" s="85"/>
      <c r="C5" s="290" t="s">
        <v>58</v>
      </c>
      <c r="D5" s="290"/>
      <c r="E5" s="290"/>
      <c r="F5" s="290"/>
      <c r="G5" s="290"/>
      <c r="H5" s="290"/>
      <c r="I5" s="86"/>
      <c r="J5" s="86"/>
      <c r="K5" s="86"/>
      <c r="L5" s="86"/>
      <c r="M5" s="87"/>
      <c r="N5" s="291" t="s">
        <v>59</v>
      </c>
      <c r="O5" s="291"/>
      <c r="P5" s="291"/>
      <c r="Q5" s="291"/>
      <c r="R5" s="291"/>
      <c r="S5" s="86"/>
      <c r="T5" s="86"/>
      <c r="U5" s="86"/>
      <c r="V5" s="86"/>
      <c r="W5" s="87"/>
    </row>
    <row r="6" spans="2:23" ht="59.25" customHeight="1" x14ac:dyDescent="0.25">
      <c r="B6" s="88"/>
      <c r="C6" s="14">
        <v>2018</v>
      </c>
      <c r="D6" s="14">
        <v>2019</v>
      </c>
      <c r="E6" s="14">
        <v>2020</v>
      </c>
      <c r="F6" s="14">
        <v>2021</v>
      </c>
      <c r="G6" s="14">
        <v>2022</v>
      </c>
      <c r="H6" s="14">
        <v>2023</v>
      </c>
      <c r="I6" s="89" t="str">
        <f>CONCATENATE("var. ",RIGHT(H6,2),"/",RIGHT(G6,2))</f>
        <v>var. 23/22</v>
      </c>
      <c r="J6" s="89" t="str">
        <f>CONCATENATE("var. ",RIGHT(H6,2),"/",RIGHT(D6,2))</f>
        <v>var. 23/19</v>
      </c>
      <c r="K6" s="89" t="str">
        <f>CONCATENATE("dif. ",RIGHT(H6,2),"/",RIGHT(G6,2))</f>
        <v>dif. 23/22</v>
      </c>
      <c r="L6" s="89" t="str">
        <f>CONCATENATE("dif. ",RIGHT(H6,2),"/",RIGHT(D6,2))</f>
        <v>dif. 23/19</v>
      </c>
      <c r="M6" s="14" t="str">
        <f>CONCATENATE("cuota/ total isla ",RIGHT(H6,2))</f>
        <v>cuota/ total isla 23</v>
      </c>
      <c r="N6" s="90" t="s">
        <v>235</v>
      </c>
      <c r="O6" s="90" t="s">
        <v>225</v>
      </c>
      <c r="P6" s="90" t="s">
        <v>226</v>
      </c>
      <c r="Q6" s="90" t="s">
        <v>227</v>
      </c>
      <c r="R6" s="90" t="s">
        <v>228</v>
      </c>
      <c r="S6" s="89" t="str">
        <f>CONCATENATE("var. ",RIGHT(R6,2),"/",RIGHT(Q6,2))</f>
        <v>var. 24/23</v>
      </c>
      <c r="T6" s="89" t="str">
        <f>CONCATENATE("var. ",RIGHT(R6,2),"/",RIGHT(N6,2))</f>
        <v>var. 24/20</v>
      </c>
      <c r="U6" s="89" t="str">
        <f>CONCATENATE("dif. ",RIGHT(R6,2),"/",RIGHT(Q6,2))</f>
        <v>dif. 24/23</v>
      </c>
      <c r="V6" s="89" t="str">
        <f>CONCATENATE("dif. ",RIGHT(R6,2),"/",RIGHT(N6,2))</f>
        <v>dif. 24/20</v>
      </c>
      <c r="W6" s="87" t="str">
        <f>CONCATENATE("cuota/ total isla ",RIGHT(R6,2))</f>
        <v>cuota/ total isla 24</v>
      </c>
    </row>
    <row r="7" spans="2:23" x14ac:dyDescent="0.25">
      <c r="B7" s="91" t="s">
        <v>43</v>
      </c>
      <c r="C7" s="92">
        <v>131498</v>
      </c>
      <c r="D7" s="92">
        <v>132144</v>
      </c>
      <c r="E7" s="92">
        <v>66601</v>
      </c>
      <c r="F7" s="92">
        <v>82456</v>
      </c>
      <c r="G7" s="92">
        <v>123696</v>
      </c>
      <c r="H7" s="92">
        <v>125536</v>
      </c>
      <c r="I7" s="93">
        <f t="shared" ref="I7:I52" si="0">IFERROR(H7/G7-1,"-")</f>
        <v>1.48751778553875E-2</v>
      </c>
      <c r="J7" s="93">
        <f t="shared" ref="J7:J52" si="1">IFERROR(H7/D7-1,"-")</f>
        <v>-5.0006054001695111E-2</v>
      </c>
      <c r="K7" s="92">
        <f t="shared" ref="K7:K52" si="2">IFERROR(H7-G7,"-")</f>
        <v>1840</v>
      </c>
      <c r="L7" s="92">
        <f t="shared" ref="L7:L52" si="3">IFERROR(H7-D7,"-")</f>
        <v>-6608</v>
      </c>
      <c r="M7" s="93">
        <f>H7/H7</f>
        <v>1</v>
      </c>
      <c r="N7" s="92">
        <v>67671</v>
      </c>
      <c r="O7" s="92">
        <v>108506</v>
      </c>
      <c r="P7" s="92">
        <v>124412</v>
      </c>
      <c r="Q7" s="92">
        <v>380751</v>
      </c>
      <c r="R7" s="92">
        <v>127349</v>
      </c>
      <c r="S7" s="93">
        <f t="shared" ref="S7:S52" si="4">IFERROR(R7/Q7-1,"-")</f>
        <v>-0.66553206688885913</v>
      </c>
      <c r="T7" s="93">
        <f t="shared" ref="T7:T52" si="5">IFERROR(R7/N7-1,"-")</f>
        <v>0.8818844113431159</v>
      </c>
      <c r="U7" s="92">
        <f t="shared" ref="U7:U52" si="6">IFERROR(R7-Q7,"-")</f>
        <v>-253402</v>
      </c>
      <c r="V7" s="92">
        <f t="shared" ref="V7:V52" si="7">IFERROR(R7-N7,"-")</f>
        <v>59678</v>
      </c>
      <c r="W7" s="93">
        <f>R7/R7</f>
        <v>1</v>
      </c>
    </row>
    <row r="8" spans="2:23" x14ac:dyDescent="0.25">
      <c r="B8" s="94" t="s">
        <v>60</v>
      </c>
      <c r="C8" s="95">
        <v>86575</v>
      </c>
      <c r="D8" s="95">
        <v>88579</v>
      </c>
      <c r="E8" s="95">
        <v>44487</v>
      </c>
      <c r="F8" s="95">
        <v>56791</v>
      </c>
      <c r="G8" s="95">
        <v>89503</v>
      </c>
      <c r="H8" s="95">
        <v>89318</v>
      </c>
      <c r="I8" s="96">
        <f t="shared" si="0"/>
        <v>-2.0669698222406385E-3</v>
      </c>
      <c r="J8" s="96">
        <f t="shared" si="1"/>
        <v>8.3428352092482783E-3</v>
      </c>
      <c r="K8" s="95">
        <f t="shared" si="2"/>
        <v>-185</v>
      </c>
      <c r="L8" s="95">
        <f t="shared" si="3"/>
        <v>739</v>
      </c>
      <c r="M8" s="96">
        <f>H8/H7</f>
        <v>0.71149311751210809</v>
      </c>
      <c r="N8" s="95">
        <v>45474</v>
      </c>
      <c r="O8" s="95">
        <v>79527</v>
      </c>
      <c r="P8" s="95">
        <v>89464</v>
      </c>
      <c r="Q8" s="95">
        <v>90839</v>
      </c>
      <c r="R8" s="95">
        <v>91665</v>
      </c>
      <c r="S8" s="96">
        <f t="shared" si="4"/>
        <v>9.0930107112583425E-3</v>
      </c>
      <c r="T8" s="96">
        <f t="shared" si="5"/>
        <v>1.0157672516163081</v>
      </c>
      <c r="U8" s="95">
        <f t="shared" si="6"/>
        <v>826</v>
      </c>
      <c r="V8" s="95">
        <f t="shared" si="7"/>
        <v>46191</v>
      </c>
      <c r="W8" s="96">
        <f>R8/R7</f>
        <v>0.71979363795553952</v>
      </c>
    </row>
    <row r="9" spans="2:23" x14ac:dyDescent="0.25">
      <c r="B9" s="97" t="s">
        <v>61</v>
      </c>
      <c r="C9" s="52">
        <v>67220</v>
      </c>
      <c r="D9" s="52">
        <v>69015</v>
      </c>
      <c r="E9" s="52">
        <v>34865</v>
      </c>
      <c r="F9" s="52">
        <v>45244</v>
      </c>
      <c r="G9" s="52">
        <v>71471</v>
      </c>
      <c r="H9" s="52">
        <v>72829</v>
      </c>
      <c r="I9" s="98">
        <f t="shared" si="0"/>
        <v>1.9000713576135864E-2</v>
      </c>
      <c r="J9" s="98">
        <f t="shared" si="1"/>
        <v>5.5263348547417213E-2</v>
      </c>
      <c r="K9" s="52">
        <f t="shared" si="2"/>
        <v>1358</v>
      </c>
      <c r="L9" s="52">
        <f t="shared" si="3"/>
        <v>3814</v>
      </c>
      <c r="M9" s="98">
        <f>H9/H7</f>
        <v>0.58014434106551105</v>
      </c>
      <c r="N9" s="52">
        <v>35573</v>
      </c>
      <c r="O9" s="52">
        <v>63504</v>
      </c>
      <c r="P9" s="52">
        <v>71177</v>
      </c>
      <c r="Q9" s="52">
        <v>74929</v>
      </c>
      <c r="R9" s="52">
        <v>75342</v>
      </c>
      <c r="S9" s="98">
        <f t="shared" si="4"/>
        <v>5.5118845840729236E-3</v>
      </c>
      <c r="T9" s="98">
        <f t="shared" si="5"/>
        <v>1.117954628510387</v>
      </c>
      <c r="U9" s="52">
        <f t="shared" si="6"/>
        <v>413</v>
      </c>
      <c r="V9" s="52">
        <f t="shared" si="7"/>
        <v>39769</v>
      </c>
      <c r="W9" s="98">
        <f>R9/R7</f>
        <v>0.59161830874211807</v>
      </c>
    </row>
    <row r="10" spans="2:23" x14ac:dyDescent="0.25">
      <c r="B10" s="97" t="s">
        <v>62</v>
      </c>
      <c r="C10" s="52">
        <v>19355</v>
      </c>
      <c r="D10" s="52">
        <v>19564</v>
      </c>
      <c r="E10" s="52">
        <v>9622</v>
      </c>
      <c r="F10" s="52">
        <v>11547</v>
      </c>
      <c r="G10" s="52">
        <v>18032</v>
      </c>
      <c r="H10" s="52">
        <v>16489</v>
      </c>
      <c r="I10" s="98">
        <f t="shared" si="0"/>
        <v>-8.5570097604259043E-2</v>
      </c>
      <c r="J10" s="98">
        <f t="shared" si="1"/>
        <v>-0.15717644653445106</v>
      </c>
      <c r="K10" s="52">
        <f t="shared" si="2"/>
        <v>-1543</v>
      </c>
      <c r="L10" s="52">
        <f t="shared" si="3"/>
        <v>-3075</v>
      </c>
      <c r="M10" s="98">
        <f>H10/H7</f>
        <v>0.13134877644659698</v>
      </c>
      <c r="N10" s="52">
        <v>9901</v>
      </c>
      <c r="O10" s="52">
        <v>16023</v>
      </c>
      <c r="P10" s="52">
        <v>18287</v>
      </c>
      <c r="Q10" s="52">
        <v>15910</v>
      </c>
      <c r="R10" s="52">
        <v>16323</v>
      </c>
      <c r="S10" s="98">
        <f t="shared" si="4"/>
        <v>2.5958516656191089E-2</v>
      </c>
      <c r="T10" s="98">
        <f t="shared" si="5"/>
        <v>0.64862135137864851</v>
      </c>
      <c r="U10" s="52">
        <f t="shared" si="6"/>
        <v>413</v>
      </c>
      <c r="V10" s="52">
        <f t="shared" si="7"/>
        <v>6422</v>
      </c>
      <c r="W10" s="98">
        <f>R10/R7</f>
        <v>0.1281753292134214</v>
      </c>
    </row>
    <row r="11" spans="2:23" x14ac:dyDescent="0.25">
      <c r="B11" s="94" t="s">
        <v>63</v>
      </c>
      <c r="C11" s="95">
        <v>44923</v>
      </c>
      <c r="D11" s="95">
        <v>43565</v>
      </c>
      <c r="E11" s="95">
        <v>22114</v>
      </c>
      <c r="F11" s="95">
        <v>25665</v>
      </c>
      <c r="G11" s="95">
        <v>34193</v>
      </c>
      <c r="H11" s="95">
        <v>36218</v>
      </c>
      <c r="I11" s="96">
        <f t="shared" si="0"/>
        <v>5.9222647910391002E-2</v>
      </c>
      <c r="J11" s="96">
        <f t="shared" si="1"/>
        <v>-0.16864455411454149</v>
      </c>
      <c r="K11" s="95">
        <f t="shared" si="2"/>
        <v>2025</v>
      </c>
      <c r="L11" s="95">
        <f t="shared" si="3"/>
        <v>-7347</v>
      </c>
      <c r="M11" s="96">
        <f>H11/H7</f>
        <v>0.28850688248789191</v>
      </c>
      <c r="N11" s="95">
        <v>22197</v>
      </c>
      <c r="O11" s="95">
        <v>28979</v>
      </c>
      <c r="P11" s="95">
        <v>34948</v>
      </c>
      <c r="Q11" s="95">
        <v>36078</v>
      </c>
      <c r="R11" s="95">
        <v>35684</v>
      </c>
      <c r="S11" s="96">
        <f t="shared" si="4"/>
        <v>-1.0920782748489399E-2</v>
      </c>
      <c r="T11" s="96">
        <f t="shared" si="5"/>
        <v>0.60760463125647601</v>
      </c>
      <c r="U11" s="95">
        <f t="shared" si="6"/>
        <v>-394</v>
      </c>
      <c r="V11" s="95">
        <f t="shared" si="7"/>
        <v>13487</v>
      </c>
      <c r="W11" s="96">
        <f>R11/R7</f>
        <v>0.28020636204446048</v>
      </c>
    </row>
    <row r="12" spans="2:23" x14ac:dyDescent="0.25">
      <c r="B12" s="91" t="s">
        <v>44</v>
      </c>
      <c r="C12" s="99">
        <v>46317</v>
      </c>
      <c r="D12" s="99">
        <v>46648</v>
      </c>
      <c r="E12" s="99">
        <v>23742</v>
      </c>
      <c r="F12" s="99">
        <v>29697</v>
      </c>
      <c r="G12" s="99">
        <v>44233</v>
      </c>
      <c r="H12" s="99">
        <v>45902</v>
      </c>
      <c r="I12" s="100">
        <f t="shared" si="0"/>
        <v>3.7732010037754726E-2</v>
      </c>
      <c r="J12" s="100">
        <f t="shared" si="1"/>
        <v>-1.5992111130166298E-2</v>
      </c>
      <c r="K12" s="99">
        <f t="shared" si="2"/>
        <v>1669</v>
      </c>
      <c r="L12" s="99">
        <f t="shared" si="3"/>
        <v>-746</v>
      </c>
      <c r="M12" s="93">
        <f>H12/H12</f>
        <v>1</v>
      </c>
      <c r="N12" s="99">
        <v>24366</v>
      </c>
      <c r="O12" s="99">
        <v>38935</v>
      </c>
      <c r="P12" s="99">
        <v>44073</v>
      </c>
      <c r="Q12" s="99">
        <v>46343</v>
      </c>
      <c r="R12" s="99">
        <v>46333</v>
      </c>
      <c r="S12" s="100">
        <f t="shared" si="4"/>
        <v>-2.1578231879681997E-4</v>
      </c>
      <c r="T12" s="100">
        <f t="shared" si="5"/>
        <v>0.9015431338750719</v>
      </c>
      <c r="U12" s="99">
        <f t="shared" si="6"/>
        <v>-10</v>
      </c>
      <c r="V12" s="99">
        <f t="shared" si="7"/>
        <v>21967</v>
      </c>
      <c r="W12" s="93">
        <f>R12/R12</f>
        <v>1</v>
      </c>
    </row>
    <row r="13" spans="2:23" x14ac:dyDescent="0.25">
      <c r="B13" s="94" t="s">
        <v>60</v>
      </c>
      <c r="C13" s="95">
        <v>33397</v>
      </c>
      <c r="D13" s="95">
        <v>34050</v>
      </c>
      <c r="E13" s="95">
        <v>17566</v>
      </c>
      <c r="F13" s="95">
        <v>23340</v>
      </c>
      <c r="G13" s="95">
        <v>34827</v>
      </c>
      <c r="H13" s="95">
        <v>34946</v>
      </c>
      <c r="I13" s="96">
        <f t="shared" si="0"/>
        <v>3.4168891951646962E-3</v>
      </c>
      <c r="J13" s="96">
        <f t="shared" si="1"/>
        <v>2.631424375917768E-2</v>
      </c>
      <c r="K13" s="95">
        <f t="shared" si="2"/>
        <v>119</v>
      </c>
      <c r="L13" s="95">
        <f t="shared" si="3"/>
        <v>896</v>
      </c>
      <c r="M13" s="96">
        <f>H13/H12</f>
        <v>0.76131758964750995</v>
      </c>
      <c r="N13" s="95">
        <v>18619</v>
      </c>
      <c r="O13" s="95">
        <v>31968</v>
      </c>
      <c r="P13" s="95">
        <v>34318</v>
      </c>
      <c r="Q13" s="95">
        <v>35510</v>
      </c>
      <c r="R13" s="95">
        <v>34946</v>
      </c>
      <c r="S13" s="96">
        <f t="shared" si="4"/>
        <v>-1.588284990143618E-2</v>
      </c>
      <c r="T13" s="96">
        <f t="shared" si="5"/>
        <v>0.87689994092056511</v>
      </c>
      <c r="U13" s="95">
        <f t="shared" si="6"/>
        <v>-564</v>
      </c>
      <c r="V13" s="95">
        <f t="shared" si="7"/>
        <v>16327</v>
      </c>
      <c r="W13" s="96">
        <f>R13/R12</f>
        <v>0.75423564198303583</v>
      </c>
    </row>
    <row r="14" spans="2:23" x14ac:dyDescent="0.25">
      <c r="B14" s="97" t="s">
        <v>61</v>
      </c>
      <c r="C14" s="52">
        <v>26684</v>
      </c>
      <c r="D14" s="52">
        <v>27660</v>
      </c>
      <c r="E14" s="52">
        <v>14847</v>
      </c>
      <c r="F14" s="52">
        <v>20181</v>
      </c>
      <c r="G14" s="52">
        <v>29820</v>
      </c>
      <c r="H14" s="52">
        <v>30493</v>
      </c>
      <c r="I14" s="98">
        <f t="shared" si="0"/>
        <v>2.2568745808182467E-2</v>
      </c>
      <c r="J14" s="98">
        <f t="shared" si="1"/>
        <v>0.1024222704266089</v>
      </c>
      <c r="K14" s="52">
        <f t="shared" si="2"/>
        <v>673</v>
      </c>
      <c r="L14" s="52">
        <f t="shared" si="3"/>
        <v>2833</v>
      </c>
      <c r="M14" s="98">
        <f>H14/H12</f>
        <v>0.66430656616269446</v>
      </c>
      <c r="N14" s="52">
        <v>15833</v>
      </c>
      <c r="O14" s="52">
        <v>27191</v>
      </c>
      <c r="P14" s="52">
        <v>29302</v>
      </c>
      <c r="Q14" s="52">
        <v>31185</v>
      </c>
      <c r="R14" s="52">
        <v>30941</v>
      </c>
      <c r="S14" s="98">
        <f t="shared" si="4"/>
        <v>-7.824274490941141E-3</v>
      </c>
      <c r="T14" s="98">
        <f t="shared" si="5"/>
        <v>0.95420956230657494</v>
      </c>
      <c r="U14" s="52">
        <f t="shared" si="6"/>
        <v>-244</v>
      </c>
      <c r="V14" s="52">
        <f t="shared" si="7"/>
        <v>15108</v>
      </c>
      <c r="W14" s="98">
        <f>R14/R12</f>
        <v>0.66779617119547618</v>
      </c>
    </row>
    <row r="15" spans="2:23" x14ac:dyDescent="0.25">
      <c r="B15" s="97" t="s">
        <v>62</v>
      </c>
      <c r="C15" s="52">
        <v>6713</v>
      </c>
      <c r="D15" s="52">
        <v>6390</v>
      </c>
      <c r="E15" s="52">
        <v>2720</v>
      </c>
      <c r="F15" s="52">
        <v>3159</v>
      </c>
      <c r="G15" s="52">
        <v>5006</v>
      </c>
      <c r="H15" s="52">
        <v>4453</v>
      </c>
      <c r="I15" s="98">
        <f t="shared" si="0"/>
        <v>-0.11046743907311229</v>
      </c>
      <c r="J15" s="98">
        <f t="shared" si="1"/>
        <v>-0.30312989045383409</v>
      </c>
      <c r="K15" s="52">
        <f t="shared" si="2"/>
        <v>-553</v>
      </c>
      <c r="L15" s="52">
        <f t="shared" si="3"/>
        <v>-1937</v>
      </c>
      <c r="M15" s="98">
        <f>H15/H12</f>
        <v>9.7011023484815481E-2</v>
      </c>
      <c r="N15" s="52">
        <v>2786</v>
      </c>
      <c r="O15" s="52">
        <v>4777</v>
      </c>
      <c r="P15" s="52">
        <v>5016</v>
      </c>
      <c r="Q15" s="52">
        <v>4325</v>
      </c>
      <c r="R15" s="52">
        <v>4005</v>
      </c>
      <c r="S15" s="98">
        <f t="shared" si="4"/>
        <v>-7.3988439306358345E-2</v>
      </c>
      <c r="T15" s="98">
        <f t="shared" si="5"/>
        <v>0.43754486719310837</v>
      </c>
      <c r="U15" s="52">
        <f t="shared" si="6"/>
        <v>-320</v>
      </c>
      <c r="V15" s="52">
        <f t="shared" si="7"/>
        <v>1219</v>
      </c>
      <c r="W15" s="98">
        <f>R15/R12</f>
        <v>8.6439470787559619E-2</v>
      </c>
    </row>
    <row r="16" spans="2:23" x14ac:dyDescent="0.25">
      <c r="B16" s="94" t="s">
        <v>63</v>
      </c>
      <c r="C16" s="95">
        <v>12921</v>
      </c>
      <c r="D16" s="95">
        <v>12598</v>
      </c>
      <c r="E16" s="95">
        <v>6176</v>
      </c>
      <c r="F16" s="95">
        <v>6357</v>
      </c>
      <c r="G16" s="95">
        <v>9406</v>
      </c>
      <c r="H16" s="95">
        <v>10956</v>
      </c>
      <c r="I16" s="96">
        <f t="shared" si="0"/>
        <v>0.16478843291516054</v>
      </c>
      <c r="J16" s="96">
        <f t="shared" si="1"/>
        <v>-0.13033814891252582</v>
      </c>
      <c r="K16" s="95">
        <f t="shared" si="2"/>
        <v>1550</v>
      </c>
      <c r="L16" s="95">
        <f t="shared" si="3"/>
        <v>-1642</v>
      </c>
      <c r="M16" s="96">
        <f>H16/H12</f>
        <v>0.23868241035249008</v>
      </c>
      <c r="N16" s="95">
        <v>5747</v>
      </c>
      <c r="O16" s="95">
        <v>6967</v>
      </c>
      <c r="P16" s="95">
        <v>9755</v>
      </c>
      <c r="Q16" s="95">
        <v>10833</v>
      </c>
      <c r="R16" s="95">
        <v>11387</v>
      </c>
      <c r="S16" s="96">
        <f t="shared" si="4"/>
        <v>5.1140035078002466E-2</v>
      </c>
      <c r="T16" s="96">
        <f t="shared" si="5"/>
        <v>0.98138159039498873</v>
      </c>
      <c r="U16" s="95">
        <f t="shared" si="6"/>
        <v>554</v>
      </c>
      <c r="V16" s="95">
        <f t="shared" si="7"/>
        <v>5640</v>
      </c>
      <c r="W16" s="96">
        <f>R16/R12</f>
        <v>0.24576435801696414</v>
      </c>
    </row>
    <row r="17" spans="2:23" x14ac:dyDescent="0.25">
      <c r="B17" s="91" t="s">
        <v>49</v>
      </c>
      <c r="C17" s="99">
        <v>772</v>
      </c>
      <c r="D17" s="99">
        <v>713</v>
      </c>
      <c r="E17" s="99">
        <v>339</v>
      </c>
      <c r="F17" s="99">
        <v>532</v>
      </c>
      <c r="G17" s="99">
        <v>654</v>
      </c>
      <c r="H17" s="99">
        <v>663</v>
      </c>
      <c r="I17" s="100">
        <f t="shared" si="0"/>
        <v>1.3761467889908285E-2</v>
      </c>
      <c r="J17" s="100">
        <f t="shared" si="1"/>
        <v>-7.0126227208976211E-2</v>
      </c>
      <c r="K17" s="99">
        <f t="shared" si="2"/>
        <v>9</v>
      </c>
      <c r="L17" s="99">
        <f t="shared" si="3"/>
        <v>-50</v>
      </c>
      <c r="M17" s="93">
        <f>H17/H17</f>
        <v>1</v>
      </c>
      <c r="N17" s="99">
        <v>291</v>
      </c>
      <c r="O17" s="99">
        <v>625</v>
      </c>
      <c r="P17" s="99">
        <v>663</v>
      </c>
      <c r="Q17" s="99">
        <v>663</v>
      </c>
      <c r="R17" s="99">
        <v>673</v>
      </c>
      <c r="S17" s="100">
        <f t="shared" si="4"/>
        <v>1.5082956259426794E-2</v>
      </c>
      <c r="T17" s="100">
        <f t="shared" si="5"/>
        <v>1.3127147766323026</v>
      </c>
      <c r="U17" s="99">
        <f t="shared" si="6"/>
        <v>10</v>
      </c>
      <c r="V17" s="99">
        <f t="shared" si="7"/>
        <v>382</v>
      </c>
      <c r="W17" s="93">
        <f>R17/R17</f>
        <v>1</v>
      </c>
    </row>
    <row r="18" spans="2:23" x14ac:dyDescent="0.25">
      <c r="B18" s="94" t="s">
        <v>60</v>
      </c>
      <c r="C18" s="95">
        <v>772</v>
      </c>
      <c r="D18" s="95">
        <v>713</v>
      </c>
      <c r="E18" s="95">
        <v>339</v>
      </c>
      <c r="F18" s="95">
        <v>532</v>
      </c>
      <c r="G18" s="95">
        <v>654</v>
      </c>
      <c r="H18" s="95">
        <v>663</v>
      </c>
      <c r="I18" s="96">
        <f t="shared" si="0"/>
        <v>1.3761467889908285E-2</v>
      </c>
      <c r="J18" s="96">
        <f t="shared" si="1"/>
        <v>-7.0126227208976211E-2</v>
      </c>
      <c r="K18" s="95">
        <f t="shared" si="2"/>
        <v>9</v>
      </c>
      <c r="L18" s="95">
        <f t="shared" si="3"/>
        <v>-50</v>
      </c>
      <c r="M18" s="96">
        <f>H18/H17</f>
        <v>1</v>
      </c>
      <c r="N18" s="95">
        <v>291</v>
      </c>
      <c r="O18" s="95">
        <v>625</v>
      </c>
      <c r="P18" s="95">
        <v>663</v>
      </c>
      <c r="Q18" s="95">
        <v>663</v>
      </c>
      <c r="R18" s="95">
        <v>673</v>
      </c>
      <c r="S18" s="96">
        <f t="shared" si="4"/>
        <v>1.5082956259426794E-2</v>
      </c>
      <c r="T18" s="96">
        <f t="shared" si="5"/>
        <v>1.3127147766323026</v>
      </c>
      <c r="U18" s="95">
        <f t="shared" si="6"/>
        <v>10</v>
      </c>
      <c r="V18" s="95">
        <f t="shared" si="7"/>
        <v>382</v>
      </c>
      <c r="W18" s="96">
        <f>R18/R17</f>
        <v>1</v>
      </c>
    </row>
    <row r="19" spans="2:23" x14ac:dyDescent="0.25">
      <c r="B19" s="97" t="s">
        <v>61</v>
      </c>
      <c r="C19" s="52">
        <v>614</v>
      </c>
      <c r="D19" s="52">
        <v>555</v>
      </c>
      <c r="E19" s="52">
        <v>0</v>
      </c>
      <c r="F19" s="52">
        <v>0</v>
      </c>
      <c r="G19" s="52">
        <v>600</v>
      </c>
      <c r="H19" s="52">
        <v>600</v>
      </c>
      <c r="I19" s="98">
        <f t="shared" si="0"/>
        <v>0</v>
      </c>
      <c r="J19" s="98">
        <f t="shared" si="1"/>
        <v>8.1081081081081141E-2</v>
      </c>
      <c r="K19" s="52">
        <f t="shared" si="2"/>
        <v>0</v>
      </c>
      <c r="L19" s="52">
        <f t="shared" si="3"/>
        <v>45</v>
      </c>
      <c r="M19" s="98">
        <f>H19/H17</f>
        <v>0.90497737556561086</v>
      </c>
      <c r="N19" s="52">
        <v>0</v>
      </c>
      <c r="O19" s="52">
        <v>0</v>
      </c>
      <c r="P19" s="52">
        <v>600</v>
      </c>
      <c r="Q19" s="52">
        <v>600</v>
      </c>
      <c r="R19" s="52">
        <v>600</v>
      </c>
      <c r="S19" s="98">
        <f t="shared" si="4"/>
        <v>0</v>
      </c>
      <c r="T19" s="98" t="str">
        <f t="shared" si="5"/>
        <v>-</v>
      </c>
      <c r="U19" s="52">
        <f t="shared" si="6"/>
        <v>0</v>
      </c>
      <c r="V19" s="52">
        <f t="shared" si="7"/>
        <v>600</v>
      </c>
      <c r="W19" s="98">
        <f>R19/R17</f>
        <v>0.89153046062407137</v>
      </c>
    </row>
    <row r="20" spans="2:23" x14ac:dyDescent="0.25">
      <c r="B20" s="97" t="s">
        <v>62</v>
      </c>
      <c r="C20" s="52">
        <v>158</v>
      </c>
      <c r="D20" s="52">
        <v>158</v>
      </c>
      <c r="E20" s="52">
        <v>0</v>
      </c>
      <c r="F20" s="52">
        <v>0</v>
      </c>
      <c r="G20" s="52">
        <v>54</v>
      </c>
      <c r="H20" s="52">
        <v>63</v>
      </c>
      <c r="I20" s="98">
        <f t="shared" si="0"/>
        <v>0.16666666666666674</v>
      </c>
      <c r="J20" s="98">
        <f t="shared" si="1"/>
        <v>-0.60126582278481011</v>
      </c>
      <c r="K20" s="52">
        <f t="shared" si="2"/>
        <v>9</v>
      </c>
      <c r="L20" s="52">
        <f t="shared" si="3"/>
        <v>-95</v>
      </c>
      <c r="M20" s="98">
        <f>H20/H17</f>
        <v>9.5022624434389136E-2</v>
      </c>
      <c r="N20" s="52">
        <v>0</v>
      </c>
      <c r="O20" s="52">
        <v>0</v>
      </c>
      <c r="P20" s="52">
        <v>63</v>
      </c>
      <c r="Q20" s="52">
        <v>63</v>
      </c>
      <c r="R20" s="52">
        <v>73</v>
      </c>
      <c r="S20" s="98">
        <f t="shared" si="4"/>
        <v>0.15873015873015883</v>
      </c>
      <c r="T20" s="98" t="str">
        <f t="shared" si="5"/>
        <v>-</v>
      </c>
      <c r="U20" s="52">
        <f t="shared" si="6"/>
        <v>10</v>
      </c>
      <c r="V20" s="52">
        <f t="shared" si="7"/>
        <v>73</v>
      </c>
      <c r="W20" s="98">
        <f>R20/R17</f>
        <v>0.10846953937592868</v>
      </c>
    </row>
    <row r="21" spans="2:23" x14ac:dyDescent="0.25">
      <c r="B21" s="94" t="s">
        <v>63</v>
      </c>
      <c r="C21" s="95">
        <v>0</v>
      </c>
      <c r="D21" s="95">
        <v>0</v>
      </c>
      <c r="E21" s="95">
        <v>0</v>
      </c>
      <c r="F21" s="95">
        <v>0</v>
      </c>
      <c r="G21" s="95">
        <v>0</v>
      </c>
      <c r="H21" s="95">
        <v>0</v>
      </c>
      <c r="I21" s="96" t="str">
        <f t="shared" si="0"/>
        <v>-</v>
      </c>
      <c r="J21" s="96" t="str">
        <f t="shared" si="1"/>
        <v>-</v>
      </c>
      <c r="K21" s="95">
        <f t="shared" si="2"/>
        <v>0</v>
      </c>
      <c r="L21" s="95">
        <f t="shared" si="3"/>
        <v>0</v>
      </c>
      <c r="M21" s="96">
        <f>H21/H17</f>
        <v>0</v>
      </c>
      <c r="N21" s="95" t="s">
        <v>229</v>
      </c>
      <c r="O21" s="95" t="s">
        <v>229</v>
      </c>
      <c r="P21" s="95" t="s">
        <v>229</v>
      </c>
      <c r="Q21" s="95" t="s">
        <v>229</v>
      </c>
      <c r="R21" s="95" t="s">
        <v>229</v>
      </c>
      <c r="S21" s="96" t="str">
        <f t="shared" si="4"/>
        <v>-</v>
      </c>
      <c r="T21" s="96" t="str">
        <f t="shared" si="5"/>
        <v>-</v>
      </c>
      <c r="U21" s="95" t="str">
        <f t="shared" si="6"/>
        <v>-</v>
      </c>
      <c r="V21" s="95" t="str">
        <f t="shared" si="7"/>
        <v>-</v>
      </c>
      <c r="W21" s="96" t="e">
        <f>R21/R17</f>
        <v>#VALUE!</v>
      </c>
    </row>
    <row r="22" spans="2:23" x14ac:dyDescent="0.25">
      <c r="B22" s="91" t="s">
        <v>46</v>
      </c>
      <c r="C22" s="99">
        <v>1127</v>
      </c>
      <c r="D22" s="99">
        <v>1127</v>
      </c>
      <c r="E22" s="99">
        <v>437</v>
      </c>
      <c r="F22" s="99">
        <v>669</v>
      </c>
      <c r="G22" s="99">
        <v>857</v>
      </c>
      <c r="H22" s="99">
        <v>900</v>
      </c>
      <c r="I22" s="100">
        <f t="shared" si="0"/>
        <v>5.0175029171528607E-2</v>
      </c>
      <c r="J22" s="100">
        <f t="shared" si="1"/>
        <v>-0.20141969831410822</v>
      </c>
      <c r="K22" s="99">
        <f t="shared" si="2"/>
        <v>43</v>
      </c>
      <c r="L22" s="99">
        <f t="shared" si="3"/>
        <v>-227</v>
      </c>
      <c r="M22" s="100">
        <f>H22/H22</f>
        <v>1</v>
      </c>
      <c r="N22" s="99">
        <v>310</v>
      </c>
      <c r="O22" s="99">
        <v>802</v>
      </c>
      <c r="P22" s="99">
        <v>898</v>
      </c>
      <c r="Q22" s="99">
        <v>912</v>
      </c>
      <c r="R22" s="99">
        <v>916</v>
      </c>
      <c r="S22" s="100">
        <f t="shared" si="4"/>
        <v>4.3859649122806044E-3</v>
      </c>
      <c r="T22" s="100">
        <f t="shared" si="5"/>
        <v>1.9548387096774196</v>
      </c>
      <c r="U22" s="99">
        <f t="shared" si="6"/>
        <v>4</v>
      </c>
      <c r="V22" s="99">
        <f t="shared" si="7"/>
        <v>606</v>
      </c>
      <c r="W22" s="100">
        <f>R22/R22</f>
        <v>1</v>
      </c>
    </row>
    <row r="23" spans="2:23" x14ac:dyDescent="0.25">
      <c r="B23" s="94" t="s">
        <v>60</v>
      </c>
      <c r="C23" s="95">
        <v>917</v>
      </c>
      <c r="D23" s="95">
        <v>917</v>
      </c>
      <c r="E23" s="95">
        <v>386</v>
      </c>
      <c r="F23" s="95">
        <v>669</v>
      </c>
      <c r="G23" s="95">
        <v>855</v>
      </c>
      <c r="H23" s="95">
        <v>886</v>
      </c>
      <c r="I23" s="96">
        <f t="shared" si="0"/>
        <v>3.6257309941520433E-2</v>
      </c>
      <c r="J23" s="96">
        <f t="shared" si="1"/>
        <v>-3.3805888767720838E-2</v>
      </c>
      <c r="K23" s="95">
        <f t="shared" si="2"/>
        <v>31</v>
      </c>
      <c r="L23" s="95">
        <f t="shared" si="3"/>
        <v>-31</v>
      </c>
      <c r="M23" s="96">
        <f>H23/H22</f>
        <v>0.98444444444444446</v>
      </c>
      <c r="N23" s="95">
        <v>310</v>
      </c>
      <c r="O23" s="95">
        <v>802</v>
      </c>
      <c r="P23" s="95">
        <v>898</v>
      </c>
      <c r="Q23" s="95">
        <v>898</v>
      </c>
      <c r="R23" s="95">
        <v>898</v>
      </c>
      <c r="S23" s="96">
        <f t="shared" si="4"/>
        <v>0</v>
      </c>
      <c r="T23" s="96">
        <f t="shared" si="5"/>
        <v>1.8967741935483873</v>
      </c>
      <c r="U23" s="95">
        <f t="shared" si="6"/>
        <v>0</v>
      </c>
      <c r="V23" s="95">
        <f t="shared" si="7"/>
        <v>588</v>
      </c>
      <c r="W23" s="96">
        <f>R23/R22</f>
        <v>0.98034934497816595</v>
      </c>
    </row>
    <row r="24" spans="2:23" x14ac:dyDescent="0.25">
      <c r="B24" s="94" t="s">
        <v>63</v>
      </c>
      <c r="C24" s="95">
        <v>210</v>
      </c>
      <c r="D24" s="95">
        <v>210</v>
      </c>
      <c r="E24" s="95">
        <v>51</v>
      </c>
      <c r="F24" s="95">
        <v>0</v>
      </c>
      <c r="G24" s="95">
        <v>0</v>
      </c>
      <c r="H24" s="95">
        <v>0</v>
      </c>
      <c r="I24" s="96" t="str">
        <f t="shared" si="0"/>
        <v>-</v>
      </c>
      <c r="J24" s="96">
        <f t="shared" si="1"/>
        <v>-1</v>
      </c>
      <c r="K24" s="95">
        <f t="shared" si="2"/>
        <v>0</v>
      </c>
      <c r="L24" s="95">
        <f t="shared" si="3"/>
        <v>-210</v>
      </c>
      <c r="M24" s="96">
        <f>H24/H22</f>
        <v>0</v>
      </c>
      <c r="N24" s="95">
        <v>0</v>
      </c>
      <c r="O24" s="95">
        <v>0</v>
      </c>
      <c r="P24" s="95">
        <v>0</v>
      </c>
      <c r="Q24" s="95">
        <v>0</v>
      </c>
      <c r="R24" s="95">
        <v>0</v>
      </c>
      <c r="S24" s="96" t="str">
        <f t="shared" si="4"/>
        <v>-</v>
      </c>
      <c r="T24" s="96" t="str">
        <f t="shared" si="5"/>
        <v>-</v>
      </c>
      <c r="U24" s="95">
        <f t="shared" si="6"/>
        <v>0</v>
      </c>
      <c r="V24" s="95">
        <f t="shared" si="7"/>
        <v>0</v>
      </c>
      <c r="W24" s="96">
        <f>R24/R22</f>
        <v>0</v>
      </c>
    </row>
    <row r="25" spans="2:23" x14ac:dyDescent="0.25">
      <c r="B25" s="91" t="s">
        <v>47</v>
      </c>
      <c r="C25" s="99">
        <v>4070</v>
      </c>
      <c r="D25" s="99">
        <v>4070</v>
      </c>
      <c r="E25" s="99">
        <v>2900</v>
      </c>
      <c r="F25" s="99">
        <v>4012</v>
      </c>
      <c r="G25" s="99">
        <v>4562</v>
      </c>
      <c r="H25" s="99">
        <v>4395</v>
      </c>
      <c r="I25" s="100">
        <f t="shared" si="0"/>
        <v>-3.6606751424813733E-2</v>
      </c>
      <c r="J25" s="100">
        <f t="shared" si="1"/>
        <v>7.9852579852579764E-2</v>
      </c>
      <c r="K25" s="99">
        <f t="shared" si="2"/>
        <v>-167</v>
      </c>
      <c r="L25" s="99">
        <f t="shared" si="3"/>
        <v>325</v>
      </c>
      <c r="M25" s="93">
        <f>H25/H25</f>
        <v>1</v>
      </c>
      <c r="N25" s="99">
        <v>4049</v>
      </c>
      <c r="O25" s="99">
        <v>4276</v>
      </c>
      <c r="P25" s="99">
        <v>4562</v>
      </c>
      <c r="Q25" s="99">
        <v>4276</v>
      </c>
      <c r="R25" s="99">
        <v>4306</v>
      </c>
      <c r="S25" s="100">
        <f t="shared" si="4"/>
        <v>7.0159027128158247E-3</v>
      </c>
      <c r="T25" s="100">
        <f t="shared" si="5"/>
        <v>6.3472462336379376E-2</v>
      </c>
      <c r="U25" s="99">
        <f t="shared" si="6"/>
        <v>30</v>
      </c>
      <c r="V25" s="99">
        <f t="shared" si="7"/>
        <v>257</v>
      </c>
      <c r="W25" s="93">
        <f>R25/R25</f>
        <v>1</v>
      </c>
    </row>
    <row r="26" spans="2:23" x14ac:dyDescent="0.25">
      <c r="B26" s="94" t="s">
        <v>60</v>
      </c>
      <c r="C26" s="95">
        <v>4004</v>
      </c>
      <c r="D26" s="95">
        <v>4004</v>
      </c>
      <c r="E26" s="95">
        <v>2534</v>
      </c>
      <c r="F26" s="95">
        <v>3312</v>
      </c>
      <c r="G26" s="95">
        <v>3862</v>
      </c>
      <c r="H26" s="95">
        <v>3695</v>
      </c>
      <c r="I26" s="96">
        <f t="shared" si="0"/>
        <v>-4.3241843604350128E-2</v>
      </c>
      <c r="J26" s="96">
        <f t="shared" si="1"/>
        <v>-7.7172827172827141E-2</v>
      </c>
      <c r="K26" s="95">
        <f t="shared" si="2"/>
        <v>-167</v>
      </c>
      <c r="L26" s="95">
        <f t="shared" si="3"/>
        <v>-309</v>
      </c>
      <c r="M26" s="96">
        <f>H26/H25</f>
        <v>0.84072810011376564</v>
      </c>
      <c r="N26" s="95">
        <v>3349</v>
      </c>
      <c r="O26" s="95">
        <v>3576</v>
      </c>
      <c r="P26" s="95">
        <v>3862</v>
      </c>
      <c r="Q26" s="95">
        <v>3576</v>
      </c>
      <c r="R26" s="95">
        <v>3606</v>
      </c>
      <c r="S26" s="96">
        <f t="shared" si="4"/>
        <v>8.3892617449663476E-3</v>
      </c>
      <c r="T26" s="96">
        <f t="shared" si="5"/>
        <v>7.6739325171693018E-2</v>
      </c>
      <c r="U26" s="95">
        <f t="shared" si="6"/>
        <v>30</v>
      </c>
      <c r="V26" s="95">
        <f t="shared" si="7"/>
        <v>257</v>
      </c>
      <c r="W26" s="96">
        <f>R26/R25</f>
        <v>0.83743613562470975</v>
      </c>
    </row>
    <row r="27" spans="2:23" x14ac:dyDescent="0.25">
      <c r="B27" s="97" t="s">
        <v>61</v>
      </c>
      <c r="C27" s="52">
        <v>3576</v>
      </c>
      <c r="D27" s="52">
        <v>3576</v>
      </c>
      <c r="E27" s="52">
        <v>0</v>
      </c>
      <c r="F27" s="52">
        <v>0</v>
      </c>
      <c r="G27" s="52">
        <v>0</v>
      </c>
      <c r="H27" s="52">
        <v>0</v>
      </c>
      <c r="I27" s="98" t="str">
        <f t="shared" si="0"/>
        <v>-</v>
      </c>
      <c r="J27" s="98">
        <f t="shared" si="1"/>
        <v>-1</v>
      </c>
      <c r="K27" s="52">
        <f t="shared" si="2"/>
        <v>0</v>
      </c>
      <c r="L27" s="52">
        <f t="shared" si="3"/>
        <v>-3576</v>
      </c>
      <c r="M27" s="98">
        <f>H27/H25</f>
        <v>0</v>
      </c>
      <c r="N27" s="52">
        <v>0</v>
      </c>
      <c r="O27" s="52">
        <v>3576</v>
      </c>
      <c r="P27" s="52">
        <v>0</v>
      </c>
      <c r="Q27" s="52">
        <v>3576</v>
      </c>
      <c r="R27" s="52">
        <v>0</v>
      </c>
      <c r="S27" s="98">
        <f t="shared" si="4"/>
        <v>-1</v>
      </c>
      <c r="T27" s="98" t="str">
        <f t="shared" si="5"/>
        <v>-</v>
      </c>
      <c r="U27" s="52">
        <f t="shared" si="6"/>
        <v>-3576</v>
      </c>
      <c r="V27" s="52">
        <f t="shared" si="7"/>
        <v>0</v>
      </c>
      <c r="W27" s="98">
        <f>R27/R25</f>
        <v>0</v>
      </c>
    </row>
    <row r="28" spans="2:23" x14ac:dyDescent="0.25">
      <c r="B28" s="97" t="s">
        <v>62</v>
      </c>
      <c r="C28" s="52">
        <v>428</v>
      </c>
      <c r="D28" s="52">
        <v>428</v>
      </c>
      <c r="E28" s="52">
        <v>0</v>
      </c>
      <c r="F28" s="52">
        <v>0</v>
      </c>
      <c r="G28" s="52">
        <v>0</v>
      </c>
      <c r="H28" s="52">
        <v>0</v>
      </c>
      <c r="I28" s="98" t="str">
        <f t="shared" si="0"/>
        <v>-</v>
      </c>
      <c r="J28" s="98">
        <f t="shared" si="1"/>
        <v>-1</v>
      </c>
      <c r="K28" s="52">
        <f t="shared" si="2"/>
        <v>0</v>
      </c>
      <c r="L28" s="52">
        <f t="shared" si="3"/>
        <v>-428</v>
      </c>
      <c r="M28" s="98">
        <f>H28/H25</f>
        <v>0</v>
      </c>
      <c r="N28" s="52">
        <v>0</v>
      </c>
      <c r="O28" s="52">
        <v>0</v>
      </c>
      <c r="P28" s="52">
        <v>0</v>
      </c>
      <c r="Q28" s="52">
        <v>0</v>
      </c>
      <c r="R28" s="52">
        <v>0</v>
      </c>
      <c r="S28" s="98" t="str">
        <f t="shared" si="4"/>
        <v>-</v>
      </c>
      <c r="T28" s="98" t="str">
        <f t="shared" si="5"/>
        <v>-</v>
      </c>
      <c r="U28" s="52">
        <f t="shared" si="6"/>
        <v>0</v>
      </c>
      <c r="V28" s="52">
        <f t="shared" si="7"/>
        <v>0</v>
      </c>
      <c r="W28" s="98">
        <f>R28/R25</f>
        <v>0</v>
      </c>
    </row>
    <row r="29" spans="2:23" x14ac:dyDescent="0.25">
      <c r="B29" s="91" t="s">
        <v>48</v>
      </c>
      <c r="C29" s="99">
        <v>21813</v>
      </c>
      <c r="D29" s="99">
        <v>21340</v>
      </c>
      <c r="E29" s="99">
        <v>9244</v>
      </c>
      <c r="F29" s="99">
        <v>11050</v>
      </c>
      <c r="G29" s="99">
        <v>18364</v>
      </c>
      <c r="H29" s="99">
        <v>19209</v>
      </c>
      <c r="I29" s="100">
        <f t="shared" si="0"/>
        <v>4.6013940318013535E-2</v>
      </c>
      <c r="J29" s="100">
        <f t="shared" si="1"/>
        <v>-9.9859418931583899E-2</v>
      </c>
      <c r="K29" s="99">
        <f t="shared" si="2"/>
        <v>845</v>
      </c>
      <c r="L29" s="99">
        <f t="shared" si="3"/>
        <v>-2131</v>
      </c>
      <c r="M29" s="93">
        <f>H29/H29</f>
        <v>1</v>
      </c>
      <c r="N29" s="99">
        <v>9232</v>
      </c>
      <c r="O29" s="99">
        <v>15588</v>
      </c>
      <c r="P29" s="99">
        <v>18073</v>
      </c>
      <c r="Q29" s="99">
        <v>19434</v>
      </c>
      <c r="R29" s="99">
        <v>20174</v>
      </c>
      <c r="S29" s="100">
        <f t="shared" si="4"/>
        <v>3.8077595965833044E-2</v>
      </c>
      <c r="T29" s="100">
        <f t="shared" si="5"/>
        <v>1.1852253032928943</v>
      </c>
      <c r="U29" s="99">
        <f t="shared" si="6"/>
        <v>740</v>
      </c>
      <c r="V29" s="99">
        <f t="shared" si="7"/>
        <v>10942</v>
      </c>
      <c r="W29" s="93">
        <f>R29/R29</f>
        <v>1</v>
      </c>
    </row>
    <row r="30" spans="2:23" x14ac:dyDescent="0.25">
      <c r="B30" s="94" t="s">
        <v>60</v>
      </c>
      <c r="C30" s="95">
        <v>16581</v>
      </c>
      <c r="D30" s="95">
        <v>16096</v>
      </c>
      <c r="E30" s="95">
        <v>6499</v>
      </c>
      <c r="F30" s="95">
        <v>8111</v>
      </c>
      <c r="G30" s="95">
        <v>14162</v>
      </c>
      <c r="H30" s="95">
        <v>14862</v>
      </c>
      <c r="I30" s="96">
        <f t="shared" si="0"/>
        <v>4.9428046886033083E-2</v>
      </c>
      <c r="J30" s="96">
        <f t="shared" si="1"/>
        <v>-7.6665009940357853E-2</v>
      </c>
      <c r="K30" s="95">
        <f t="shared" si="2"/>
        <v>700</v>
      </c>
      <c r="L30" s="95">
        <f t="shared" si="3"/>
        <v>-1234</v>
      </c>
      <c r="M30" s="96">
        <f>H30/H29</f>
        <v>0.77369982820552863</v>
      </c>
      <c r="N30" s="95">
        <v>6282</v>
      </c>
      <c r="O30" s="95">
        <v>12255</v>
      </c>
      <c r="P30" s="95">
        <v>13724</v>
      </c>
      <c r="Q30" s="95">
        <v>15087</v>
      </c>
      <c r="R30" s="95">
        <v>15741</v>
      </c>
      <c r="S30" s="96">
        <f t="shared" si="4"/>
        <v>4.334857824617222E-2</v>
      </c>
      <c r="T30" s="96">
        <f t="shared" si="5"/>
        <v>1.505730659025788</v>
      </c>
      <c r="U30" s="95">
        <f t="shared" si="6"/>
        <v>654</v>
      </c>
      <c r="V30" s="95">
        <f t="shared" si="7"/>
        <v>9459</v>
      </c>
      <c r="W30" s="96">
        <f>R30/R29</f>
        <v>0.78026172300981467</v>
      </c>
    </row>
    <row r="31" spans="2:23" x14ac:dyDescent="0.25">
      <c r="B31" s="97" t="s">
        <v>61</v>
      </c>
      <c r="C31" s="52">
        <v>13383</v>
      </c>
      <c r="D31" s="52">
        <v>12913</v>
      </c>
      <c r="E31" s="52">
        <v>5381</v>
      </c>
      <c r="F31" s="52">
        <v>6550</v>
      </c>
      <c r="G31" s="52">
        <v>12095</v>
      </c>
      <c r="H31" s="52">
        <v>12793</v>
      </c>
      <c r="I31" s="98">
        <f t="shared" si="0"/>
        <v>5.7709797436957366E-2</v>
      </c>
      <c r="J31" s="98">
        <f t="shared" si="1"/>
        <v>-9.2929605823588446E-3</v>
      </c>
      <c r="K31" s="52">
        <f t="shared" si="2"/>
        <v>698</v>
      </c>
      <c r="L31" s="52">
        <f t="shared" si="3"/>
        <v>-120</v>
      </c>
      <c r="M31" s="98">
        <f>H31/H29</f>
        <v>0.66598990056744234</v>
      </c>
      <c r="N31" s="52">
        <v>5630</v>
      </c>
      <c r="O31" s="52">
        <v>10082</v>
      </c>
      <c r="P31" s="52">
        <v>11819</v>
      </c>
      <c r="Q31" s="52">
        <v>12988</v>
      </c>
      <c r="R31" s="52">
        <v>13638</v>
      </c>
      <c r="S31" s="98">
        <f t="shared" si="4"/>
        <v>5.004619648906683E-2</v>
      </c>
      <c r="T31" s="98">
        <f t="shared" si="5"/>
        <v>1.4223801065719361</v>
      </c>
      <c r="U31" s="52">
        <f t="shared" si="6"/>
        <v>650</v>
      </c>
      <c r="V31" s="52">
        <f t="shared" si="7"/>
        <v>8008</v>
      </c>
      <c r="W31" s="98">
        <f>R31/R29</f>
        <v>0.67601863785069893</v>
      </c>
    </row>
    <row r="32" spans="2:23" x14ac:dyDescent="0.25">
      <c r="B32" s="97" t="s">
        <v>62</v>
      </c>
      <c r="C32" s="52">
        <v>3198</v>
      </c>
      <c r="D32" s="52">
        <v>3183</v>
      </c>
      <c r="E32" s="52">
        <v>1118</v>
      </c>
      <c r="F32" s="52">
        <v>1561</v>
      </c>
      <c r="G32" s="52">
        <v>2067</v>
      </c>
      <c r="H32" s="52">
        <v>2069</v>
      </c>
      <c r="I32" s="98">
        <f t="shared" si="0"/>
        <v>9.6758587324630163E-4</v>
      </c>
      <c r="J32" s="98">
        <f t="shared" si="1"/>
        <v>-0.34998429154885324</v>
      </c>
      <c r="K32" s="52">
        <f t="shared" si="2"/>
        <v>2</v>
      </c>
      <c r="L32" s="52">
        <f t="shared" si="3"/>
        <v>-1114</v>
      </c>
      <c r="M32" s="98">
        <f>H32/H29</f>
        <v>0.10770992763808632</v>
      </c>
      <c r="N32" s="52">
        <v>652</v>
      </c>
      <c r="O32" s="52">
        <v>2173</v>
      </c>
      <c r="P32" s="52">
        <v>1905</v>
      </c>
      <c r="Q32" s="52">
        <v>2099</v>
      </c>
      <c r="R32" s="52">
        <v>2103</v>
      </c>
      <c r="S32" s="98">
        <f t="shared" si="4"/>
        <v>1.9056693663648261E-3</v>
      </c>
      <c r="T32" s="98">
        <f t="shared" si="5"/>
        <v>2.2254601226993866</v>
      </c>
      <c r="U32" s="52">
        <f t="shared" si="6"/>
        <v>4</v>
      </c>
      <c r="V32" s="52">
        <f t="shared" si="7"/>
        <v>1451</v>
      </c>
      <c r="W32" s="98">
        <f>R32/R29</f>
        <v>0.10424308515911569</v>
      </c>
    </row>
    <row r="33" spans="2:23" x14ac:dyDescent="0.25">
      <c r="B33" s="94" t="s">
        <v>63</v>
      </c>
      <c r="C33" s="95">
        <v>5232</v>
      </c>
      <c r="D33" s="95">
        <v>5245</v>
      </c>
      <c r="E33" s="95">
        <v>2745</v>
      </c>
      <c r="F33" s="95">
        <v>2940</v>
      </c>
      <c r="G33" s="95">
        <v>4202</v>
      </c>
      <c r="H33" s="95">
        <v>4347</v>
      </c>
      <c r="I33" s="96">
        <f t="shared" si="0"/>
        <v>3.4507377439314535E-2</v>
      </c>
      <c r="J33" s="96">
        <f t="shared" si="1"/>
        <v>-0.17121067683508107</v>
      </c>
      <c r="K33" s="95">
        <f t="shared" si="2"/>
        <v>145</v>
      </c>
      <c r="L33" s="95">
        <f t="shared" si="3"/>
        <v>-898</v>
      </c>
      <c r="M33" s="96">
        <f>H33/H29</f>
        <v>0.22630017179447134</v>
      </c>
      <c r="N33" s="95">
        <v>2950</v>
      </c>
      <c r="O33" s="95">
        <v>3333</v>
      </c>
      <c r="P33" s="95">
        <v>4349</v>
      </c>
      <c r="Q33" s="95">
        <v>4347</v>
      </c>
      <c r="R33" s="95">
        <v>4433</v>
      </c>
      <c r="S33" s="96">
        <f t="shared" si="4"/>
        <v>1.9783758914193594E-2</v>
      </c>
      <c r="T33" s="96">
        <f t="shared" si="5"/>
        <v>0.50271186440677962</v>
      </c>
      <c r="U33" s="95">
        <f t="shared" si="6"/>
        <v>86</v>
      </c>
      <c r="V33" s="95">
        <f t="shared" si="7"/>
        <v>1483</v>
      </c>
      <c r="W33" s="96">
        <f>R33/R29</f>
        <v>0.21973827699018539</v>
      </c>
    </row>
    <row r="34" spans="2:23" x14ac:dyDescent="0.25">
      <c r="B34" s="91" t="s">
        <v>49</v>
      </c>
      <c r="C34" s="99">
        <v>772</v>
      </c>
      <c r="D34" s="99">
        <v>713</v>
      </c>
      <c r="E34" s="99">
        <v>339</v>
      </c>
      <c r="F34" s="99">
        <v>532</v>
      </c>
      <c r="G34" s="99">
        <v>654</v>
      </c>
      <c r="H34" s="99">
        <v>663</v>
      </c>
      <c r="I34" s="100">
        <f t="shared" si="0"/>
        <v>1.3761467889908285E-2</v>
      </c>
      <c r="J34" s="100">
        <f t="shared" si="1"/>
        <v>-7.0126227208976211E-2</v>
      </c>
      <c r="K34" s="99">
        <f t="shared" si="2"/>
        <v>9</v>
      </c>
      <c r="L34" s="99">
        <f t="shared" si="3"/>
        <v>-50</v>
      </c>
      <c r="M34" s="93">
        <f>H34/H34</f>
        <v>1</v>
      </c>
      <c r="N34" s="99">
        <v>291</v>
      </c>
      <c r="O34" s="99">
        <v>625</v>
      </c>
      <c r="P34" s="99">
        <v>663</v>
      </c>
      <c r="Q34" s="99">
        <v>663</v>
      </c>
      <c r="R34" s="99">
        <v>673</v>
      </c>
      <c r="S34" s="100">
        <f t="shared" si="4"/>
        <v>1.5082956259426794E-2</v>
      </c>
      <c r="T34" s="100">
        <f t="shared" si="5"/>
        <v>1.3127147766323026</v>
      </c>
      <c r="U34" s="99">
        <f t="shared" si="6"/>
        <v>10</v>
      </c>
      <c r="V34" s="99">
        <f t="shared" si="7"/>
        <v>382</v>
      </c>
      <c r="W34" s="93">
        <f>R34/R34</f>
        <v>1</v>
      </c>
    </row>
    <row r="35" spans="2:23" x14ac:dyDescent="0.25">
      <c r="B35" s="94" t="s">
        <v>60</v>
      </c>
      <c r="C35" s="95">
        <v>772</v>
      </c>
      <c r="D35" s="95">
        <v>713</v>
      </c>
      <c r="E35" s="95">
        <v>339</v>
      </c>
      <c r="F35" s="95">
        <v>532</v>
      </c>
      <c r="G35" s="95">
        <v>654</v>
      </c>
      <c r="H35" s="95">
        <v>663</v>
      </c>
      <c r="I35" s="96">
        <f t="shared" si="0"/>
        <v>1.3761467889908285E-2</v>
      </c>
      <c r="J35" s="96">
        <f t="shared" si="1"/>
        <v>-7.0126227208976211E-2</v>
      </c>
      <c r="K35" s="95">
        <f t="shared" si="2"/>
        <v>9</v>
      </c>
      <c r="L35" s="95">
        <f t="shared" si="3"/>
        <v>-50</v>
      </c>
      <c r="M35" s="96">
        <f>H35/H34</f>
        <v>1</v>
      </c>
      <c r="N35" s="95">
        <v>291</v>
      </c>
      <c r="O35" s="95">
        <v>625</v>
      </c>
      <c r="P35" s="95">
        <v>663</v>
      </c>
      <c r="Q35" s="95">
        <v>663</v>
      </c>
      <c r="R35" s="95">
        <v>673</v>
      </c>
      <c r="S35" s="96">
        <f t="shared" si="4"/>
        <v>1.5082956259426794E-2</v>
      </c>
      <c r="T35" s="96">
        <f t="shared" si="5"/>
        <v>1.3127147766323026</v>
      </c>
      <c r="U35" s="95">
        <f t="shared" si="6"/>
        <v>10</v>
      </c>
      <c r="V35" s="95">
        <f t="shared" si="7"/>
        <v>382</v>
      </c>
      <c r="W35" s="96">
        <f>R35/R34</f>
        <v>1</v>
      </c>
    </row>
    <row r="36" spans="2:23" x14ac:dyDescent="0.25">
      <c r="B36" s="91" t="s">
        <v>50</v>
      </c>
      <c r="C36" s="99">
        <v>4019</v>
      </c>
      <c r="D36" s="99">
        <v>4124</v>
      </c>
      <c r="E36" s="99">
        <v>2132</v>
      </c>
      <c r="F36" s="99">
        <v>2908</v>
      </c>
      <c r="G36" s="99">
        <v>4497</v>
      </c>
      <c r="H36" s="99">
        <v>4790</v>
      </c>
      <c r="I36" s="100">
        <f t="shared" si="0"/>
        <v>6.5154547476095281E-2</v>
      </c>
      <c r="J36" s="100">
        <f t="shared" si="1"/>
        <v>0.16149369544131909</v>
      </c>
      <c r="K36" s="99">
        <f t="shared" si="2"/>
        <v>293</v>
      </c>
      <c r="L36" s="99">
        <f t="shared" si="3"/>
        <v>666</v>
      </c>
      <c r="M36" s="100">
        <f>H36/H36</f>
        <v>1</v>
      </c>
      <c r="N36" s="99">
        <v>2054</v>
      </c>
      <c r="O36" s="99">
        <v>3470</v>
      </c>
      <c r="P36" s="99">
        <v>4791</v>
      </c>
      <c r="Q36" s="99">
        <v>4791</v>
      </c>
      <c r="R36" s="99">
        <v>4797</v>
      </c>
      <c r="S36" s="100">
        <f t="shared" si="4"/>
        <v>1.2523481527864089E-3</v>
      </c>
      <c r="T36" s="100">
        <f t="shared" si="5"/>
        <v>1.3354430379746836</v>
      </c>
      <c r="U36" s="99">
        <f t="shared" si="6"/>
        <v>6</v>
      </c>
      <c r="V36" s="99">
        <f t="shared" si="7"/>
        <v>2743</v>
      </c>
      <c r="W36" s="100">
        <f>R36/R36</f>
        <v>1</v>
      </c>
    </row>
    <row r="37" spans="2:23" x14ac:dyDescent="0.25">
      <c r="B37" s="94" t="s">
        <v>60</v>
      </c>
      <c r="C37" s="95">
        <v>1798</v>
      </c>
      <c r="D37" s="95">
        <v>1801</v>
      </c>
      <c r="E37" s="95">
        <v>1559</v>
      </c>
      <c r="F37" s="95">
        <v>2545</v>
      </c>
      <c r="G37" s="95">
        <v>3640</v>
      </c>
      <c r="H37" s="95">
        <v>3915</v>
      </c>
      <c r="I37" s="96">
        <f t="shared" si="0"/>
        <v>7.5549450549450503E-2</v>
      </c>
      <c r="J37" s="96">
        <f t="shared" si="1"/>
        <v>1.1737923375902275</v>
      </c>
      <c r="K37" s="95">
        <f t="shared" si="2"/>
        <v>275</v>
      </c>
      <c r="L37" s="95">
        <f t="shared" si="3"/>
        <v>2114</v>
      </c>
      <c r="M37" s="96">
        <f>H37/H36</f>
        <v>0.81732776617954073</v>
      </c>
      <c r="N37" s="95">
        <v>2010</v>
      </c>
      <c r="O37" s="95">
        <v>2930</v>
      </c>
      <c r="P37" s="95">
        <v>3915</v>
      </c>
      <c r="Q37" s="95">
        <v>3915</v>
      </c>
      <c r="R37" s="95">
        <v>3915</v>
      </c>
      <c r="S37" s="96">
        <f t="shared" si="4"/>
        <v>0</v>
      </c>
      <c r="T37" s="96">
        <f t="shared" si="5"/>
        <v>0.94776119402985071</v>
      </c>
      <c r="U37" s="95">
        <f t="shared" si="6"/>
        <v>0</v>
      </c>
      <c r="V37" s="95">
        <f t="shared" si="7"/>
        <v>1905</v>
      </c>
      <c r="W37" s="96">
        <f>R37/R36</f>
        <v>0.81613508442776739</v>
      </c>
    </row>
    <row r="38" spans="2:23" x14ac:dyDescent="0.25">
      <c r="B38" s="94" t="s">
        <v>63</v>
      </c>
      <c r="C38" s="95">
        <v>2221</v>
      </c>
      <c r="D38" s="95">
        <v>2323</v>
      </c>
      <c r="E38" s="95">
        <v>573</v>
      </c>
      <c r="F38" s="95">
        <v>363</v>
      </c>
      <c r="G38" s="95">
        <v>857</v>
      </c>
      <c r="H38" s="95">
        <v>875</v>
      </c>
      <c r="I38" s="96">
        <f t="shared" si="0"/>
        <v>2.100350058343059E-2</v>
      </c>
      <c r="J38" s="96">
        <f t="shared" si="1"/>
        <v>-0.62333189840723202</v>
      </c>
      <c r="K38" s="95">
        <f t="shared" si="2"/>
        <v>18</v>
      </c>
      <c r="L38" s="95">
        <f t="shared" si="3"/>
        <v>-1448</v>
      </c>
      <c r="M38" s="96">
        <f>H38/H36</f>
        <v>0.1826722338204593</v>
      </c>
      <c r="N38" s="95">
        <v>44</v>
      </c>
      <c r="O38" s="95">
        <v>540</v>
      </c>
      <c r="P38" s="95">
        <v>876</v>
      </c>
      <c r="Q38" s="95">
        <v>876</v>
      </c>
      <c r="R38" s="95">
        <v>882</v>
      </c>
      <c r="S38" s="96">
        <f t="shared" si="4"/>
        <v>6.8493150684931781E-3</v>
      </c>
      <c r="T38" s="96">
        <f t="shared" si="5"/>
        <v>19.045454545454547</v>
      </c>
      <c r="U38" s="95">
        <f t="shared" si="6"/>
        <v>6</v>
      </c>
      <c r="V38" s="95">
        <f t="shared" si="7"/>
        <v>838</v>
      </c>
      <c r="W38" s="96">
        <f>R38/R36</f>
        <v>0.18386491557223264</v>
      </c>
    </row>
    <row r="39" spans="2:23" x14ac:dyDescent="0.25">
      <c r="B39" s="91" t="s">
        <v>51</v>
      </c>
      <c r="C39" s="99">
        <v>2726</v>
      </c>
      <c r="D39" s="99">
        <v>2690</v>
      </c>
      <c r="E39" s="99">
        <v>1526</v>
      </c>
      <c r="F39" s="99">
        <v>2270</v>
      </c>
      <c r="G39" s="99">
        <v>2680</v>
      </c>
      <c r="H39" s="99">
        <v>2774</v>
      </c>
      <c r="I39" s="100">
        <f t="shared" si="0"/>
        <v>3.5074626865671643E-2</v>
      </c>
      <c r="J39" s="100">
        <f t="shared" si="1"/>
        <v>3.1226765799256428E-2</v>
      </c>
      <c r="K39" s="99">
        <f t="shared" si="2"/>
        <v>94</v>
      </c>
      <c r="L39" s="99">
        <f t="shared" si="3"/>
        <v>84</v>
      </c>
      <c r="M39" s="93">
        <f>H39/H39</f>
        <v>1</v>
      </c>
      <c r="N39" s="99">
        <v>1657</v>
      </c>
      <c r="O39" s="99">
        <v>2485</v>
      </c>
      <c r="P39" s="99">
        <v>2826</v>
      </c>
      <c r="Q39" s="99">
        <v>2750</v>
      </c>
      <c r="R39" s="99">
        <v>2507</v>
      </c>
      <c r="S39" s="100">
        <f t="shared" si="4"/>
        <v>-8.8363636363636311E-2</v>
      </c>
      <c r="T39" s="100">
        <f t="shared" si="5"/>
        <v>0.51297525648762821</v>
      </c>
      <c r="U39" s="99">
        <f t="shared" si="6"/>
        <v>-243</v>
      </c>
      <c r="V39" s="99">
        <f t="shared" si="7"/>
        <v>850</v>
      </c>
      <c r="W39" s="93">
        <f>R39/R39</f>
        <v>1</v>
      </c>
    </row>
    <row r="40" spans="2:23" x14ac:dyDescent="0.25">
      <c r="B40" s="94" t="s">
        <v>60</v>
      </c>
      <c r="C40" s="95">
        <v>2726</v>
      </c>
      <c r="D40" s="95">
        <v>2690</v>
      </c>
      <c r="E40" s="95">
        <v>1526</v>
      </c>
      <c r="F40" s="95">
        <v>2270</v>
      </c>
      <c r="G40" s="95">
        <v>2680</v>
      </c>
      <c r="H40" s="95">
        <v>2774</v>
      </c>
      <c r="I40" s="96">
        <f t="shared" si="0"/>
        <v>3.5074626865671643E-2</v>
      </c>
      <c r="J40" s="96">
        <f t="shared" si="1"/>
        <v>3.1226765799256428E-2</v>
      </c>
      <c r="K40" s="95">
        <f t="shared" si="2"/>
        <v>94</v>
      </c>
      <c r="L40" s="95">
        <f t="shared" si="3"/>
        <v>84</v>
      </c>
      <c r="M40" s="96">
        <f>H40/H39</f>
        <v>1</v>
      </c>
      <c r="N40" s="95">
        <v>1657</v>
      </c>
      <c r="O40" s="95">
        <v>2485</v>
      </c>
      <c r="P40" s="95">
        <v>2826</v>
      </c>
      <c r="Q40" s="95">
        <v>2750</v>
      </c>
      <c r="R40" s="95">
        <v>2507</v>
      </c>
      <c r="S40" s="96">
        <f t="shared" si="4"/>
        <v>-8.8363636363636311E-2</v>
      </c>
      <c r="T40" s="96">
        <f t="shared" si="5"/>
        <v>0.51297525648762821</v>
      </c>
      <c r="U40" s="95">
        <f t="shared" si="6"/>
        <v>-243</v>
      </c>
      <c r="V40" s="95">
        <f t="shared" si="7"/>
        <v>850</v>
      </c>
      <c r="W40" s="96">
        <f>R40/R39</f>
        <v>1</v>
      </c>
    </row>
    <row r="41" spans="2:23" x14ac:dyDescent="0.25">
      <c r="B41" s="97" t="s">
        <v>61</v>
      </c>
      <c r="C41" s="52">
        <v>1381</v>
      </c>
      <c r="D41" s="52">
        <v>1381</v>
      </c>
      <c r="E41" s="52">
        <v>846</v>
      </c>
      <c r="F41" s="52">
        <v>1514</v>
      </c>
      <c r="G41" s="52">
        <v>1660</v>
      </c>
      <c r="H41" s="52">
        <v>1674</v>
      </c>
      <c r="I41" s="98">
        <f t="shared" si="0"/>
        <v>8.4337349397589634E-3</v>
      </c>
      <c r="J41" s="98">
        <f t="shared" si="1"/>
        <v>0.21216509775524983</v>
      </c>
      <c r="K41" s="52">
        <f t="shared" si="2"/>
        <v>14</v>
      </c>
      <c r="L41" s="52">
        <f t="shared" si="3"/>
        <v>293</v>
      </c>
      <c r="M41" s="98">
        <f>H41/H39</f>
        <v>0.60346070656092288</v>
      </c>
      <c r="N41" s="52">
        <v>937</v>
      </c>
      <c r="O41" s="52">
        <v>1658</v>
      </c>
      <c r="P41" s="52">
        <v>1674</v>
      </c>
      <c r="Q41" s="52">
        <v>1674</v>
      </c>
      <c r="R41" s="52">
        <v>1681</v>
      </c>
      <c r="S41" s="98">
        <f t="shared" si="4"/>
        <v>4.1816009557944511E-3</v>
      </c>
      <c r="T41" s="98">
        <f t="shared" si="5"/>
        <v>0.7940234791889007</v>
      </c>
      <c r="U41" s="52">
        <f t="shared" si="6"/>
        <v>7</v>
      </c>
      <c r="V41" s="52">
        <f t="shared" si="7"/>
        <v>744</v>
      </c>
      <c r="W41" s="98">
        <f>R41/R39</f>
        <v>0.67052253689668928</v>
      </c>
    </row>
    <row r="42" spans="2:23" x14ac:dyDescent="0.25">
      <c r="B42" s="97" t="s">
        <v>62</v>
      </c>
      <c r="C42" s="52">
        <v>1345</v>
      </c>
      <c r="D42" s="52">
        <v>1309</v>
      </c>
      <c r="E42" s="52">
        <v>680</v>
      </c>
      <c r="F42" s="52">
        <v>756</v>
      </c>
      <c r="G42" s="52">
        <v>1020</v>
      </c>
      <c r="H42" s="52">
        <v>1100</v>
      </c>
      <c r="I42" s="98">
        <f t="shared" si="0"/>
        <v>7.8431372549019551E-2</v>
      </c>
      <c r="J42" s="98">
        <f t="shared" si="1"/>
        <v>-0.15966386554621848</v>
      </c>
      <c r="K42" s="52">
        <f t="shared" si="2"/>
        <v>80</v>
      </c>
      <c r="L42" s="52">
        <f t="shared" si="3"/>
        <v>-209</v>
      </c>
      <c r="M42" s="98">
        <f>H42/H39</f>
        <v>0.39653929343907712</v>
      </c>
      <c r="N42" s="52">
        <v>720</v>
      </c>
      <c r="O42" s="52">
        <v>827</v>
      </c>
      <c r="P42" s="52">
        <v>1152</v>
      </c>
      <c r="Q42" s="52">
        <v>1076</v>
      </c>
      <c r="R42" s="52">
        <v>826</v>
      </c>
      <c r="S42" s="98">
        <f t="shared" si="4"/>
        <v>-0.23234200743494426</v>
      </c>
      <c r="T42" s="98">
        <f t="shared" si="5"/>
        <v>0.14722222222222214</v>
      </c>
      <c r="U42" s="52">
        <f t="shared" si="6"/>
        <v>-250</v>
      </c>
      <c r="V42" s="52">
        <f t="shared" si="7"/>
        <v>106</v>
      </c>
      <c r="W42" s="98">
        <f>R42/R39</f>
        <v>0.32947746310331072</v>
      </c>
    </row>
    <row r="43" spans="2:23" x14ac:dyDescent="0.25">
      <c r="B43" s="91" t="s">
        <v>52</v>
      </c>
      <c r="C43" s="99">
        <v>6935</v>
      </c>
      <c r="D43" s="99">
        <v>6890</v>
      </c>
      <c r="E43" s="99">
        <v>3786</v>
      </c>
      <c r="F43" s="99">
        <v>4393</v>
      </c>
      <c r="G43" s="99">
        <v>6413</v>
      </c>
      <c r="H43" s="99">
        <v>6356</v>
      </c>
      <c r="I43" s="100">
        <f t="shared" si="0"/>
        <v>-8.8881958521752624E-3</v>
      </c>
      <c r="J43" s="100">
        <f t="shared" si="1"/>
        <v>-7.7503628447024631E-2</v>
      </c>
      <c r="K43" s="99">
        <f t="shared" si="2"/>
        <v>-57</v>
      </c>
      <c r="L43" s="99">
        <f t="shared" si="3"/>
        <v>-534</v>
      </c>
      <c r="M43" s="93">
        <f>H43/H43</f>
        <v>1</v>
      </c>
      <c r="N43" s="99">
        <v>3748</v>
      </c>
      <c r="O43" s="99">
        <v>5411</v>
      </c>
      <c r="P43" s="99">
        <v>6415</v>
      </c>
      <c r="Q43" s="99">
        <v>6415</v>
      </c>
      <c r="R43" s="99">
        <v>6415</v>
      </c>
      <c r="S43" s="100">
        <f t="shared" si="4"/>
        <v>0</v>
      </c>
      <c r="T43" s="100">
        <f t="shared" si="5"/>
        <v>0.71157950907150491</v>
      </c>
      <c r="U43" s="99">
        <f t="shared" si="6"/>
        <v>0</v>
      </c>
      <c r="V43" s="99">
        <f t="shared" si="7"/>
        <v>2667</v>
      </c>
      <c r="W43" s="93">
        <f>R43/R43</f>
        <v>1</v>
      </c>
    </row>
    <row r="44" spans="2:23" x14ac:dyDescent="0.25">
      <c r="B44" s="94" t="s">
        <v>60</v>
      </c>
      <c r="C44" s="95">
        <v>3851</v>
      </c>
      <c r="D44" s="95">
        <v>4440</v>
      </c>
      <c r="E44" s="95">
        <v>2472</v>
      </c>
      <c r="F44" s="95">
        <v>2822</v>
      </c>
      <c r="G44" s="95">
        <v>4753</v>
      </c>
      <c r="H44" s="95">
        <v>4696</v>
      </c>
      <c r="I44" s="96">
        <f t="shared" si="0"/>
        <v>-1.199242583631388E-2</v>
      </c>
      <c r="J44" s="96">
        <f t="shared" si="1"/>
        <v>5.7657657657657735E-2</v>
      </c>
      <c r="K44" s="95">
        <f t="shared" si="2"/>
        <v>-57</v>
      </c>
      <c r="L44" s="95">
        <f t="shared" si="3"/>
        <v>256</v>
      </c>
      <c r="M44" s="96">
        <f>H44/H43</f>
        <v>0.7388294524858402</v>
      </c>
      <c r="N44" s="95">
        <v>2346</v>
      </c>
      <c r="O44" s="95">
        <v>3751</v>
      </c>
      <c r="P44" s="95">
        <v>4755</v>
      </c>
      <c r="Q44" s="95">
        <v>4755</v>
      </c>
      <c r="R44" s="95">
        <v>4755</v>
      </c>
      <c r="S44" s="96">
        <f t="shared" si="4"/>
        <v>0</v>
      </c>
      <c r="T44" s="96">
        <f t="shared" si="5"/>
        <v>1.0268542199488491</v>
      </c>
      <c r="U44" s="95">
        <f t="shared" si="6"/>
        <v>0</v>
      </c>
      <c r="V44" s="95">
        <f t="shared" si="7"/>
        <v>2409</v>
      </c>
      <c r="W44" s="96">
        <f>R44/R43</f>
        <v>0.74123148869836319</v>
      </c>
    </row>
    <row r="45" spans="2:23" x14ac:dyDescent="0.25">
      <c r="B45" s="97" t="s">
        <v>61</v>
      </c>
      <c r="C45" s="52">
        <v>0</v>
      </c>
      <c r="D45" s="52">
        <v>3379</v>
      </c>
      <c r="E45" s="52">
        <v>0</v>
      </c>
      <c r="F45" s="52">
        <v>2173</v>
      </c>
      <c r="G45" s="52">
        <v>3692</v>
      </c>
      <c r="H45" s="52">
        <v>3635</v>
      </c>
      <c r="I45" s="98">
        <f t="shared" si="0"/>
        <v>-1.5438786565547091E-2</v>
      </c>
      <c r="J45" s="98">
        <f t="shared" si="1"/>
        <v>7.5762059781000257E-2</v>
      </c>
      <c r="K45" s="52">
        <f t="shared" si="2"/>
        <v>-57</v>
      </c>
      <c r="L45" s="52">
        <f t="shared" si="3"/>
        <v>256</v>
      </c>
      <c r="M45" s="98">
        <f>H45/H43</f>
        <v>0.57190056639395848</v>
      </c>
      <c r="N45" s="52">
        <v>0</v>
      </c>
      <c r="O45" s="52">
        <v>2690</v>
      </c>
      <c r="P45" s="52">
        <v>3694</v>
      </c>
      <c r="Q45" s="52">
        <v>3694</v>
      </c>
      <c r="R45" s="52">
        <v>3694</v>
      </c>
      <c r="S45" s="98">
        <f t="shared" si="4"/>
        <v>0</v>
      </c>
      <c r="T45" s="98" t="str">
        <f t="shared" si="5"/>
        <v>-</v>
      </c>
      <c r="U45" s="52">
        <f t="shared" si="6"/>
        <v>0</v>
      </c>
      <c r="V45" s="52">
        <f t="shared" si="7"/>
        <v>3694</v>
      </c>
      <c r="W45" s="98">
        <f>R45/R43</f>
        <v>0.57583787996882307</v>
      </c>
    </row>
    <row r="46" spans="2:23" x14ac:dyDescent="0.25">
      <c r="B46" s="97" t="s">
        <v>62</v>
      </c>
      <c r="C46" s="52">
        <v>0</v>
      </c>
      <c r="D46" s="52">
        <v>1061</v>
      </c>
      <c r="E46" s="52">
        <v>0</v>
      </c>
      <c r="F46" s="52">
        <v>649</v>
      </c>
      <c r="G46" s="52">
        <v>1061</v>
      </c>
      <c r="H46" s="52">
        <v>1061</v>
      </c>
      <c r="I46" s="98">
        <f t="shared" si="0"/>
        <v>0</v>
      </c>
      <c r="J46" s="98">
        <f t="shared" si="1"/>
        <v>0</v>
      </c>
      <c r="K46" s="52">
        <f t="shared" si="2"/>
        <v>0</v>
      </c>
      <c r="L46" s="52">
        <f t="shared" si="3"/>
        <v>0</v>
      </c>
      <c r="M46" s="98">
        <f>H46/H43</f>
        <v>0.1669288860918817</v>
      </c>
      <c r="N46" s="52">
        <v>0</v>
      </c>
      <c r="O46" s="52">
        <v>1061</v>
      </c>
      <c r="P46" s="52">
        <v>1061</v>
      </c>
      <c r="Q46" s="52">
        <v>1061</v>
      </c>
      <c r="R46" s="52">
        <v>1061</v>
      </c>
      <c r="S46" s="98">
        <f t="shared" si="4"/>
        <v>0</v>
      </c>
      <c r="T46" s="98" t="str">
        <f t="shared" si="5"/>
        <v>-</v>
      </c>
      <c r="U46" s="52">
        <f t="shared" si="6"/>
        <v>0</v>
      </c>
      <c r="V46" s="52">
        <f t="shared" si="7"/>
        <v>1061</v>
      </c>
      <c r="W46" s="98">
        <f>R46/R43</f>
        <v>0.16539360872954015</v>
      </c>
    </row>
    <row r="47" spans="2:23" x14ac:dyDescent="0.25">
      <c r="B47" s="94" t="s">
        <v>63</v>
      </c>
      <c r="C47" s="95">
        <v>3084</v>
      </c>
      <c r="D47" s="95">
        <v>2450</v>
      </c>
      <c r="E47" s="95">
        <v>1314</v>
      </c>
      <c r="F47" s="95">
        <v>1571</v>
      </c>
      <c r="G47" s="95">
        <v>1660</v>
      </c>
      <c r="H47" s="95">
        <v>1660</v>
      </c>
      <c r="I47" s="96">
        <f t="shared" si="0"/>
        <v>0</v>
      </c>
      <c r="J47" s="96">
        <f t="shared" si="1"/>
        <v>-0.32244897959183672</v>
      </c>
      <c r="K47" s="95">
        <f t="shared" si="2"/>
        <v>0</v>
      </c>
      <c r="L47" s="95">
        <f t="shared" si="3"/>
        <v>-790</v>
      </c>
      <c r="M47" s="96">
        <f>H47/H43</f>
        <v>0.26117054751415986</v>
      </c>
      <c r="N47" s="95">
        <v>1402</v>
      </c>
      <c r="O47" s="95">
        <v>1660</v>
      </c>
      <c r="P47" s="95">
        <v>1660</v>
      </c>
      <c r="Q47" s="95">
        <v>1660</v>
      </c>
      <c r="R47" s="95">
        <v>1660</v>
      </c>
      <c r="S47" s="96">
        <f t="shared" si="4"/>
        <v>0</v>
      </c>
      <c r="T47" s="96">
        <f t="shared" si="5"/>
        <v>0.18402282453637664</v>
      </c>
      <c r="U47" s="95">
        <f t="shared" si="6"/>
        <v>0</v>
      </c>
      <c r="V47" s="95">
        <f t="shared" si="7"/>
        <v>258</v>
      </c>
      <c r="W47" s="96">
        <f>R47/R43</f>
        <v>0.25876851130163681</v>
      </c>
    </row>
    <row r="48" spans="2:23" x14ac:dyDescent="0.25">
      <c r="B48" s="91" t="s">
        <v>53</v>
      </c>
      <c r="C48" s="99">
        <v>3366</v>
      </c>
      <c r="D48" s="99">
        <v>3382</v>
      </c>
      <c r="E48" s="99">
        <v>2158</v>
      </c>
      <c r="F48" s="99">
        <v>2862</v>
      </c>
      <c r="G48" s="99">
        <v>3212</v>
      </c>
      <c r="H48" s="99">
        <v>3072</v>
      </c>
      <c r="I48" s="100">
        <f t="shared" si="0"/>
        <v>-4.3586550435865457E-2</v>
      </c>
      <c r="J48" s="100">
        <f t="shared" si="1"/>
        <v>-9.1661738616203414E-2</v>
      </c>
      <c r="K48" s="99">
        <f t="shared" si="2"/>
        <v>-140</v>
      </c>
      <c r="L48" s="99">
        <f t="shared" si="3"/>
        <v>-310</v>
      </c>
      <c r="M48" s="93">
        <f>H48/H48</f>
        <v>1</v>
      </c>
      <c r="N48" s="99">
        <v>2272</v>
      </c>
      <c r="O48" s="99">
        <v>2781</v>
      </c>
      <c r="P48" s="99">
        <v>3081</v>
      </c>
      <c r="Q48" s="99">
        <v>3058</v>
      </c>
      <c r="R48" s="99">
        <v>3113</v>
      </c>
      <c r="S48" s="100">
        <f t="shared" si="4"/>
        <v>1.7985611510791477E-2</v>
      </c>
      <c r="T48" s="100">
        <f t="shared" si="5"/>
        <v>0.37015845070422526</v>
      </c>
      <c r="U48" s="99">
        <f t="shared" si="6"/>
        <v>55</v>
      </c>
      <c r="V48" s="99">
        <f t="shared" si="7"/>
        <v>841</v>
      </c>
      <c r="W48" s="93">
        <f>R48/R48</f>
        <v>1</v>
      </c>
    </row>
    <row r="49" spans="2:23" x14ac:dyDescent="0.25">
      <c r="B49" s="94" t="s">
        <v>60</v>
      </c>
      <c r="C49" s="95">
        <v>3099</v>
      </c>
      <c r="D49" s="95">
        <v>3115</v>
      </c>
      <c r="E49" s="95">
        <v>2065</v>
      </c>
      <c r="F49" s="95">
        <v>2789</v>
      </c>
      <c r="G49" s="95">
        <v>3008</v>
      </c>
      <c r="H49" s="95">
        <v>2663</v>
      </c>
      <c r="I49" s="96">
        <f t="shared" si="0"/>
        <v>-0.11469414893617025</v>
      </c>
      <c r="J49" s="96">
        <f t="shared" si="1"/>
        <v>-0.14510433386837884</v>
      </c>
      <c r="K49" s="95">
        <f t="shared" si="2"/>
        <v>-345</v>
      </c>
      <c r="L49" s="95">
        <f t="shared" si="3"/>
        <v>-452</v>
      </c>
      <c r="M49" s="96">
        <f>H49/H48</f>
        <v>0.86686197916666663</v>
      </c>
      <c r="N49" s="95">
        <v>2242</v>
      </c>
      <c r="O49" s="95">
        <v>2751</v>
      </c>
      <c r="P49" s="95">
        <v>2877</v>
      </c>
      <c r="Q49" s="95">
        <v>2644</v>
      </c>
      <c r="R49" s="95">
        <v>2725</v>
      </c>
      <c r="S49" s="96">
        <f t="shared" si="4"/>
        <v>3.063540090771566E-2</v>
      </c>
      <c r="T49" s="96">
        <f t="shared" si="5"/>
        <v>0.2154326494201606</v>
      </c>
      <c r="U49" s="95">
        <f t="shared" si="6"/>
        <v>81</v>
      </c>
      <c r="V49" s="95">
        <f t="shared" si="7"/>
        <v>483</v>
      </c>
      <c r="W49" s="96">
        <f>R49/R48</f>
        <v>0.87536138772887895</v>
      </c>
    </row>
    <row r="50" spans="2:23" x14ac:dyDescent="0.25">
      <c r="B50" s="97" t="s">
        <v>61</v>
      </c>
      <c r="C50" s="52">
        <v>2455</v>
      </c>
      <c r="D50" s="52">
        <v>2465</v>
      </c>
      <c r="E50" s="52">
        <v>1643</v>
      </c>
      <c r="F50" s="52">
        <v>2193</v>
      </c>
      <c r="G50" s="52">
        <v>2189</v>
      </c>
      <c r="H50" s="52">
        <v>2050</v>
      </c>
      <c r="I50" s="98">
        <f t="shared" si="0"/>
        <v>-6.3499314755596115E-2</v>
      </c>
      <c r="J50" s="98">
        <f t="shared" si="1"/>
        <v>-0.16835699797160242</v>
      </c>
      <c r="K50" s="52">
        <f t="shared" si="2"/>
        <v>-139</v>
      </c>
      <c r="L50" s="52">
        <f t="shared" si="3"/>
        <v>-415</v>
      </c>
      <c r="M50" s="98">
        <f>H50/H48</f>
        <v>0.66731770833333337</v>
      </c>
      <c r="N50" s="52">
        <v>1653</v>
      </c>
      <c r="O50" s="52">
        <v>2165</v>
      </c>
      <c r="P50" s="52">
        <v>2053</v>
      </c>
      <c r="Q50" s="52">
        <v>2053</v>
      </c>
      <c r="R50" s="52">
        <v>2053</v>
      </c>
      <c r="S50" s="98">
        <f t="shared" si="4"/>
        <v>0</v>
      </c>
      <c r="T50" s="98">
        <f t="shared" si="5"/>
        <v>0.24198427102238362</v>
      </c>
      <c r="U50" s="52">
        <f t="shared" si="6"/>
        <v>0</v>
      </c>
      <c r="V50" s="52">
        <f t="shared" si="7"/>
        <v>400</v>
      </c>
      <c r="W50" s="98">
        <f>R50/R48</f>
        <v>0.65949245101188569</v>
      </c>
    </row>
    <row r="51" spans="2:23" x14ac:dyDescent="0.25">
      <c r="B51" s="97" t="s">
        <v>62</v>
      </c>
      <c r="C51" s="52">
        <v>644</v>
      </c>
      <c r="D51" s="52">
        <v>650</v>
      </c>
      <c r="E51" s="52">
        <v>422</v>
      </c>
      <c r="F51" s="52">
        <v>596</v>
      </c>
      <c r="G51" s="52">
        <v>819</v>
      </c>
      <c r="H51" s="52">
        <v>613</v>
      </c>
      <c r="I51" s="98">
        <f t="shared" si="0"/>
        <v>-0.25152625152625152</v>
      </c>
      <c r="J51" s="98">
        <f t="shared" si="1"/>
        <v>-5.6923076923076965E-2</v>
      </c>
      <c r="K51" s="52">
        <f t="shared" si="2"/>
        <v>-206</v>
      </c>
      <c r="L51" s="52">
        <f t="shared" si="3"/>
        <v>-37</v>
      </c>
      <c r="M51" s="98">
        <f>H51/H48</f>
        <v>0.19954427083333334</v>
      </c>
      <c r="N51" s="52">
        <v>589</v>
      </c>
      <c r="O51" s="52">
        <v>586</v>
      </c>
      <c r="P51" s="52">
        <v>824</v>
      </c>
      <c r="Q51" s="52">
        <v>591</v>
      </c>
      <c r="R51" s="52">
        <v>672</v>
      </c>
      <c r="S51" s="98">
        <f t="shared" si="4"/>
        <v>0.13705583756345185</v>
      </c>
      <c r="T51" s="98">
        <f t="shared" si="5"/>
        <v>0.14091680814940588</v>
      </c>
      <c r="U51" s="52">
        <f t="shared" si="6"/>
        <v>81</v>
      </c>
      <c r="V51" s="52">
        <f t="shared" si="7"/>
        <v>83</v>
      </c>
      <c r="W51" s="98">
        <f>R51/R48</f>
        <v>0.21586893671699325</v>
      </c>
    </row>
    <row r="52" spans="2:23" x14ac:dyDescent="0.25">
      <c r="B52" s="94" t="s">
        <v>63</v>
      </c>
      <c r="C52" s="95">
        <v>333</v>
      </c>
      <c r="D52" s="95">
        <v>333</v>
      </c>
      <c r="E52" s="95">
        <v>460</v>
      </c>
      <c r="F52" s="95">
        <v>774</v>
      </c>
      <c r="G52" s="95">
        <v>904</v>
      </c>
      <c r="H52" s="95">
        <v>1110</v>
      </c>
      <c r="I52" s="96">
        <f t="shared" si="0"/>
        <v>0.22787610619469034</v>
      </c>
      <c r="J52" s="96">
        <f t="shared" si="1"/>
        <v>2.3333333333333335</v>
      </c>
      <c r="K52" s="95">
        <f t="shared" si="2"/>
        <v>206</v>
      </c>
      <c r="L52" s="95">
        <f t="shared" si="3"/>
        <v>777</v>
      </c>
      <c r="M52" s="96">
        <f>H52/H48</f>
        <v>0.361328125</v>
      </c>
      <c r="N52" s="95">
        <v>730</v>
      </c>
      <c r="O52" s="95">
        <v>730</v>
      </c>
      <c r="P52" s="95">
        <v>904</v>
      </c>
      <c r="Q52" s="95">
        <v>1114</v>
      </c>
      <c r="R52" s="95">
        <v>1088</v>
      </c>
      <c r="S52" s="96">
        <f t="shared" si="4"/>
        <v>-2.3339317773788171E-2</v>
      </c>
      <c r="T52" s="96">
        <f t="shared" si="5"/>
        <v>0.49041095890410968</v>
      </c>
      <c r="U52" s="95">
        <f t="shared" si="6"/>
        <v>-26</v>
      </c>
      <c r="V52" s="95">
        <f t="shared" si="7"/>
        <v>358</v>
      </c>
      <c r="W52" s="96">
        <f>R52/R48</f>
        <v>0.3495020880179891</v>
      </c>
    </row>
    <row r="53" spans="2:23" ht="6.95" customHeight="1" x14ac:dyDescent="0.25">
      <c r="B53" s="101"/>
      <c r="C53" s="102"/>
      <c r="D53" s="102"/>
      <c r="E53" s="102"/>
      <c r="F53" s="102"/>
      <c r="G53" s="103"/>
      <c r="H53" s="102"/>
      <c r="I53" s="104"/>
      <c r="J53" s="104"/>
      <c r="K53" s="102"/>
      <c r="L53" s="104"/>
      <c r="M53" s="104"/>
      <c r="N53" s="102"/>
      <c r="O53" s="102"/>
      <c r="P53" s="102"/>
      <c r="Q53" s="102"/>
      <c r="R53" s="104"/>
      <c r="S53" s="104"/>
      <c r="T53" s="104"/>
      <c r="U53" s="104"/>
      <c r="V53" s="104"/>
    </row>
    <row r="54" spans="2:23" ht="15" customHeight="1" x14ac:dyDescent="0.25">
      <c r="B54" s="105" t="s">
        <v>55</v>
      </c>
      <c r="C54" s="105"/>
      <c r="D54" s="105"/>
      <c r="E54" s="105"/>
      <c r="F54" s="105"/>
      <c r="G54" s="105"/>
      <c r="H54" s="105"/>
      <c r="I54" s="105"/>
      <c r="J54" s="105"/>
      <c r="K54" s="105"/>
      <c r="L54" s="105"/>
      <c r="M54" s="105"/>
      <c r="N54" s="105"/>
      <c r="O54" s="105"/>
      <c r="P54" s="105"/>
      <c r="Q54" s="105"/>
      <c r="R54" s="105"/>
      <c r="S54" s="105"/>
      <c r="T54" s="105"/>
      <c r="U54" s="105"/>
      <c r="V54" s="105"/>
    </row>
  </sheetData>
  <mergeCells count="2">
    <mergeCell ref="C5:H5"/>
    <mergeCell ref="N5:R5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190F35-EFE5-4097-9048-78BA80A2C3AA}">
  <sheetPr>
    <tabColor rgb="FF92D050"/>
  </sheetPr>
  <dimension ref="B1:W54"/>
  <sheetViews>
    <sheetView showGridLines="0" zoomScaleNormal="100" workbookViewId="0"/>
  </sheetViews>
  <sheetFormatPr baseColWidth="10" defaultRowHeight="15" x14ac:dyDescent="0.25"/>
  <cols>
    <col min="1" max="1" width="15.5703125" customWidth="1"/>
    <col min="2" max="2" width="25.7109375" customWidth="1"/>
    <col min="3" max="8" width="9.85546875" customWidth="1"/>
    <col min="9" max="9" width="10.7109375" customWidth="1"/>
    <col min="10" max="10" width="11.28515625" customWidth="1"/>
    <col min="11" max="12" width="9.28515625" customWidth="1"/>
    <col min="13" max="13" width="12.28515625" customWidth="1"/>
    <col min="14" max="18" width="11.5703125" customWidth="1"/>
    <col min="19" max="19" width="10.7109375" customWidth="1"/>
    <col min="20" max="20" width="13" customWidth="1"/>
    <col min="21" max="22" width="9.85546875" customWidth="1"/>
    <col min="24" max="24" width="14.42578125" customWidth="1"/>
    <col min="25" max="26" width="7.85546875" customWidth="1"/>
    <col min="27" max="27" width="8.140625" customWidth="1"/>
    <col min="28" max="28" width="9" customWidth="1"/>
    <col min="29" max="30" width="9.42578125" customWidth="1"/>
  </cols>
  <sheetData>
    <row r="1" spans="2:23" ht="42.75" customHeight="1" x14ac:dyDescent="0.25"/>
    <row r="3" spans="2:23" ht="30.75" customHeight="1" thickBot="1" x14ac:dyDescent="0.3">
      <c r="B3" s="82" t="str">
        <f>CONCATENATE("Establecimientos alojativos en funcionamiento en Tenerife y municipios")</f>
        <v>Establecimientos alojativos en funcionamiento en Tenerife y municipios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62"/>
      <c r="W3" s="62"/>
    </row>
    <row r="4" spans="2:23" ht="6.95" customHeight="1" x14ac:dyDescent="0.25">
      <c r="B4" s="83"/>
      <c r="C4" s="83"/>
      <c r="D4" s="83"/>
      <c r="E4" s="83"/>
      <c r="F4" s="83"/>
      <c r="G4" s="83"/>
      <c r="H4" s="83"/>
      <c r="I4" s="84"/>
      <c r="J4" s="83"/>
      <c r="K4" s="83"/>
      <c r="L4" s="83"/>
      <c r="M4" s="83"/>
      <c r="N4" s="83"/>
      <c r="O4" s="83"/>
      <c r="P4" s="83"/>
      <c r="Q4" s="83"/>
      <c r="R4" s="84"/>
      <c r="S4" s="84"/>
      <c r="T4" s="84"/>
      <c r="U4" s="84"/>
      <c r="V4" s="84"/>
      <c r="W4" s="84"/>
    </row>
    <row r="5" spans="2:23" ht="15.75" thickBot="1" x14ac:dyDescent="0.3">
      <c r="B5" s="85"/>
      <c r="C5" s="290" t="s">
        <v>64</v>
      </c>
      <c r="D5" s="290"/>
      <c r="E5" s="290"/>
      <c r="F5" s="290"/>
      <c r="G5" s="290"/>
      <c r="H5" s="290"/>
      <c r="I5" s="86"/>
      <c r="J5" s="86"/>
      <c r="K5" s="86"/>
      <c r="L5" s="86"/>
      <c r="M5" s="87"/>
      <c r="N5" s="291" t="s">
        <v>65</v>
      </c>
      <c r="O5" s="291"/>
      <c r="P5" s="291"/>
      <c r="Q5" s="291"/>
      <c r="R5" s="291"/>
      <c r="S5" s="86"/>
      <c r="T5" s="86"/>
      <c r="U5" s="86"/>
      <c r="V5" s="86"/>
      <c r="W5" s="87"/>
    </row>
    <row r="6" spans="2:23" ht="59.25" customHeight="1" x14ac:dyDescent="0.25">
      <c r="B6" s="88"/>
      <c r="C6" s="14">
        <v>2018</v>
      </c>
      <c r="D6" s="14">
        <v>2019</v>
      </c>
      <c r="E6" s="14">
        <v>2020</v>
      </c>
      <c r="F6" s="14">
        <v>2021</v>
      </c>
      <c r="G6" s="14">
        <v>2022</v>
      </c>
      <c r="H6" s="14">
        <v>2023</v>
      </c>
      <c r="I6" s="89" t="str">
        <f>CONCATENATE("var. ",RIGHT(H6,2),"/",RIGHT(G6,2))</f>
        <v>var. 23/22</v>
      </c>
      <c r="J6" s="89" t="str">
        <f>CONCATENATE("var. ",RIGHT(H6,2),"/",RIGHT(D6,2))</f>
        <v>var. 23/19</v>
      </c>
      <c r="K6" s="89" t="str">
        <f>CONCATENATE("dif. ",RIGHT(H6,2),"/",RIGHT(G6,2))</f>
        <v>dif. 23/22</v>
      </c>
      <c r="L6" s="89" t="str">
        <f>CONCATENATE("dif. ",RIGHT(H6,2),"/",RIGHT(D6,2))</f>
        <v>dif. 23/19</v>
      </c>
      <c r="M6" s="14" t="str">
        <f>CONCATENATE("cuota/ total isla ",RIGHT(H6,2))</f>
        <v>cuota/ total isla 23</v>
      </c>
      <c r="N6" s="90" t="s">
        <v>235</v>
      </c>
      <c r="O6" s="90" t="s">
        <v>225</v>
      </c>
      <c r="P6" s="90" t="s">
        <v>226</v>
      </c>
      <c r="Q6" s="90" t="s">
        <v>227</v>
      </c>
      <c r="R6" s="90" t="s">
        <v>228</v>
      </c>
      <c r="S6" s="89" t="str">
        <f>CONCATENATE("var. ",RIGHT(R6,2),"/",RIGHT(Q6,2))</f>
        <v>var. 24/23</v>
      </c>
      <c r="T6" s="89" t="str">
        <f>CONCATENATE("var. ",RIGHT(R6,2),"/",RIGHT(N6,2))</f>
        <v>var. 24/20</v>
      </c>
      <c r="U6" s="89" t="str">
        <f>CONCATENATE("dif. ",RIGHT(R6,2),"/",RIGHT(Q6,2))</f>
        <v>dif. 24/23</v>
      </c>
      <c r="V6" s="89" t="str">
        <f>CONCATENATE("dif. ",RIGHT(R6,2),"/",RIGHT(N6,2))</f>
        <v>dif. 24/20</v>
      </c>
      <c r="W6" s="87" t="str">
        <f>CONCATENATE("cuota/ total isla ",RIGHT(R6,2))</f>
        <v>cuota/ total isla 24</v>
      </c>
    </row>
    <row r="7" spans="2:23" x14ac:dyDescent="0.25">
      <c r="B7" s="91" t="s">
        <v>43</v>
      </c>
      <c r="C7" s="92">
        <v>388</v>
      </c>
      <c r="D7" s="92">
        <v>388</v>
      </c>
      <c r="E7" s="92">
        <v>173</v>
      </c>
      <c r="F7" s="92">
        <v>195</v>
      </c>
      <c r="G7" s="92">
        <v>293</v>
      </c>
      <c r="H7" s="92">
        <v>308</v>
      </c>
      <c r="I7" s="93">
        <f>IFERROR(H7/G7-1,"-")</f>
        <v>5.1194539249146853E-2</v>
      </c>
      <c r="J7" s="93">
        <f>IFERROR(H7/D7-1,"-")</f>
        <v>-0.20618556701030932</v>
      </c>
      <c r="K7" s="92">
        <f>IFERROR(H7-G7,"-")</f>
        <v>15</v>
      </c>
      <c r="L7" s="92">
        <f>IFERROR(H7-D7,"-")</f>
        <v>-80</v>
      </c>
      <c r="M7" s="93">
        <f>H7/H7</f>
        <v>1</v>
      </c>
      <c r="N7" s="92">
        <v>155</v>
      </c>
      <c r="O7" s="92">
        <v>247</v>
      </c>
      <c r="P7" s="92">
        <v>297</v>
      </c>
      <c r="Q7" s="92">
        <v>930</v>
      </c>
      <c r="R7" s="92">
        <v>322</v>
      </c>
      <c r="S7" s="93">
        <f t="shared" ref="S7:S52" si="0">IFERROR(R7/Q7-1,"-")</f>
        <v>-0.65376344086021509</v>
      </c>
      <c r="T7" s="93">
        <f t="shared" ref="T7:T52" si="1">IFERROR(R7/N7-1,"-")</f>
        <v>1.0774193548387099</v>
      </c>
      <c r="U7" s="92">
        <f t="shared" ref="U7:U52" si="2">IFERROR(R7-Q7,"-")</f>
        <v>-608</v>
      </c>
      <c r="V7" s="92">
        <f t="shared" ref="V7:V52" si="3">IFERROR(R7-N7,"-")</f>
        <v>167</v>
      </c>
      <c r="W7" s="93">
        <f>R7/R7</f>
        <v>1</v>
      </c>
    </row>
    <row r="8" spans="2:23" x14ac:dyDescent="0.25">
      <c r="B8" s="94" t="s">
        <v>60</v>
      </c>
      <c r="C8" s="95">
        <v>229</v>
      </c>
      <c r="D8" s="95">
        <v>230</v>
      </c>
      <c r="E8" s="95">
        <v>104</v>
      </c>
      <c r="F8" s="95">
        <v>124</v>
      </c>
      <c r="G8" s="95">
        <v>194</v>
      </c>
      <c r="H8" s="95">
        <v>199</v>
      </c>
      <c r="I8" s="96">
        <f t="shared" ref="I8:I52" si="4">IFERROR(H8/G8-1,"-")</f>
        <v>2.5773195876288568E-2</v>
      </c>
      <c r="J8" s="96">
        <f t="shared" ref="J8:J52" si="5">IFERROR(H8/D8-1,"-")</f>
        <v>-0.13478260869565217</v>
      </c>
      <c r="K8" s="95">
        <f t="shared" ref="K8:K52" si="6">IFERROR(H8-G8,"-")</f>
        <v>5</v>
      </c>
      <c r="L8" s="95">
        <f t="shared" ref="L8:L52" si="7">IFERROR(H8-D8,"-")</f>
        <v>-31</v>
      </c>
      <c r="M8" s="96">
        <f>H8/H7</f>
        <v>0.64610389610389607</v>
      </c>
      <c r="N8" s="95">
        <v>95</v>
      </c>
      <c r="O8" s="95">
        <v>166</v>
      </c>
      <c r="P8" s="95">
        <v>196</v>
      </c>
      <c r="Q8" s="95">
        <v>201</v>
      </c>
      <c r="R8" s="95">
        <v>210</v>
      </c>
      <c r="S8" s="96">
        <f t="shared" si="0"/>
        <v>4.4776119402984982E-2</v>
      </c>
      <c r="T8" s="96">
        <f t="shared" si="1"/>
        <v>1.2105263157894739</v>
      </c>
      <c r="U8" s="95">
        <f t="shared" si="2"/>
        <v>9</v>
      </c>
      <c r="V8" s="95">
        <f t="shared" si="3"/>
        <v>115</v>
      </c>
      <c r="W8" s="96">
        <f>R8/R7</f>
        <v>0.65217391304347827</v>
      </c>
    </row>
    <row r="9" spans="2:23" x14ac:dyDescent="0.25">
      <c r="B9" s="97" t="s">
        <v>61</v>
      </c>
      <c r="C9" s="52">
        <v>121</v>
      </c>
      <c r="D9" s="52">
        <v>124</v>
      </c>
      <c r="E9" s="52">
        <v>63</v>
      </c>
      <c r="F9" s="52">
        <v>84</v>
      </c>
      <c r="G9" s="52">
        <v>128</v>
      </c>
      <c r="H9" s="52">
        <v>131</v>
      </c>
      <c r="I9" s="98">
        <f t="shared" si="4"/>
        <v>2.34375E-2</v>
      </c>
      <c r="J9" s="98">
        <f t="shared" si="5"/>
        <v>5.6451612903225756E-2</v>
      </c>
      <c r="K9" s="52">
        <f t="shared" si="6"/>
        <v>3</v>
      </c>
      <c r="L9" s="52">
        <f t="shared" si="7"/>
        <v>7</v>
      </c>
      <c r="M9" s="98">
        <f>H9/H7</f>
        <v>0.42532467532467533</v>
      </c>
      <c r="N9" s="52">
        <v>64</v>
      </c>
      <c r="O9" s="52">
        <v>114</v>
      </c>
      <c r="P9" s="52">
        <v>128</v>
      </c>
      <c r="Q9" s="52">
        <v>134</v>
      </c>
      <c r="R9" s="52">
        <v>136</v>
      </c>
      <c r="S9" s="98">
        <f t="shared" si="0"/>
        <v>1.4925373134328401E-2</v>
      </c>
      <c r="T9" s="98">
        <f t="shared" si="1"/>
        <v>1.125</v>
      </c>
      <c r="U9" s="52">
        <f t="shared" si="2"/>
        <v>2</v>
      </c>
      <c r="V9" s="52">
        <f t="shared" si="3"/>
        <v>72</v>
      </c>
      <c r="W9" s="98">
        <f>R9/R7</f>
        <v>0.42236024844720499</v>
      </c>
    </row>
    <row r="10" spans="2:23" x14ac:dyDescent="0.25">
      <c r="B10" s="97" t="s">
        <v>62</v>
      </c>
      <c r="C10" s="52">
        <v>108</v>
      </c>
      <c r="D10" s="52">
        <v>107</v>
      </c>
      <c r="E10" s="52">
        <v>41</v>
      </c>
      <c r="F10" s="52">
        <v>40</v>
      </c>
      <c r="G10" s="52">
        <v>65</v>
      </c>
      <c r="H10" s="52">
        <v>68</v>
      </c>
      <c r="I10" s="98">
        <f t="shared" si="4"/>
        <v>4.6153846153846212E-2</v>
      </c>
      <c r="J10" s="98">
        <f t="shared" si="5"/>
        <v>-0.36448598130841126</v>
      </c>
      <c r="K10" s="52">
        <f t="shared" si="6"/>
        <v>3</v>
      </c>
      <c r="L10" s="52">
        <f t="shared" si="7"/>
        <v>-39</v>
      </c>
      <c r="M10" s="98">
        <f>H10/H7</f>
        <v>0.22077922077922077</v>
      </c>
      <c r="N10" s="52">
        <v>31</v>
      </c>
      <c r="O10" s="52">
        <v>52</v>
      </c>
      <c r="P10" s="52">
        <v>68</v>
      </c>
      <c r="Q10" s="52">
        <v>67</v>
      </c>
      <c r="R10" s="52">
        <v>74</v>
      </c>
      <c r="S10" s="98">
        <f t="shared" si="0"/>
        <v>0.10447761194029859</v>
      </c>
      <c r="T10" s="98">
        <f t="shared" si="1"/>
        <v>1.3870967741935485</v>
      </c>
      <c r="U10" s="52">
        <f t="shared" si="2"/>
        <v>7</v>
      </c>
      <c r="V10" s="52">
        <f t="shared" si="3"/>
        <v>43</v>
      </c>
      <c r="W10" s="98">
        <f>R10/R7</f>
        <v>0.22981366459627328</v>
      </c>
    </row>
    <row r="11" spans="2:23" x14ac:dyDescent="0.25">
      <c r="B11" s="94" t="s">
        <v>63</v>
      </c>
      <c r="C11" s="95">
        <v>159</v>
      </c>
      <c r="D11" s="95">
        <v>158</v>
      </c>
      <c r="E11" s="95">
        <v>70</v>
      </c>
      <c r="F11" s="95">
        <v>71</v>
      </c>
      <c r="G11" s="95">
        <v>100</v>
      </c>
      <c r="H11" s="95">
        <v>109</v>
      </c>
      <c r="I11" s="96">
        <f t="shared" si="4"/>
        <v>9.000000000000008E-2</v>
      </c>
      <c r="J11" s="96">
        <f t="shared" si="5"/>
        <v>-0.310126582278481</v>
      </c>
      <c r="K11" s="95">
        <f t="shared" si="6"/>
        <v>9</v>
      </c>
      <c r="L11" s="95">
        <f t="shared" si="7"/>
        <v>-49</v>
      </c>
      <c r="M11" s="96">
        <f>H11/H7</f>
        <v>0.35389610389610388</v>
      </c>
      <c r="N11" s="95">
        <v>60</v>
      </c>
      <c r="O11" s="95">
        <v>81</v>
      </c>
      <c r="P11" s="95">
        <v>101</v>
      </c>
      <c r="Q11" s="95">
        <v>109</v>
      </c>
      <c r="R11" s="95">
        <v>112</v>
      </c>
      <c r="S11" s="96">
        <f t="shared" si="0"/>
        <v>2.7522935779816571E-2</v>
      </c>
      <c r="T11" s="96">
        <f t="shared" si="1"/>
        <v>0.8666666666666667</v>
      </c>
      <c r="U11" s="95">
        <f t="shared" si="2"/>
        <v>3</v>
      </c>
      <c r="V11" s="95">
        <f t="shared" si="3"/>
        <v>52</v>
      </c>
      <c r="W11" s="96">
        <f>R11/R7</f>
        <v>0.34782608695652173</v>
      </c>
    </row>
    <row r="12" spans="2:23" x14ac:dyDescent="0.25">
      <c r="B12" s="91" t="s">
        <v>44</v>
      </c>
      <c r="C12" s="99">
        <v>99</v>
      </c>
      <c r="D12" s="99">
        <v>100</v>
      </c>
      <c r="E12" s="99">
        <v>49</v>
      </c>
      <c r="F12" s="99">
        <v>57</v>
      </c>
      <c r="G12" s="99">
        <v>84</v>
      </c>
      <c r="H12" s="99">
        <v>90</v>
      </c>
      <c r="I12" s="100">
        <f t="shared" si="4"/>
        <v>7.1428571428571397E-2</v>
      </c>
      <c r="J12" s="100">
        <f t="shared" si="5"/>
        <v>-9.9999999999999978E-2</v>
      </c>
      <c r="K12" s="99">
        <f t="shared" si="6"/>
        <v>6</v>
      </c>
      <c r="L12" s="99">
        <f t="shared" si="7"/>
        <v>-10</v>
      </c>
      <c r="M12" s="93">
        <f>H12/H12</f>
        <v>1</v>
      </c>
      <c r="N12" s="99">
        <v>47</v>
      </c>
      <c r="O12" s="99">
        <v>71</v>
      </c>
      <c r="P12" s="99">
        <v>84</v>
      </c>
      <c r="Q12" s="99">
        <v>90</v>
      </c>
      <c r="R12" s="99">
        <v>94</v>
      </c>
      <c r="S12" s="100">
        <f t="shared" si="0"/>
        <v>4.4444444444444509E-2</v>
      </c>
      <c r="T12" s="100">
        <f t="shared" si="1"/>
        <v>1</v>
      </c>
      <c r="U12" s="99">
        <f t="shared" si="2"/>
        <v>4</v>
      </c>
      <c r="V12" s="99">
        <f t="shared" si="3"/>
        <v>47</v>
      </c>
      <c r="W12" s="93">
        <f>R12/R12</f>
        <v>1</v>
      </c>
    </row>
    <row r="13" spans="2:23" ht="15" customHeight="1" x14ac:dyDescent="0.25">
      <c r="B13" s="94" t="s">
        <v>60</v>
      </c>
      <c r="C13" s="95">
        <v>61</v>
      </c>
      <c r="D13" s="95">
        <v>62</v>
      </c>
      <c r="E13" s="95">
        <v>31</v>
      </c>
      <c r="F13" s="95">
        <v>40</v>
      </c>
      <c r="G13" s="95">
        <v>60</v>
      </c>
      <c r="H13" s="95">
        <v>62</v>
      </c>
      <c r="I13" s="96">
        <f t="shared" si="4"/>
        <v>3.3333333333333437E-2</v>
      </c>
      <c r="J13" s="96">
        <f t="shared" si="5"/>
        <v>0</v>
      </c>
      <c r="K13" s="95">
        <f t="shared" si="6"/>
        <v>2</v>
      </c>
      <c r="L13" s="95">
        <f t="shared" si="7"/>
        <v>0</v>
      </c>
      <c r="M13" s="96">
        <f>H13/H12</f>
        <v>0.68888888888888888</v>
      </c>
      <c r="N13" s="95">
        <v>31</v>
      </c>
      <c r="O13" s="95">
        <v>53</v>
      </c>
      <c r="P13" s="95">
        <v>60</v>
      </c>
      <c r="Q13" s="95">
        <v>62</v>
      </c>
      <c r="R13" s="95">
        <v>62</v>
      </c>
      <c r="S13" s="96">
        <f t="shared" si="0"/>
        <v>0</v>
      </c>
      <c r="T13" s="96">
        <f t="shared" si="1"/>
        <v>1</v>
      </c>
      <c r="U13" s="95">
        <f t="shared" si="2"/>
        <v>0</v>
      </c>
      <c r="V13" s="95">
        <f t="shared" si="3"/>
        <v>31</v>
      </c>
      <c r="W13" s="96">
        <f>R13/R12</f>
        <v>0.65957446808510634</v>
      </c>
    </row>
    <row r="14" spans="2:23" x14ac:dyDescent="0.25">
      <c r="B14" s="97" t="s">
        <v>61</v>
      </c>
      <c r="C14" s="52">
        <v>42</v>
      </c>
      <c r="D14" s="52">
        <v>44</v>
      </c>
      <c r="E14" s="52">
        <v>25</v>
      </c>
      <c r="F14" s="52">
        <v>33</v>
      </c>
      <c r="G14" s="52">
        <v>48</v>
      </c>
      <c r="H14" s="52">
        <v>50</v>
      </c>
      <c r="I14" s="98">
        <f t="shared" si="4"/>
        <v>4.1666666666666741E-2</v>
      </c>
      <c r="J14" s="98">
        <f t="shared" si="5"/>
        <v>0.13636363636363646</v>
      </c>
      <c r="K14" s="52">
        <f t="shared" si="6"/>
        <v>2</v>
      </c>
      <c r="L14" s="52">
        <f t="shared" si="7"/>
        <v>6</v>
      </c>
      <c r="M14" s="98">
        <f>H14/H12</f>
        <v>0.55555555555555558</v>
      </c>
      <c r="N14" s="52">
        <v>27</v>
      </c>
      <c r="O14" s="52">
        <v>43</v>
      </c>
      <c r="P14" s="52">
        <v>48</v>
      </c>
      <c r="Q14" s="52">
        <v>51</v>
      </c>
      <c r="R14" s="52">
        <v>51</v>
      </c>
      <c r="S14" s="98">
        <f t="shared" si="0"/>
        <v>0</v>
      </c>
      <c r="T14" s="98">
        <f t="shared" si="1"/>
        <v>0.88888888888888884</v>
      </c>
      <c r="U14" s="52">
        <f t="shared" si="2"/>
        <v>0</v>
      </c>
      <c r="V14" s="52">
        <f t="shared" si="3"/>
        <v>24</v>
      </c>
      <c r="W14" s="98">
        <f>R14/R12</f>
        <v>0.54255319148936165</v>
      </c>
    </row>
    <row r="15" spans="2:23" x14ac:dyDescent="0.25">
      <c r="B15" s="97" t="s">
        <v>62</v>
      </c>
      <c r="C15" s="52">
        <v>19</v>
      </c>
      <c r="D15" s="52">
        <v>18</v>
      </c>
      <c r="E15" s="52">
        <v>6</v>
      </c>
      <c r="F15" s="52">
        <v>7</v>
      </c>
      <c r="G15" s="52">
        <v>12</v>
      </c>
      <c r="H15" s="52">
        <v>11</v>
      </c>
      <c r="I15" s="98">
        <f t="shared" si="4"/>
        <v>-8.333333333333337E-2</v>
      </c>
      <c r="J15" s="98">
        <f t="shared" si="5"/>
        <v>-0.38888888888888884</v>
      </c>
      <c r="K15" s="52">
        <f t="shared" si="6"/>
        <v>-1</v>
      </c>
      <c r="L15" s="52">
        <f t="shared" si="7"/>
        <v>-7</v>
      </c>
      <c r="M15" s="98">
        <f>H15/H12</f>
        <v>0.12222222222222222</v>
      </c>
      <c r="N15" s="52">
        <v>4</v>
      </c>
      <c r="O15" s="52">
        <v>10</v>
      </c>
      <c r="P15" s="52">
        <v>12</v>
      </c>
      <c r="Q15" s="52">
        <v>11</v>
      </c>
      <c r="R15" s="52">
        <v>11</v>
      </c>
      <c r="S15" s="98">
        <f t="shared" si="0"/>
        <v>0</v>
      </c>
      <c r="T15" s="98">
        <f t="shared" si="1"/>
        <v>1.75</v>
      </c>
      <c r="U15" s="52">
        <f t="shared" si="2"/>
        <v>0</v>
      </c>
      <c r="V15" s="52">
        <f t="shared" si="3"/>
        <v>7</v>
      </c>
      <c r="W15" s="98">
        <f>R15/R12</f>
        <v>0.11702127659574468</v>
      </c>
    </row>
    <row r="16" spans="2:23" x14ac:dyDescent="0.25">
      <c r="B16" s="94" t="s">
        <v>63</v>
      </c>
      <c r="C16" s="95">
        <v>38</v>
      </c>
      <c r="D16" s="95">
        <v>38</v>
      </c>
      <c r="E16" s="95">
        <v>18</v>
      </c>
      <c r="F16" s="95">
        <v>17</v>
      </c>
      <c r="G16" s="95">
        <v>24</v>
      </c>
      <c r="H16" s="95">
        <v>29</v>
      </c>
      <c r="I16" s="96">
        <f t="shared" si="4"/>
        <v>0.20833333333333326</v>
      </c>
      <c r="J16" s="96">
        <f t="shared" si="5"/>
        <v>-0.23684210526315785</v>
      </c>
      <c r="K16" s="95">
        <f t="shared" si="6"/>
        <v>5</v>
      </c>
      <c r="L16" s="95">
        <f t="shared" si="7"/>
        <v>-9</v>
      </c>
      <c r="M16" s="96">
        <f>H16/H12</f>
        <v>0.32222222222222224</v>
      </c>
      <c r="N16" s="95">
        <v>16</v>
      </c>
      <c r="O16" s="95">
        <v>18</v>
      </c>
      <c r="P16" s="95">
        <v>24</v>
      </c>
      <c r="Q16" s="95">
        <v>28</v>
      </c>
      <c r="R16" s="95">
        <v>32</v>
      </c>
      <c r="S16" s="96">
        <f t="shared" si="0"/>
        <v>0.14285714285714279</v>
      </c>
      <c r="T16" s="96">
        <f t="shared" si="1"/>
        <v>1</v>
      </c>
      <c r="U16" s="95">
        <f t="shared" si="2"/>
        <v>4</v>
      </c>
      <c r="V16" s="95">
        <f t="shared" si="3"/>
        <v>16</v>
      </c>
      <c r="W16" s="96">
        <f>R16/R12</f>
        <v>0.34042553191489361</v>
      </c>
    </row>
    <row r="17" spans="2:23" x14ac:dyDescent="0.25">
      <c r="B17" s="91" t="s">
        <v>49</v>
      </c>
      <c r="C17" s="99">
        <v>9</v>
      </c>
      <c r="D17" s="99">
        <v>9</v>
      </c>
      <c r="E17" s="99">
        <v>4</v>
      </c>
      <c r="F17" s="99">
        <v>3</v>
      </c>
      <c r="G17" s="99">
        <v>5</v>
      </c>
      <c r="H17" s="99">
        <v>5</v>
      </c>
      <c r="I17" s="100">
        <f t="shared" si="4"/>
        <v>0</v>
      </c>
      <c r="J17" s="100">
        <f t="shared" si="5"/>
        <v>-0.44444444444444442</v>
      </c>
      <c r="K17" s="99">
        <f t="shared" si="6"/>
        <v>0</v>
      </c>
      <c r="L17" s="99">
        <f t="shared" si="7"/>
        <v>-4</v>
      </c>
      <c r="M17" s="93">
        <f>H17/H17</f>
        <v>1</v>
      </c>
      <c r="N17" s="99">
        <v>3</v>
      </c>
      <c r="O17" s="99">
        <v>4</v>
      </c>
      <c r="P17" s="99">
        <v>5</v>
      </c>
      <c r="Q17" s="99">
        <v>5</v>
      </c>
      <c r="R17" s="99">
        <v>6</v>
      </c>
      <c r="S17" s="100">
        <f t="shared" si="0"/>
        <v>0.19999999999999996</v>
      </c>
      <c r="T17" s="100">
        <f t="shared" si="1"/>
        <v>1</v>
      </c>
      <c r="U17" s="99">
        <f t="shared" si="2"/>
        <v>1</v>
      </c>
      <c r="V17" s="99">
        <f t="shared" si="3"/>
        <v>3</v>
      </c>
      <c r="W17" s="93">
        <f>R17/R17</f>
        <v>1</v>
      </c>
    </row>
    <row r="18" spans="2:23" x14ac:dyDescent="0.25">
      <c r="B18" s="94" t="s">
        <v>60</v>
      </c>
      <c r="C18" s="95">
        <v>9</v>
      </c>
      <c r="D18" s="95">
        <v>9</v>
      </c>
      <c r="E18" s="95">
        <v>4</v>
      </c>
      <c r="F18" s="95">
        <v>3</v>
      </c>
      <c r="G18" s="95">
        <v>5</v>
      </c>
      <c r="H18" s="95">
        <v>5</v>
      </c>
      <c r="I18" s="96">
        <f t="shared" si="4"/>
        <v>0</v>
      </c>
      <c r="J18" s="96">
        <f t="shared" si="5"/>
        <v>-0.44444444444444442</v>
      </c>
      <c r="K18" s="95">
        <f t="shared" si="6"/>
        <v>0</v>
      </c>
      <c r="L18" s="95">
        <f t="shared" si="7"/>
        <v>-4</v>
      </c>
      <c r="M18" s="96">
        <f>H18/H17</f>
        <v>1</v>
      </c>
      <c r="N18" s="95">
        <v>3</v>
      </c>
      <c r="O18" s="95">
        <v>4</v>
      </c>
      <c r="P18" s="95">
        <v>5</v>
      </c>
      <c r="Q18" s="95">
        <v>5</v>
      </c>
      <c r="R18" s="95">
        <v>6</v>
      </c>
      <c r="S18" s="96">
        <f t="shared" si="0"/>
        <v>0.19999999999999996</v>
      </c>
      <c r="T18" s="96">
        <f t="shared" si="1"/>
        <v>1</v>
      </c>
      <c r="U18" s="95">
        <f t="shared" si="2"/>
        <v>1</v>
      </c>
      <c r="V18" s="95">
        <f t="shared" si="3"/>
        <v>3</v>
      </c>
      <c r="W18" s="96">
        <f>R18/R17</f>
        <v>1</v>
      </c>
    </row>
    <row r="19" spans="2:23" x14ac:dyDescent="0.25">
      <c r="B19" s="97" t="s">
        <v>61</v>
      </c>
      <c r="C19" s="52">
        <v>4</v>
      </c>
      <c r="D19" s="52">
        <v>4</v>
      </c>
      <c r="E19" s="52">
        <v>0</v>
      </c>
      <c r="F19" s="52">
        <v>0</v>
      </c>
      <c r="G19" s="52">
        <v>3</v>
      </c>
      <c r="H19" s="52">
        <v>3</v>
      </c>
      <c r="I19" s="98">
        <f t="shared" si="4"/>
        <v>0</v>
      </c>
      <c r="J19" s="98">
        <f t="shared" si="5"/>
        <v>-0.25</v>
      </c>
      <c r="K19" s="52">
        <f t="shared" si="6"/>
        <v>0</v>
      </c>
      <c r="L19" s="52">
        <f t="shared" si="7"/>
        <v>-1</v>
      </c>
      <c r="M19" s="98">
        <f>H19/H17</f>
        <v>0.6</v>
      </c>
      <c r="N19" s="52">
        <v>0</v>
      </c>
      <c r="O19" s="52">
        <v>0</v>
      </c>
      <c r="P19" s="52">
        <v>3</v>
      </c>
      <c r="Q19" s="52">
        <v>3</v>
      </c>
      <c r="R19" s="52">
        <v>3</v>
      </c>
      <c r="S19" s="98">
        <f t="shared" si="0"/>
        <v>0</v>
      </c>
      <c r="T19" s="98" t="str">
        <f t="shared" si="1"/>
        <v>-</v>
      </c>
      <c r="U19" s="52">
        <f t="shared" si="2"/>
        <v>0</v>
      </c>
      <c r="V19" s="52">
        <f t="shared" si="3"/>
        <v>3</v>
      </c>
      <c r="W19" s="98">
        <f>R19/R17</f>
        <v>0.5</v>
      </c>
    </row>
    <row r="20" spans="2:23" x14ac:dyDescent="0.25">
      <c r="B20" s="97" t="s">
        <v>62</v>
      </c>
      <c r="C20" s="52">
        <v>5</v>
      </c>
      <c r="D20" s="52">
        <v>5</v>
      </c>
      <c r="E20" s="52">
        <v>0</v>
      </c>
      <c r="F20" s="52">
        <v>0</v>
      </c>
      <c r="G20" s="52">
        <v>2</v>
      </c>
      <c r="H20" s="52">
        <v>2</v>
      </c>
      <c r="I20" s="98">
        <f t="shared" si="4"/>
        <v>0</v>
      </c>
      <c r="J20" s="98">
        <f t="shared" si="5"/>
        <v>-0.6</v>
      </c>
      <c r="K20" s="52">
        <f t="shared" si="6"/>
        <v>0</v>
      </c>
      <c r="L20" s="52">
        <f t="shared" si="7"/>
        <v>-3</v>
      </c>
      <c r="M20" s="98">
        <f>H20/H17</f>
        <v>0.4</v>
      </c>
      <c r="N20" s="52">
        <v>0</v>
      </c>
      <c r="O20" s="52">
        <v>0</v>
      </c>
      <c r="P20" s="52">
        <v>2</v>
      </c>
      <c r="Q20" s="52">
        <v>2</v>
      </c>
      <c r="R20" s="52">
        <v>3</v>
      </c>
      <c r="S20" s="98">
        <f t="shared" si="0"/>
        <v>0.5</v>
      </c>
      <c r="T20" s="98" t="str">
        <f t="shared" si="1"/>
        <v>-</v>
      </c>
      <c r="U20" s="52">
        <f t="shared" si="2"/>
        <v>1</v>
      </c>
      <c r="V20" s="52">
        <f t="shared" si="3"/>
        <v>3</v>
      </c>
      <c r="W20" s="98">
        <f>R20/R17</f>
        <v>0.5</v>
      </c>
    </row>
    <row r="21" spans="2:23" x14ac:dyDescent="0.25">
      <c r="B21" s="94" t="s">
        <v>63</v>
      </c>
      <c r="C21" s="95">
        <v>0</v>
      </c>
      <c r="D21" s="95">
        <v>0</v>
      </c>
      <c r="E21" s="95">
        <v>0</v>
      </c>
      <c r="F21" s="95">
        <v>0</v>
      </c>
      <c r="G21" s="95">
        <v>0</v>
      </c>
      <c r="H21" s="95">
        <v>0</v>
      </c>
      <c r="I21" s="96" t="str">
        <f t="shared" si="4"/>
        <v>-</v>
      </c>
      <c r="J21" s="96" t="str">
        <f t="shared" si="5"/>
        <v>-</v>
      </c>
      <c r="K21" s="95">
        <f t="shared" si="6"/>
        <v>0</v>
      </c>
      <c r="L21" s="95">
        <f t="shared" si="7"/>
        <v>0</v>
      </c>
      <c r="M21" s="96">
        <f>H21/H17</f>
        <v>0</v>
      </c>
      <c r="N21" s="95" t="s">
        <v>229</v>
      </c>
      <c r="O21" s="95" t="s">
        <v>229</v>
      </c>
      <c r="P21" s="95" t="s">
        <v>229</v>
      </c>
      <c r="Q21" s="95" t="s">
        <v>229</v>
      </c>
      <c r="R21" s="95" t="s">
        <v>229</v>
      </c>
      <c r="S21" s="96" t="str">
        <f t="shared" si="0"/>
        <v>-</v>
      </c>
      <c r="T21" s="96" t="str">
        <f t="shared" si="1"/>
        <v>-</v>
      </c>
      <c r="U21" s="95" t="str">
        <f t="shared" si="2"/>
        <v>-</v>
      </c>
      <c r="V21" s="95" t="str">
        <f t="shared" si="3"/>
        <v>-</v>
      </c>
      <c r="W21" s="96" t="e">
        <f>R21/R17</f>
        <v>#VALUE!</v>
      </c>
    </row>
    <row r="22" spans="2:23" x14ac:dyDescent="0.25">
      <c r="B22" s="91" t="s">
        <v>46</v>
      </c>
      <c r="C22" s="99">
        <v>13</v>
      </c>
      <c r="D22" s="99">
        <v>13</v>
      </c>
      <c r="E22" s="99">
        <v>4</v>
      </c>
      <c r="F22" s="99">
        <v>4</v>
      </c>
      <c r="G22" s="99">
        <v>5</v>
      </c>
      <c r="H22" s="99">
        <v>7</v>
      </c>
      <c r="I22" s="100">
        <f t="shared" si="4"/>
        <v>0.39999999999999991</v>
      </c>
      <c r="J22" s="100">
        <f t="shared" si="5"/>
        <v>-0.46153846153846156</v>
      </c>
      <c r="K22" s="99">
        <f t="shared" si="6"/>
        <v>2</v>
      </c>
      <c r="L22" s="99">
        <f t="shared" si="7"/>
        <v>-6</v>
      </c>
      <c r="M22" s="100">
        <f>H22/H22</f>
        <v>1</v>
      </c>
      <c r="N22" s="99">
        <v>2</v>
      </c>
      <c r="O22" s="99">
        <v>4</v>
      </c>
      <c r="P22" s="99">
        <v>6</v>
      </c>
      <c r="Q22" s="99">
        <v>7</v>
      </c>
      <c r="R22" s="99">
        <v>8</v>
      </c>
      <c r="S22" s="100">
        <f t="shared" si="0"/>
        <v>0.14285714285714279</v>
      </c>
      <c r="T22" s="100">
        <f t="shared" si="1"/>
        <v>3</v>
      </c>
      <c r="U22" s="99">
        <f t="shared" si="2"/>
        <v>1</v>
      </c>
      <c r="V22" s="99">
        <f t="shared" si="3"/>
        <v>6</v>
      </c>
      <c r="W22" s="100">
        <f>R22/R22</f>
        <v>1</v>
      </c>
    </row>
    <row r="23" spans="2:23" x14ac:dyDescent="0.25">
      <c r="B23" s="94" t="s">
        <v>60</v>
      </c>
      <c r="C23" s="95">
        <v>7</v>
      </c>
      <c r="D23" s="95">
        <v>7</v>
      </c>
      <c r="E23" s="95">
        <v>3</v>
      </c>
      <c r="F23" s="95">
        <v>4</v>
      </c>
      <c r="G23" s="95">
        <v>5</v>
      </c>
      <c r="H23" s="95">
        <v>6</v>
      </c>
      <c r="I23" s="96">
        <f t="shared" si="4"/>
        <v>0.19999999999999996</v>
      </c>
      <c r="J23" s="96">
        <f t="shared" si="5"/>
        <v>-0.1428571428571429</v>
      </c>
      <c r="K23" s="95">
        <f t="shared" si="6"/>
        <v>1</v>
      </c>
      <c r="L23" s="95">
        <f t="shared" si="7"/>
        <v>-1</v>
      </c>
      <c r="M23" s="96">
        <f>H23/H22</f>
        <v>0.8571428571428571</v>
      </c>
      <c r="N23" s="95">
        <v>2</v>
      </c>
      <c r="O23" s="95">
        <v>4</v>
      </c>
      <c r="P23" s="95">
        <v>6</v>
      </c>
      <c r="Q23" s="95">
        <v>6</v>
      </c>
      <c r="R23" s="95">
        <v>6</v>
      </c>
      <c r="S23" s="96">
        <f t="shared" si="0"/>
        <v>0</v>
      </c>
      <c r="T23" s="96">
        <f t="shared" si="1"/>
        <v>2</v>
      </c>
      <c r="U23" s="95">
        <f t="shared" si="2"/>
        <v>0</v>
      </c>
      <c r="V23" s="95">
        <f t="shared" si="3"/>
        <v>4</v>
      </c>
      <c r="W23" s="96">
        <f>R23/R22</f>
        <v>0.75</v>
      </c>
    </row>
    <row r="24" spans="2:23" x14ac:dyDescent="0.25">
      <c r="B24" s="94" t="s">
        <v>63</v>
      </c>
      <c r="C24" s="95">
        <v>6</v>
      </c>
      <c r="D24" s="95">
        <v>6</v>
      </c>
      <c r="E24" s="95">
        <v>1</v>
      </c>
      <c r="F24" s="95">
        <v>0</v>
      </c>
      <c r="G24" s="95">
        <v>0</v>
      </c>
      <c r="H24" s="95">
        <v>0</v>
      </c>
      <c r="I24" s="96" t="str">
        <f t="shared" si="4"/>
        <v>-</v>
      </c>
      <c r="J24" s="96">
        <f t="shared" si="5"/>
        <v>-1</v>
      </c>
      <c r="K24" s="95">
        <f t="shared" si="6"/>
        <v>0</v>
      </c>
      <c r="L24" s="95">
        <f t="shared" si="7"/>
        <v>-6</v>
      </c>
      <c r="M24" s="96">
        <f>H24/H22</f>
        <v>0</v>
      </c>
      <c r="N24" s="95">
        <v>0</v>
      </c>
      <c r="O24" s="95">
        <v>0</v>
      </c>
      <c r="P24" s="95">
        <v>0</v>
      </c>
      <c r="Q24" s="95">
        <v>0</v>
      </c>
      <c r="R24" s="95">
        <v>0</v>
      </c>
      <c r="S24" s="96" t="str">
        <f t="shared" si="0"/>
        <v>-</v>
      </c>
      <c r="T24" s="96" t="str">
        <f t="shared" si="1"/>
        <v>-</v>
      </c>
      <c r="U24" s="95">
        <f t="shared" si="2"/>
        <v>0</v>
      </c>
      <c r="V24" s="95">
        <f t="shared" si="3"/>
        <v>0</v>
      </c>
      <c r="W24" s="96">
        <f>R24/R22</f>
        <v>0</v>
      </c>
    </row>
    <row r="25" spans="2:23" x14ac:dyDescent="0.25">
      <c r="B25" s="91" t="s">
        <v>47</v>
      </c>
      <c r="C25" s="99">
        <v>6</v>
      </c>
      <c r="D25" s="99">
        <v>6</v>
      </c>
      <c r="E25" s="99">
        <v>3</v>
      </c>
      <c r="F25" s="99">
        <v>4</v>
      </c>
      <c r="G25" s="99">
        <v>5</v>
      </c>
      <c r="H25" s="99">
        <v>4</v>
      </c>
      <c r="I25" s="100">
        <f t="shared" si="4"/>
        <v>-0.19999999999999996</v>
      </c>
      <c r="J25" s="100">
        <f t="shared" si="5"/>
        <v>-0.33333333333333337</v>
      </c>
      <c r="K25" s="99">
        <f t="shared" si="6"/>
        <v>-1</v>
      </c>
      <c r="L25" s="99">
        <f t="shared" si="7"/>
        <v>-2</v>
      </c>
      <c r="M25" s="93">
        <f>H25/H25</f>
        <v>1</v>
      </c>
      <c r="N25" s="99">
        <v>4</v>
      </c>
      <c r="O25" s="99">
        <v>4</v>
      </c>
      <c r="P25" s="99">
        <v>5</v>
      </c>
      <c r="Q25" s="99">
        <v>4</v>
      </c>
      <c r="R25" s="99">
        <v>5</v>
      </c>
      <c r="S25" s="100">
        <f t="shared" si="0"/>
        <v>0.25</v>
      </c>
      <c r="T25" s="100">
        <f t="shared" si="1"/>
        <v>0.25</v>
      </c>
      <c r="U25" s="99">
        <f t="shared" si="2"/>
        <v>1</v>
      </c>
      <c r="V25" s="99">
        <f t="shared" si="3"/>
        <v>1</v>
      </c>
      <c r="W25" s="93">
        <f>R25/R25</f>
        <v>1</v>
      </c>
    </row>
    <row r="26" spans="2:23" x14ac:dyDescent="0.25">
      <c r="B26" s="94" t="s">
        <v>60</v>
      </c>
      <c r="C26" s="95">
        <v>5</v>
      </c>
      <c r="D26" s="95">
        <v>5</v>
      </c>
      <c r="E26" s="95">
        <v>2</v>
      </c>
      <c r="F26" s="95">
        <v>3</v>
      </c>
      <c r="G26" s="95">
        <v>4</v>
      </c>
      <c r="H26" s="95">
        <v>3</v>
      </c>
      <c r="I26" s="96">
        <f t="shared" si="4"/>
        <v>-0.25</v>
      </c>
      <c r="J26" s="96">
        <f t="shared" si="5"/>
        <v>-0.4</v>
      </c>
      <c r="K26" s="95">
        <f t="shared" si="6"/>
        <v>-1</v>
      </c>
      <c r="L26" s="95">
        <f t="shared" si="7"/>
        <v>-2</v>
      </c>
      <c r="M26" s="96">
        <f>H26/H25</f>
        <v>0.75</v>
      </c>
      <c r="N26" s="95">
        <v>3</v>
      </c>
      <c r="O26" s="95">
        <v>3</v>
      </c>
      <c r="P26" s="95">
        <v>4</v>
      </c>
      <c r="Q26" s="95">
        <v>3</v>
      </c>
      <c r="R26" s="95">
        <v>4</v>
      </c>
      <c r="S26" s="96">
        <f t="shared" si="0"/>
        <v>0.33333333333333326</v>
      </c>
      <c r="T26" s="96">
        <f t="shared" si="1"/>
        <v>0.33333333333333326</v>
      </c>
      <c r="U26" s="95">
        <f t="shared" si="2"/>
        <v>1</v>
      </c>
      <c r="V26" s="95">
        <f t="shared" si="3"/>
        <v>1</v>
      </c>
      <c r="W26" s="96">
        <f>R26/R25</f>
        <v>0.8</v>
      </c>
    </row>
    <row r="27" spans="2:23" x14ac:dyDescent="0.25">
      <c r="B27" s="97" t="s">
        <v>61</v>
      </c>
      <c r="C27" s="52">
        <v>3</v>
      </c>
      <c r="D27" s="52">
        <v>3</v>
      </c>
      <c r="E27" s="52">
        <v>0</v>
      </c>
      <c r="F27" s="52">
        <v>0</v>
      </c>
      <c r="G27" s="52">
        <v>0</v>
      </c>
      <c r="H27" s="52">
        <v>0</v>
      </c>
      <c r="I27" s="98" t="str">
        <f t="shared" si="4"/>
        <v>-</v>
      </c>
      <c r="J27" s="98">
        <f t="shared" si="5"/>
        <v>-1</v>
      </c>
      <c r="K27" s="52">
        <f t="shared" si="6"/>
        <v>0</v>
      </c>
      <c r="L27" s="52">
        <f t="shared" si="7"/>
        <v>-3</v>
      </c>
      <c r="M27" s="98">
        <f>H27/H25</f>
        <v>0</v>
      </c>
      <c r="N27" s="52">
        <v>0</v>
      </c>
      <c r="O27" s="52">
        <v>3</v>
      </c>
      <c r="P27" s="52">
        <v>0</v>
      </c>
      <c r="Q27" s="52">
        <v>3</v>
      </c>
      <c r="R27" s="52">
        <v>0</v>
      </c>
      <c r="S27" s="98">
        <f t="shared" si="0"/>
        <v>-1</v>
      </c>
      <c r="T27" s="98" t="str">
        <f t="shared" si="1"/>
        <v>-</v>
      </c>
      <c r="U27" s="52">
        <f t="shared" si="2"/>
        <v>-3</v>
      </c>
      <c r="V27" s="52">
        <f t="shared" si="3"/>
        <v>0</v>
      </c>
      <c r="W27" s="98">
        <f>R27/R25</f>
        <v>0</v>
      </c>
    </row>
    <row r="28" spans="2:23" x14ac:dyDescent="0.25">
      <c r="B28" s="97" t="s">
        <v>62</v>
      </c>
      <c r="C28" s="52">
        <v>2</v>
      </c>
      <c r="D28" s="52">
        <v>2</v>
      </c>
      <c r="E28" s="52">
        <v>0</v>
      </c>
      <c r="F28" s="52">
        <v>0</v>
      </c>
      <c r="G28" s="52">
        <v>0</v>
      </c>
      <c r="H28" s="52">
        <v>0</v>
      </c>
      <c r="I28" s="98" t="str">
        <f t="shared" si="4"/>
        <v>-</v>
      </c>
      <c r="J28" s="98">
        <f t="shared" si="5"/>
        <v>-1</v>
      </c>
      <c r="K28" s="52">
        <f t="shared" si="6"/>
        <v>0</v>
      </c>
      <c r="L28" s="52">
        <f t="shared" si="7"/>
        <v>-2</v>
      </c>
      <c r="M28" s="98">
        <f>H28/H25</f>
        <v>0</v>
      </c>
      <c r="N28" s="52">
        <v>0</v>
      </c>
      <c r="O28" s="52">
        <v>0</v>
      </c>
      <c r="P28" s="52">
        <v>0</v>
      </c>
      <c r="Q28" s="52">
        <v>0</v>
      </c>
      <c r="R28" s="52">
        <v>0</v>
      </c>
      <c r="S28" s="98" t="str">
        <f t="shared" si="0"/>
        <v>-</v>
      </c>
      <c r="T28" s="98" t="str">
        <f t="shared" si="1"/>
        <v>-</v>
      </c>
      <c r="U28" s="52">
        <f t="shared" si="2"/>
        <v>0</v>
      </c>
      <c r="V28" s="52">
        <f t="shared" si="3"/>
        <v>0</v>
      </c>
      <c r="W28" s="98">
        <f>R28/R25</f>
        <v>0</v>
      </c>
    </row>
    <row r="29" spans="2:23" x14ac:dyDescent="0.25">
      <c r="B29" s="91" t="s">
        <v>48</v>
      </c>
      <c r="C29" s="99">
        <v>79</v>
      </c>
      <c r="D29" s="99">
        <v>78</v>
      </c>
      <c r="E29" s="99">
        <v>33</v>
      </c>
      <c r="F29" s="99">
        <v>37</v>
      </c>
      <c r="G29" s="99">
        <v>59</v>
      </c>
      <c r="H29" s="99">
        <v>62</v>
      </c>
      <c r="I29" s="100">
        <f t="shared" si="4"/>
        <v>5.0847457627118731E-2</v>
      </c>
      <c r="J29" s="100">
        <f t="shared" si="5"/>
        <v>-0.20512820512820518</v>
      </c>
      <c r="K29" s="99">
        <f t="shared" si="6"/>
        <v>3</v>
      </c>
      <c r="L29" s="99">
        <f t="shared" si="7"/>
        <v>-16</v>
      </c>
      <c r="M29" s="93">
        <f>H29/H29</f>
        <v>1</v>
      </c>
      <c r="N29" s="99">
        <v>31</v>
      </c>
      <c r="O29" s="99">
        <v>51</v>
      </c>
      <c r="P29" s="99">
        <v>59</v>
      </c>
      <c r="Q29" s="99">
        <v>62</v>
      </c>
      <c r="R29" s="99">
        <v>64</v>
      </c>
      <c r="S29" s="100">
        <f t="shared" si="0"/>
        <v>3.2258064516129004E-2</v>
      </c>
      <c r="T29" s="100">
        <f t="shared" si="1"/>
        <v>1.064516129032258</v>
      </c>
      <c r="U29" s="99">
        <f t="shared" si="2"/>
        <v>2</v>
      </c>
      <c r="V29" s="99">
        <f t="shared" si="3"/>
        <v>33</v>
      </c>
      <c r="W29" s="93">
        <f>R29/R29</f>
        <v>1</v>
      </c>
    </row>
    <row r="30" spans="2:23" x14ac:dyDescent="0.25">
      <c r="B30" s="94" t="s">
        <v>60</v>
      </c>
      <c r="C30" s="95">
        <v>56</v>
      </c>
      <c r="D30" s="95">
        <v>54</v>
      </c>
      <c r="E30" s="95">
        <v>21</v>
      </c>
      <c r="F30" s="95">
        <v>25</v>
      </c>
      <c r="G30" s="95">
        <v>41</v>
      </c>
      <c r="H30" s="95">
        <v>43</v>
      </c>
      <c r="I30" s="96">
        <f t="shared" si="4"/>
        <v>4.8780487804878092E-2</v>
      </c>
      <c r="J30" s="96">
        <f t="shared" si="5"/>
        <v>-0.20370370370370372</v>
      </c>
      <c r="K30" s="95">
        <f t="shared" si="6"/>
        <v>2</v>
      </c>
      <c r="L30" s="95">
        <f t="shared" si="7"/>
        <v>-11</v>
      </c>
      <c r="M30" s="96">
        <f>H30/H29</f>
        <v>0.69354838709677424</v>
      </c>
      <c r="N30" s="95">
        <v>18</v>
      </c>
      <c r="O30" s="95">
        <v>36</v>
      </c>
      <c r="P30" s="95">
        <v>40</v>
      </c>
      <c r="Q30" s="95">
        <v>43</v>
      </c>
      <c r="R30" s="95">
        <v>45</v>
      </c>
      <c r="S30" s="96">
        <f t="shared" si="0"/>
        <v>4.6511627906976827E-2</v>
      </c>
      <c r="T30" s="96">
        <f t="shared" si="1"/>
        <v>1.5</v>
      </c>
      <c r="U30" s="95">
        <f t="shared" si="2"/>
        <v>2</v>
      </c>
      <c r="V30" s="95">
        <f t="shared" si="3"/>
        <v>27</v>
      </c>
      <c r="W30" s="96">
        <f>R30/R29</f>
        <v>0.703125</v>
      </c>
    </row>
    <row r="31" spans="2:23" x14ac:dyDescent="0.25">
      <c r="B31" s="97" t="s">
        <v>61</v>
      </c>
      <c r="C31" s="52">
        <v>28</v>
      </c>
      <c r="D31" s="52">
        <v>27</v>
      </c>
      <c r="E31" s="52">
        <v>11</v>
      </c>
      <c r="F31" s="52">
        <v>14</v>
      </c>
      <c r="G31" s="52">
        <v>25</v>
      </c>
      <c r="H31" s="52">
        <v>26</v>
      </c>
      <c r="I31" s="98">
        <f t="shared" si="4"/>
        <v>4.0000000000000036E-2</v>
      </c>
      <c r="J31" s="98">
        <f t="shared" si="5"/>
        <v>-3.703703703703709E-2</v>
      </c>
      <c r="K31" s="52">
        <f t="shared" si="6"/>
        <v>1</v>
      </c>
      <c r="L31" s="52">
        <f t="shared" si="7"/>
        <v>-1</v>
      </c>
      <c r="M31" s="98">
        <f>H31/H29</f>
        <v>0.41935483870967744</v>
      </c>
      <c r="N31" s="52">
        <v>11</v>
      </c>
      <c r="O31" s="52">
        <v>21</v>
      </c>
      <c r="P31" s="52">
        <v>24</v>
      </c>
      <c r="Q31" s="52">
        <v>26</v>
      </c>
      <c r="R31" s="52">
        <v>28</v>
      </c>
      <c r="S31" s="98">
        <f t="shared" si="0"/>
        <v>7.6923076923076872E-2</v>
      </c>
      <c r="T31" s="98">
        <f t="shared" si="1"/>
        <v>1.5454545454545454</v>
      </c>
      <c r="U31" s="52">
        <f t="shared" si="2"/>
        <v>2</v>
      </c>
      <c r="V31" s="52">
        <f t="shared" si="3"/>
        <v>17</v>
      </c>
      <c r="W31" s="98">
        <f>R31/R29</f>
        <v>0.4375</v>
      </c>
    </row>
    <row r="32" spans="2:23" x14ac:dyDescent="0.25">
      <c r="B32" s="97" t="s">
        <v>62</v>
      </c>
      <c r="C32" s="52">
        <v>28</v>
      </c>
      <c r="D32" s="52">
        <v>28</v>
      </c>
      <c r="E32" s="52">
        <v>10</v>
      </c>
      <c r="F32" s="52">
        <v>11</v>
      </c>
      <c r="G32" s="52">
        <v>16</v>
      </c>
      <c r="H32" s="52">
        <v>17</v>
      </c>
      <c r="I32" s="98">
        <f t="shared" si="4"/>
        <v>6.25E-2</v>
      </c>
      <c r="J32" s="98">
        <f t="shared" si="5"/>
        <v>-0.3928571428571429</v>
      </c>
      <c r="K32" s="52">
        <f t="shared" si="6"/>
        <v>1</v>
      </c>
      <c r="L32" s="52">
        <f t="shared" si="7"/>
        <v>-11</v>
      </c>
      <c r="M32" s="98">
        <f>H32/H29</f>
        <v>0.27419354838709675</v>
      </c>
      <c r="N32" s="52">
        <v>7</v>
      </c>
      <c r="O32" s="52">
        <v>15</v>
      </c>
      <c r="P32" s="52">
        <v>16</v>
      </c>
      <c r="Q32" s="52">
        <v>17</v>
      </c>
      <c r="R32" s="52">
        <v>17</v>
      </c>
      <c r="S32" s="98">
        <f t="shared" si="0"/>
        <v>0</v>
      </c>
      <c r="T32" s="98">
        <f t="shared" si="1"/>
        <v>1.4285714285714284</v>
      </c>
      <c r="U32" s="52">
        <f t="shared" si="2"/>
        <v>0</v>
      </c>
      <c r="V32" s="52">
        <f t="shared" si="3"/>
        <v>10</v>
      </c>
      <c r="W32" s="98">
        <f>R32/R29</f>
        <v>0.265625</v>
      </c>
    </row>
    <row r="33" spans="2:23" x14ac:dyDescent="0.25">
      <c r="B33" s="94" t="s">
        <v>63</v>
      </c>
      <c r="C33" s="95">
        <v>24</v>
      </c>
      <c r="D33" s="95">
        <v>24</v>
      </c>
      <c r="E33" s="95">
        <v>12</v>
      </c>
      <c r="F33" s="95">
        <v>12</v>
      </c>
      <c r="G33" s="95">
        <v>18</v>
      </c>
      <c r="H33" s="95">
        <v>19</v>
      </c>
      <c r="I33" s="96">
        <f t="shared" si="4"/>
        <v>5.555555555555558E-2</v>
      </c>
      <c r="J33" s="96">
        <f t="shared" si="5"/>
        <v>-0.20833333333333337</v>
      </c>
      <c r="K33" s="95">
        <f t="shared" si="6"/>
        <v>1</v>
      </c>
      <c r="L33" s="95">
        <f t="shared" si="7"/>
        <v>-5</v>
      </c>
      <c r="M33" s="96">
        <f>H33/H29</f>
        <v>0.30645161290322581</v>
      </c>
      <c r="N33" s="95">
        <v>13</v>
      </c>
      <c r="O33" s="95">
        <v>15</v>
      </c>
      <c r="P33" s="95">
        <v>19</v>
      </c>
      <c r="Q33" s="95">
        <v>19</v>
      </c>
      <c r="R33" s="95">
        <v>19</v>
      </c>
      <c r="S33" s="96">
        <f t="shared" si="0"/>
        <v>0</v>
      </c>
      <c r="T33" s="96">
        <f t="shared" si="1"/>
        <v>0.46153846153846145</v>
      </c>
      <c r="U33" s="95">
        <f t="shared" si="2"/>
        <v>0</v>
      </c>
      <c r="V33" s="95">
        <f t="shared" si="3"/>
        <v>6</v>
      </c>
      <c r="W33" s="96">
        <f>R33/R29</f>
        <v>0.296875</v>
      </c>
    </row>
    <row r="34" spans="2:23" x14ac:dyDescent="0.25">
      <c r="B34" s="91" t="s">
        <v>49</v>
      </c>
      <c r="C34" s="99">
        <v>9</v>
      </c>
      <c r="D34" s="99">
        <v>9</v>
      </c>
      <c r="E34" s="99">
        <v>4</v>
      </c>
      <c r="F34" s="99">
        <v>3</v>
      </c>
      <c r="G34" s="99">
        <v>5</v>
      </c>
      <c r="H34" s="99">
        <v>5</v>
      </c>
      <c r="I34" s="100">
        <f t="shared" si="4"/>
        <v>0</v>
      </c>
      <c r="J34" s="100">
        <f t="shared" si="5"/>
        <v>-0.44444444444444442</v>
      </c>
      <c r="K34" s="99">
        <f t="shared" si="6"/>
        <v>0</v>
      </c>
      <c r="L34" s="99">
        <f t="shared" si="7"/>
        <v>-4</v>
      </c>
      <c r="M34" s="93">
        <f>H34/H34</f>
        <v>1</v>
      </c>
      <c r="N34" s="99">
        <v>3</v>
      </c>
      <c r="O34" s="99">
        <v>4</v>
      </c>
      <c r="P34" s="99">
        <v>5</v>
      </c>
      <c r="Q34" s="99">
        <v>5</v>
      </c>
      <c r="R34" s="99">
        <v>6</v>
      </c>
      <c r="S34" s="100">
        <f t="shared" si="0"/>
        <v>0.19999999999999996</v>
      </c>
      <c r="T34" s="100">
        <f t="shared" si="1"/>
        <v>1</v>
      </c>
      <c r="U34" s="99">
        <f t="shared" si="2"/>
        <v>1</v>
      </c>
      <c r="V34" s="99">
        <f t="shared" si="3"/>
        <v>3</v>
      </c>
      <c r="W34" s="93">
        <f>R34/R34</f>
        <v>1</v>
      </c>
    </row>
    <row r="35" spans="2:23" x14ac:dyDescent="0.25">
      <c r="B35" s="94" t="s">
        <v>60</v>
      </c>
      <c r="C35" s="95">
        <v>9</v>
      </c>
      <c r="D35" s="95">
        <v>9</v>
      </c>
      <c r="E35" s="95">
        <v>4</v>
      </c>
      <c r="F35" s="95">
        <v>3</v>
      </c>
      <c r="G35" s="95">
        <v>5</v>
      </c>
      <c r="H35" s="95">
        <v>5</v>
      </c>
      <c r="I35" s="96">
        <f t="shared" si="4"/>
        <v>0</v>
      </c>
      <c r="J35" s="96">
        <f t="shared" si="5"/>
        <v>-0.44444444444444442</v>
      </c>
      <c r="K35" s="95">
        <f t="shared" si="6"/>
        <v>0</v>
      </c>
      <c r="L35" s="95">
        <f t="shared" si="7"/>
        <v>-4</v>
      </c>
      <c r="M35" s="96">
        <f>H35/H34</f>
        <v>1</v>
      </c>
      <c r="N35" s="95">
        <v>3</v>
      </c>
      <c r="O35" s="95">
        <v>4</v>
      </c>
      <c r="P35" s="95">
        <v>5</v>
      </c>
      <c r="Q35" s="95">
        <v>5</v>
      </c>
      <c r="R35" s="95">
        <v>6</v>
      </c>
      <c r="S35" s="96">
        <f t="shared" si="0"/>
        <v>0.19999999999999996</v>
      </c>
      <c r="T35" s="96">
        <f t="shared" si="1"/>
        <v>1</v>
      </c>
      <c r="U35" s="95">
        <f t="shared" si="2"/>
        <v>1</v>
      </c>
      <c r="V35" s="95">
        <f t="shared" si="3"/>
        <v>3</v>
      </c>
      <c r="W35" s="96">
        <f>R35/R34</f>
        <v>1</v>
      </c>
    </row>
    <row r="36" spans="2:23" x14ac:dyDescent="0.25">
      <c r="B36" s="91" t="s">
        <v>50</v>
      </c>
      <c r="C36" s="99">
        <v>15</v>
      </c>
      <c r="D36" s="99">
        <v>15</v>
      </c>
      <c r="E36" s="99">
        <v>6</v>
      </c>
      <c r="F36" s="99">
        <v>7</v>
      </c>
      <c r="G36" s="99">
        <v>11</v>
      </c>
      <c r="H36" s="99">
        <v>12</v>
      </c>
      <c r="I36" s="100">
        <f t="shared" si="4"/>
        <v>9.0909090909090828E-2</v>
      </c>
      <c r="J36" s="100">
        <f t="shared" si="5"/>
        <v>-0.19999999999999996</v>
      </c>
      <c r="K36" s="99">
        <f t="shared" si="6"/>
        <v>1</v>
      </c>
      <c r="L36" s="99">
        <f t="shared" si="7"/>
        <v>-3</v>
      </c>
      <c r="M36" s="100">
        <f>H36/H36</f>
        <v>1</v>
      </c>
      <c r="N36" s="99">
        <v>4</v>
      </c>
      <c r="O36" s="99">
        <v>8</v>
      </c>
      <c r="P36" s="99">
        <v>12</v>
      </c>
      <c r="Q36" s="99">
        <v>12</v>
      </c>
      <c r="R36" s="99">
        <v>12</v>
      </c>
      <c r="S36" s="100">
        <f t="shared" si="0"/>
        <v>0</v>
      </c>
      <c r="T36" s="100">
        <f t="shared" si="1"/>
        <v>2</v>
      </c>
      <c r="U36" s="99">
        <f t="shared" si="2"/>
        <v>0</v>
      </c>
      <c r="V36" s="99">
        <f t="shared" si="3"/>
        <v>8</v>
      </c>
      <c r="W36" s="100">
        <f>R36/R36</f>
        <v>1</v>
      </c>
    </row>
    <row r="37" spans="2:23" x14ac:dyDescent="0.25">
      <c r="B37" s="94" t="s">
        <v>60</v>
      </c>
      <c r="C37" s="95">
        <v>5</v>
      </c>
      <c r="D37" s="95">
        <v>5</v>
      </c>
      <c r="E37" s="95">
        <v>2</v>
      </c>
      <c r="F37" s="95">
        <v>3</v>
      </c>
      <c r="G37" s="95">
        <v>6</v>
      </c>
      <c r="H37" s="95">
        <v>6</v>
      </c>
      <c r="I37" s="96">
        <f t="shared" si="4"/>
        <v>0</v>
      </c>
      <c r="J37" s="96">
        <f t="shared" si="5"/>
        <v>0.19999999999999996</v>
      </c>
      <c r="K37" s="95">
        <f t="shared" si="6"/>
        <v>0</v>
      </c>
      <c r="L37" s="95">
        <f t="shared" si="7"/>
        <v>1</v>
      </c>
      <c r="M37" s="96">
        <f>H37/H36</f>
        <v>0.5</v>
      </c>
      <c r="N37" s="95">
        <v>2</v>
      </c>
      <c r="O37" s="95">
        <v>4</v>
      </c>
      <c r="P37" s="95">
        <v>6</v>
      </c>
      <c r="Q37" s="95">
        <v>6</v>
      </c>
      <c r="R37" s="95">
        <v>6</v>
      </c>
      <c r="S37" s="96">
        <f t="shared" si="0"/>
        <v>0</v>
      </c>
      <c r="T37" s="96">
        <f t="shared" si="1"/>
        <v>2</v>
      </c>
      <c r="U37" s="95">
        <f t="shared" si="2"/>
        <v>0</v>
      </c>
      <c r="V37" s="95">
        <f t="shared" si="3"/>
        <v>4</v>
      </c>
      <c r="W37" s="96">
        <f>R37/R36</f>
        <v>0.5</v>
      </c>
    </row>
    <row r="38" spans="2:23" x14ac:dyDescent="0.25">
      <c r="B38" s="94" t="s">
        <v>63</v>
      </c>
      <c r="C38" s="95">
        <v>10</v>
      </c>
      <c r="D38" s="95">
        <v>10</v>
      </c>
      <c r="E38" s="95">
        <v>3</v>
      </c>
      <c r="F38" s="95">
        <v>3</v>
      </c>
      <c r="G38" s="95">
        <v>5</v>
      </c>
      <c r="H38" s="95">
        <v>6</v>
      </c>
      <c r="I38" s="96">
        <f t="shared" si="4"/>
        <v>0.19999999999999996</v>
      </c>
      <c r="J38" s="96">
        <f t="shared" si="5"/>
        <v>-0.4</v>
      </c>
      <c r="K38" s="95">
        <f t="shared" si="6"/>
        <v>1</v>
      </c>
      <c r="L38" s="95">
        <f t="shared" si="7"/>
        <v>-4</v>
      </c>
      <c r="M38" s="96">
        <f>H38/H36</f>
        <v>0.5</v>
      </c>
      <c r="N38" s="95">
        <v>2</v>
      </c>
      <c r="O38" s="95">
        <v>4</v>
      </c>
      <c r="P38" s="95">
        <v>6</v>
      </c>
      <c r="Q38" s="95">
        <v>6</v>
      </c>
      <c r="R38" s="95">
        <v>6</v>
      </c>
      <c r="S38" s="96">
        <f t="shared" si="0"/>
        <v>0</v>
      </c>
      <c r="T38" s="96">
        <f t="shared" si="1"/>
        <v>2</v>
      </c>
      <c r="U38" s="95">
        <f t="shared" si="2"/>
        <v>0</v>
      </c>
      <c r="V38" s="95">
        <f t="shared" si="3"/>
        <v>4</v>
      </c>
      <c r="W38" s="96">
        <f>R38/R36</f>
        <v>0.5</v>
      </c>
    </row>
    <row r="39" spans="2:23" x14ac:dyDescent="0.25">
      <c r="B39" s="91" t="s">
        <v>51</v>
      </c>
      <c r="C39" s="99">
        <v>24</v>
      </c>
      <c r="D39" s="99">
        <v>23</v>
      </c>
      <c r="E39" s="99">
        <v>11</v>
      </c>
      <c r="F39" s="99">
        <v>12</v>
      </c>
      <c r="G39" s="99">
        <v>17</v>
      </c>
      <c r="H39" s="99">
        <v>19</v>
      </c>
      <c r="I39" s="100">
        <f t="shared" si="4"/>
        <v>0.11764705882352944</v>
      </c>
      <c r="J39" s="100">
        <f t="shared" si="5"/>
        <v>-0.17391304347826086</v>
      </c>
      <c r="K39" s="99">
        <f t="shared" si="6"/>
        <v>2</v>
      </c>
      <c r="L39" s="99">
        <f t="shared" si="7"/>
        <v>-4</v>
      </c>
      <c r="M39" s="93">
        <f>H39/H39</f>
        <v>1</v>
      </c>
      <c r="N39" s="99">
        <v>10</v>
      </c>
      <c r="O39" s="99">
        <v>14</v>
      </c>
      <c r="P39" s="99">
        <v>18</v>
      </c>
      <c r="Q39" s="99">
        <v>19</v>
      </c>
      <c r="R39" s="99">
        <v>19</v>
      </c>
      <c r="S39" s="100">
        <f t="shared" si="0"/>
        <v>0</v>
      </c>
      <c r="T39" s="100">
        <f t="shared" si="1"/>
        <v>0.89999999999999991</v>
      </c>
      <c r="U39" s="99">
        <f t="shared" si="2"/>
        <v>0</v>
      </c>
      <c r="V39" s="99">
        <f t="shared" si="3"/>
        <v>9</v>
      </c>
      <c r="W39" s="93">
        <f>R39/R39</f>
        <v>1</v>
      </c>
    </row>
    <row r="40" spans="2:23" x14ac:dyDescent="0.25">
      <c r="B40" s="94" t="s">
        <v>60</v>
      </c>
      <c r="C40" s="95">
        <v>24</v>
      </c>
      <c r="D40" s="95">
        <v>23</v>
      </c>
      <c r="E40" s="95">
        <v>11</v>
      </c>
      <c r="F40" s="95">
        <v>12</v>
      </c>
      <c r="G40" s="95">
        <v>17</v>
      </c>
      <c r="H40" s="95">
        <v>19</v>
      </c>
      <c r="I40" s="96">
        <f t="shared" si="4"/>
        <v>0.11764705882352944</v>
      </c>
      <c r="J40" s="96">
        <f t="shared" si="5"/>
        <v>-0.17391304347826086</v>
      </c>
      <c r="K40" s="95">
        <f t="shared" si="6"/>
        <v>2</v>
      </c>
      <c r="L40" s="95">
        <f t="shared" si="7"/>
        <v>-4</v>
      </c>
      <c r="M40" s="96">
        <f>H40/H39</f>
        <v>1</v>
      </c>
      <c r="N40" s="95">
        <v>10</v>
      </c>
      <c r="O40" s="95">
        <v>14</v>
      </c>
      <c r="P40" s="95">
        <v>18</v>
      </c>
      <c r="Q40" s="95">
        <v>19</v>
      </c>
      <c r="R40" s="95">
        <v>19</v>
      </c>
      <c r="S40" s="96">
        <f t="shared" si="0"/>
        <v>0</v>
      </c>
      <c r="T40" s="96">
        <f t="shared" si="1"/>
        <v>0.89999999999999991</v>
      </c>
      <c r="U40" s="95">
        <f t="shared" si="2"/>
        <v>0</v>
      </c>
      <c r="V40" s="95">
        <f t="shared" si="3"/>
        <v>9</v>
      </c>
      <c r="W40" s="96">
        <f>R40/R39</f>
        <v>1</v>
      </c>
    </row>
    <row r="41" spans="2:23" x14ac:dyDescent="0.25">
      <c r="B41" s="97" t="s">
        <v>61</v>
      </c>
      <c r="C41" s="52">
        <v>5</v>
      </c>
      <c r="D41" s="52">
        <v>5</v>
      </c>
      <c r="E41" s="52">
        <v>4</v>
      </c>
      <c r="F41" s="52">
        <v>7</v>
      </c>
      <c r="G41" s="52">
        <v>7</v>
      </c>
      <c r="H41" s="52">
        <v>7</v>
      </c>
      <c r="I41" s="98">
        <f t="shared" si="4"/>
        <v>0</v>
      </c>
      <c r="J41" s="98">
        <f t="shared" si="5"/>
        <v>0.39999999999999991</v>
      </c>
      <c r="K41" s="52">
        <f t="shared" si="6"/>
        <v>0</v>
      </c>
      <c r="L41" s="52">
        <f t="shared" si="7"/>
        <v>2</v>
      </c>
      <c r="M41" s="98">
        <f>H41/H39</f>
        <v>0.36842105263157893</v>
      </c>
      <c r="N41" s="52">
        <v>5</v>
      </c>
      <c r="O41" s="52">
        <v>7</v>
      </c>
      <c r="P41" s="52">
        <v>7</v>
      </c>
      <c r="Q41" s="52">
        <v>7</v>
      </c>
      <c r="R41" s="52">
        <v>7</v>
      </c>
      <c r="S41" s="98">
        <f t="shared" si="0"/>
        <v>0</v>
      </c>
      <c r="T41" s="98">
        <f t="shared" si="1"/>
        <v>0.39999999999999991</v>
      </c>
      <c r="U41" s="52">
        <f t="shared" si="2"/>
        <v>0</v>
      </c>
      <c r="V41" s="52">
        <f t="shared" si="3"/>
        <v>2</v>
      </c>
      <c r="W41" s="98">
        <f>R41/R39</f>
        <v>0.36842105263157893</v>
      </c>
    </row>
    <row r="42" spans="2:23" x14ac:dyDescent="0.25">
      <c r="B42" s="97" t="s">
        <v>62</v>
      </c>
      <c r="C42" s="52">
        <v>19</v>
      </c>
      <c r="D42" s="52">
        <v>18</v>
      </c>
      <c r="E42" s="52">
        <v>7</v>
      </c>
      <c r="F42" s="52">
        <v>6</v>
      </c>
      <c r="G42" s="52">
        <v>10</v>
      </c>
      <c r="H42" s="52">
        <v>12</v>
      </c>
      <c r="I42" s="98">
        <f t="shared" si="4"/>
        <v>0.19999999999999996</v>
      </c>
      <c r="J42" s="98">
        <f t="shared" si="5"/>
        <v>-0.33333333333333337</v>
      </c>
      <c r="K42" s="52">
        <f t="shared" si="6"/>
        <v>2</v>
      </c>
      <c r="L42" s="52">
        <f t="shared" si="7"/>
        <v>-6</v>
      </c>
      <c r="M42" s="98">
        <f>H42/H39</f>
        <v>0.63157894736842102</v>
      </c>
      <c r="N42" s="52">
        <v>5</v>
      </c>
      <c r="O42" s="52">
        <v>7</v>
      </c>
      <c r="P42" s="52">
        <v>11</v>
      </c>
      <c r="Q42" s="52">
        <v>12</v>
      </c>
      <c r="R42" s="52">
        <v>12</v>
      </c>
      <c r="S42" s="98">
        <f t="shared" si="0"/>
        <v>0</v>
      </c>
      <c r="T42" s="98">
        <f t="shared" si="1"/>
        <v>1.4</v>
      </c>
      <c r="U42" s="52">
        <f t="shared" si="2"/>
        <v>0</v>
      </c>
      <c r="V42" s="52">
        <f t="shared" si="3"/>
        <v>7</v>
      </c>
      <c r="W42" s="98">
        <f>R42/R39</f>
        <v>0.63157894736842102</v>
      </c>
    </row>
    <row r="43" spans="2:23" x14ac:dyDescent="0.25">
      <c r="B43" s="91" t="s">
        <v>52</v>
      </c>
      <c r="C43" s="99">
        <v>19</v>
      </c>
      <c r="D43" s="99">
        <v>19</v>
      </c>
      <c r="E43" s="99">
        <v>9</v>
      </c>
      <c r="F43" s="99">
        <v>11</v>
      </c>
      <c r="G43" s="99">
        <v>14</v>
      </c>
      <c r="H43" s="99">
        <v>14</v>
      </c>
      <c r="I43" s="100">
        <f t="shared" si="4"/>
        <v>0</v>
      </c>
      <c r="J43" s="100">
        <f t="shared" si="5"/>
        <v>-0.26315789473684215</v>
      </c>
      <c r="K43" s="99">
        <f t="shared" si="6"/>
        <v>0</v>
      </c>
      <c r="L43" s="99">
        <f t="shared" si="7"/>
        <v>-5</v>
      </c>
      <c r="M43" s="93">
        <f>H43/H43</f>
        <v>1</v>
      </c>
      <c r="N43" s="99">
        <v>8</v>
      </c>
      <c r="O43" s="99">
        <v>13</v>
      </c>
      <c r="P43" s="99">
        <v>14</v>
      </c>
      <c r="Q43" s="99">
        <v>14</v>
      </c>
      <c r="R43" s="99">
        <v>14</v>
      </c>
      <c r="S43" s="100">
        <f t="shared" si="0"/>
        <v>0</v>
      </c>
      <c r="T43" s="100">
        <f t="shared" si="1"/>
        <v>0.75</v>
      </c>
      <c r="U43" s="99">
        <f t="shared" si="2"/>
        <v>0</v>
      </c>
      <c r="V43" s="99">
        <f t="shared" si="3"/>
        <v>6</v>
      </c>
      <c r="W43" s="93">
        <f>R43/R43</f>
        <v>1</v>
      </c>
    </row>
    <row r="44" spans="2:23" x14ac:dyDescent="0.25">
      <c r="B44" s="94" t="s">
        <v>60</v>
      </c>
      <c r="C44" s="95">
        <v>6</v>
      </c>
      <c r="D44" s="95">
        <v>7</v>
      </c>
      <c r="E44" s="95">
        <v>4</v>
      </c>
      <c r="F44" s="95">
        <v>5</v>
      </c>
      <c r="G44" s="95">
        <v>8</v>
      </c>
      <c r="H44" s="95">
        <v>8</v>
      </c>
      <c r="I44" s="96">
        <f t="shared" si="4"/>
        <v>0</v>
      </c>
      <c r="J44" s="96">
        <f t="shared" si="5"/>
        <v>0.14285714285714279</v>
      </c>
      <c r="K44" s="95">
        <f t="shared" si="6"/>
        <v>0</v>
      </c>
      <c r="L44" s="95">
        <f t="shared" si="7"/>
        <v>1</v>
      </c>
      <c r="M44" s="96">
        <f>H44/H43</f>
        <v>0.5714285714285714</v>
      </c>
      <c r="N44" s="95">
        <v>4</v>
      </c>
      <c r="O44" s="95">
        <v>7</v>
      </c>
      <c r="P44" s="95">
        <v>8</v>
      </c>
      <c r="Q44" s="95">
        <v>8</v>
      </c>
      <c r="R44" s="95">
        <v>8</v>
      </c>
      <c r="S44" s="96">
        <f t="shared" si="0"/>
        <v>0</v>
      </c>
      <c r="T44" s="96">
        <f t="shared" si="1"/>
        <v>1</v>
      </c>
      <c r="U44" s="95">
        <f t="shared" si="2"/>
        <v>0</v>
      </c>
      <c r="V44" s="95">
        <f t="shared" si="3"/>
        <v>4</v>
      </c>
      <c r="W44" s="96">
        <f>R44/R43</f>
        <v>0.5714285714285714</v>
      </c>
    </row>
    <row r="45" spans="2:23" x14ac:dyDescent="0.25">
      <c r="B45" s="97" t="s">
        <v>61</v>
      </c>
      <c r="C45" s="52">
        <v>0</v>
      </c>
      <c r="D45" s="52">
        <v>5</v>
      </c>
      <c r="E45" s="52">
        <v>0</v>
      </c>
      <c r="F45" s="52">
        <v>4</v>
      </c>
      <c r="G45" s="52">
        <v>6</v>
      </c>
      <c r="H45" s="52">
        <v>6</v>
      </c>
      <c r="I45" s="98">
        <f t="shared" si="4"/>
        <v>0</v>
      </c>
      <c r="J45" s="98">
        <f t="shared" si="5"/>
        <v>0.19999999999999996</v>
      </c>
      <c r="K45" s="52">
        <f t="shared" si="6"/>
        <v>0</v>
      </c>
      <c r="L45" s="52">
        <f t="shared" si="7"/>
        <v>1</v>
      </c>
      <c r="M45" s="98">
        <f>H45/H43</f>
        <v>0.42857142857142855</v>
      </c>
      <c r="N45" s="52">
        <v>0</v>
      </c>
      <c r="O45" s="52">
        <v>5</v>
      </c>
      <c r="P45" s="52">
        <v>6</v>
      </c>
      <c r="Q45" s="52">
        <v>6</v>
      </c>
      <c r="R45" s="52">
        <v>6</v>
      </c>
      <c r="S45" s="98">
        <f t="shared" si="0"/>
        <v>0</v>
      </c>
      <c r="T45" s="98" t="str">
        <f t="shared" si="1"/>
        <v>-</v>
      </c>
      <c r="U45" s="52">
        <f t="shared" si="2"/>
        <v>0</v>
      </c>
      <c r="V45" s="52">
        <f t="shared" si="3"/>
        <v>6</v>
      </c>
      <c r="W45" s="98">
        <f>R45/R43</f>
        <v>0.42857142857142855</v>
      </c>
    </row>
    <row r="46" spans="2:23" x14ac:dyDescent="0.25">
      <c r="B46" s="97" t="s">
        <v>62</v>
      </c>
      <c r="C46" s="52">
        <v>0</v>
      </c>
      <c r="D46" s="52">
        <v>2</v>
      </c>
      <c r="E46" s="52">
        <v>0</v>
      </c>
      <c r="F46" s="52">
        <v>2</v>
      </c>
      <c r="G46" s="52">
        <v>2</v>
      </c>
      <c r="H46" s="52">
        <v>2</v>
      </c>
      <c r="I46" s="98">
        <f t="shared" si="4"/>
        <v>0</v>
      </c>
      <c r="J46" s="98">
        <f t="shared" si="5"/>
        <v>0</v>
      </c>
      <c r="K46" s="52">
        <f t="shared" si="6"/>
        <v>0</v>
      </c>
      <c r="L46" s="52">
        <f t="shared" si="7"/>
        <v>0</v>
      </c>
      <c r="M46" s="98">
        <f>H46/H43</f>
        <v>0.14285714285714285</v>
      </c>
      <c r="N46" s="52">
        <v>0</v>
      </c>
      <c r="O46" s="52">
        <v>2</v>
      </c>
      <c r="P46" s="52">
        <v>2</v>
      </c>
      <c r="Q46" s="52">
        <v>2</v>
      </c>
      <c r="R46" s="52">
        <v>2</v>
      </c>
      <c r="S46" s="98">
        <f t="shared" si="0"/>
        <v>0</v>
      </c>
      <c r="T46" s="98" t="str">
        <f t="shared" si="1"/>
        <v>-</v>
      </c>
      <c r="U46" s="52">
        <f t="shared" si="2"/>
        <v>0</v>
      </c>
      <c r="V46" s="52">
        <f t="shared" si="3"/>
        <v>2</v>
      </c>
      <c r="W46" s="98">
        <f>R46/R43</f>
        <v>0.14285714285714285</v>
      </c>
    </row>
    <row r="47" spans="2:23" x14ac:dyDescent="0.25">
      <c r="B47" s="94" t="s">
        <v>63</v>
      </c>
      <c r="C47" s="95">
        <v>13</v>
      </c>
      <c r="D47" s="95">
        <v>12</v>
      </c>
      <c r="E47" s="95">
        <v>5</v>
      </c>
      <c r="F47" s="95">
        <v>6</v>
      </c>
      <c r="G47" s="95">
        <v>6</v>
      </c>
      <c r="H47" s="95">
        <v>6</v>
      </c>
      <c r="I47" s="96">
        <f t="shared" si="4"/>
        <v>0</v>
      </c>
      <c r="J47" s="96">
        <f t="shared" si="5"/>
        <v>-0.5</v>
      </c>
      <c r="K47" s="95">
        <f t="shared" si="6"/>
        <v>0</v>
      </c>
      <c r="L47" s="95">
        <f t="shared" si="7"/>
        <v>-6</v>
      </c>
      <c r="M47" s="96">
        <f>H47/H43</f>
        <v>0.42857142857142855</v>
      </c>
      <c r="N47" s="95">
        <v>4</v>
      </c>
      <c r="O47" s="95">
        <v>6</v>
      </c>
      <c r="P47" s="95">
        <v>6</v>
      </c>
      <c r="Q47" s="95">
        <v>6</v>
      </c>
      <c r="R47" s="95">
        <v>6</v>
      </c>
      <c r="S47" s="96">
        <f t="shared" si="0"/>
        <v>0</v>
      </c>
      <c r="T47" s="96">
        <f t="shared" si="1"/>
        <v>0.5</v>
      </c>
      <c r="U47" s="95">
        <f t="shared" si="2"/>
        <v>0</v>
      </c>
      <c r="V47" s="95">
        <f t="shared" si="3"/>
        <v>2</v>
      </c>
      <c r="W47" s="96">
        <f>R47/R43</f>
        <v>0.42857142857142855</v>
      </c>
    </row>
    <row r="48" spans="2:23" x14ac:dyDescent="0.25">
      <c r="B48" s="91" t="s">
        <v>53</v>
      </c>
      <c r="C48" s="99">
        <v>21</v>
      </c>
      <c r="D48" s="99">
        <v>22</v>
      </c>
      <c r="E48" s="99">
        <v>11</v>
      </c>
      <c r="F48" s="99">
        <v>13</v>
      </c>
      <c r="G48" s="99">
        <v>16</v>
      </c>
      <c r="H48" s="99">
        <v>16</v>
      </c>
      <c r="I48" s="100">
        <f t="shared" si="4"/>
        <v>0</v>
      </c>
      <c r="J48" s="100">
        <f t="shared" si="5"/>
        <v>-0.27272727272727271</v>
      </c>
      <c r="K48" s="99">
        <f t="shared" si="6"/>
        <v>0</v>
      </c>
      <c r="L48" s="99">
        <f t="shared" si="7"/>
        <v>-6</v>
      </c>
      <c r="M48" s="93">
        <f>H48/H48</f>
        <v>1</v>
      </c>
      <c r="N48" s="99">
        <v>10</v>
      </c>
      <c r="O48" s="99">
        <v>13</v>
      </c>
      <c r="P48" s="99">
        <v>16</v>
      </c>
      <c r="Q48" s="99">
        <v>16</v>
      </c>
      <c r="R48" s="99">
        <v>19</v>
      </c>
      <c r="S48" s="100">
        <f t="shared" si="0"/>
        <v>0.1875</v>
      </c>
      <c r="T48" s="100">
        <f t="shared" si="1"/>
        <v>0.89999999999999991</v>
      </c>
      <c r="U48" s="99">
        <f t="shared" si="2"/>
        <v>3</v>
      </c>
      <c r="V48" s="99">
        <f t="shared" si="3"/>
        <v>9</v>
      </c>
      <c r="W48" s="93">
        <f>R48/R48</f>
        <v>1</v>
      </c>
    </row>
    <row r="49" spans="2:23" x14ac:dyDescent="0.25">
      <c r="B49" s="94" t="s">
        <v>60</v>
      </c>
      <c r="C49" s="95">
        <v>17</v>
      </c>
      <c r="D49" s="95">
        <v>18</v>
      </c>
      <c r="E49" s="95">
        <v>9</v>
      </c>
      <c r="F49" s="95">
        <v>12</v>
      </c>
      <c r="G49" s="95">
        <v>14</v>
      </c>
      <c r="H49" s="95">
        <v>13</v>
      </c>
      <c r="I49" s="96">
        <f t="shared" si="4"/>
        <v>-7.1428571428571397E-2</v>
      </c>
      <c r="J49" s="96">
        <f t="shared" si="5"/>
        <v>-0.27777777777777779</v>
      </c>
      <c r="K49" s="95">
        <f t="shared" si="6"/>
        <v>-1</v>
      </c>
      <c r="L49" s="95">
        <f t="shared" si="7"/>
        <v>-5</v>
      </c>
      <c r="M49" s="96">
        <f>H49/H48</f>
        <v>0.8125</v>
      </c>
      <c r="N49" s="95">
        <v>9</v>
      </c>
      <c r="O49" s="95">
        <v>12</v>
      </c>
      <c r="P49" s="95">
        <v>14</v>
      </c>
      <c r="Q49" s="95">
        <v>13</v>
      </c>
      <c r="R49" s="95">
        <v>16</v>
      </c>
      <c r="S49" s="96">
        <f t="shared" si="0"/>
        <v>0.23076923076923084</v>
      </c>
      <c r="T49" s="96">
        <f t="shared" si="1"/>
        <v>0.77777777777777768</v>
      </c>
      <c r="U49" s="95">
        <f t="shared" si="2"/>
        <v>3</v>
      </c>
      <c r="V49" s="95">
        <f t="shared" si="3"/>
        <v>7</v>
      </c>
      <c r="W49" s="96">
        <f>R49/R48</f>
        <v>0.84210526315789469</v>
      </c>
    </row>
    <row r="50" spans="2:23" x14ac:dyDescent="0.25">
      <c r="B50" s="97" t="s">
        <v>61</v>
      </c>
      <c r="C50" s="52">
        <v>8</v>
      </c>
      <c r="D50" s="52">
        <v>9</v>
      </c>
      <c r="E50" s="52">
        <v>5</v>
      </c>
      <c r="F50" s="52">
        <v>8</v>
      </c>
      <c r="G50" s="52">
        <v>8</v>
      </c>
      <c r="H50" s="52">
        <v>8</v>
      </c>
      <c r="I50" s="98">
        <f t="shared" si="4"/>
        <v>0</v>
      </c>
      <c r="J50" s="98">
        <f t="shared" si="5"/>
        <v>-0.11111111111111116</v>
      </c>
      <c r="K50" s="52">
        <f t="shared" si="6"/>
        <v>0</v>
      </c>
      <c r="L50" s="52">
        <f t="shared" si="7"/>
        <v>-1</v>
      </c>
      <c r="M50" s="98">
        <f>H50/H48</f>
        <v>0.5</v>
      </c>
      <c r="N50" s="52">
        <v>5</v>
      </c>
      <c r="O50" s="52">
        <v>8</v>
      </c>
      <c r="P50" s="52">
        <v>8</v>
      </c>
      <c r="Q50" s="52">
        <v>8</v>
      </c>
      <c r="R50" s="52">
        <v>8</v>
      </c>
      <c r="S50" s="98">
        <f t="shared" si="0"/>
        <v>0</v>
      </c>
      <c r="T50" s="98">
        <f t="shared" si="1"/>
        <v>0.60000000000000009</v>
      </c>
      <c r="U50" s="52">
        <f t="shared" si="2"/>
        <v>0</v>
      </c>
      <c r="V50" s="52">
        <f t="shared" si="3"/>
        <v>3</v>
      </c>
      <c r="W50" s="98">
        <f>R50/R48</f>
        <v>0.42105263157894735</v>
      </c>
    </row>
    <row r="51" spans="2:23" x14ac:dyDescent="0.25">
      <c r="B51" s="97" t="s">
        <v>62</v>
      </c>
      <c r="C51" s="52">
        <v>9</v>
      </c>
      <c r="D51" s="52">
        <v>9</v>
      </c>
      <c r="E51" s="52">
        <v>4</v>
      </c>
      <c r="F51" s="52">
        <v>4</v>
      </c>
      <c r="G51" s="52">
        <v>6</v>
      </c>
      <c r="H51" s="52">
        <v>5</v>
      </c>
      <c r="I51" s="98">
        <f t="shared" si="4"/>
        <v>-0.16666666666666663</v>
      </c>
      <c r="J51" s="98">
        <f t="shared" si="5"/>
        <v>-0.44444444444444442</v>
      </c>
      <c r="K51" s="52">
        <f t="shared" si="6"/>
        <v>-1</v>
      </c>
      <c r="L51" s="52">
        <f t="shared" si="7"/>
        <v>-4</v>
      </c>
      <c r="M51" s="98">
        <f>H51/H48</f>
        <v>0.3125</v>
      </c>
      <c r="N51" s="52">
        <v>4</v>
      </c>
      <c r="O51" s="52">
        <v>4</v>
      </c>
      <c r="P51" s="52">
        <v>6</v>
      </c>
      <c r="Q51" s="52">
        <v>5</v>
      </c>
      <c r="R51" s="52">
        <v>8</v>
      </c>
      <c r="S51" s="98">
        <f t="shared" si="0"/>
        <v>0.60000000000000009</v>
      </c>
      <c r="T51" s="98">
        <f t="shared" si="1"/>
        <v>1</v>
      </c>
      <c r="U51" s="52">
        <f t="shared" si="2"/>
        <v>3</v>
      </c>
      <c r="V51" s="52">
        <f t="shared" si="3"/>
        <v>4</v>
      </c>
      <c r="W51" s="98">
        <f>R51/R48</f>
        <v>0.42105263157894735</v>
      </c>
    </row>
    <row r="52" spans="2:23" x14ac:dyDescent="0.25">
      <c r="B52" s="94" t="s">
        <v>63</v>
      </c>
      <c r="C52" s="95">
        <v>5</v>
      </c>
      <c r="D52" s="95">
        <v>5</v>
      </c>
      <c r="E52" s="95">
        <v>2</v>
      </c>
      <c r="F52" s="95">
        <v>2</v>
      </c>
      <c r="G52" s="95">
        <v>3</v>
      </c>
      <c r="H52" s="95">
        <v>4</v>
      </c>
      <c r="I52" s="96">
        <f t="shared" si="4"/>
        <v>0.33333333333333326</v>
      </c>
      <c r="J52" s="96">
        <f t="shared" si="5"/>
        <v>-0.19999999999999996</v>
      </c>
      <c r="K52" s="95">
        <f t="shared" si="6"/>
        <v>1</v>
      </c>
      <c r="L52" s="95">
        <f t="shared" si="7"/>
        <v>-1</v>
      </c>
      <c r="M52" s="96">
        <f>H52/H48</f>
        <v>0.25</v>
      </c>
      <c r="N52" s="95">
        <v>2</v>
      </c>
      <c r="O52" s="95">
        <v>2</v>
      </c>
      <c r="P52" s="95">
        <v>3</v>
      </c>
      <c r="Q52" s="95">
        <v>4</v>
      </c>
      <c r="R52" s="95">
        <v>4</v>
      </c>
      <c r="S52" s="96">
        <f t="shared" si="0"/>
        <v>0</v>
      </c>
      <c r="T52" s="96">
        <f t="shared" si="1"/>
        <v>1</v>
      </c>
      <c r="U52" s="95">
        <f t="shared" si="2"/>
        <v>0</v>
      </c>
      <c r="V52" s="95">
        <f t="shared" si="3"/>
        <v>2</v>
      </c>
      <c r="W52" s="96">
        <f>R52/R48</f>
        <v>0.21052631578947367</v>
      </c>
    </row>
    <row r="53" spans="2:23" ht="4.5" customHeight="1" x14ac:dyDescent="0.25">
      <c r="B53" s="101"/>
      <c r="C53" s="102"/>
      <c r="D53" s="102"/>
      <c r="E53" s="102"/>
      <c r="F53" s="102"/>
      <c r="G53" s="103"/>
      <c r="H53" s="102"/>
      <c r="I53" s="104"/>
      <c r="J53" s="104"/>
      <c r="K53" s="102"/>
      <c r="L53" s="104"/>
      <c r="M53" s="104"/>
      <c r="N53" s="102"/>
      <c r="O53" s="102"/>
      <c r="P53" s="102"/>
      <c r="Q53" s="102"/>
      <c r="R53" s="104"/>
      <c r="S53" s="104"/>
      <c r="T53" s="104"/>
      <c r="U53" s="104"/>
      <c r="V53" s="104"/>
    </row>
    <row r="54" spans="2:23" x14ac:dyDescent="0.25">
      <c r="B54" s="105" t="s">
        <v>55</v>
      </c>
      <c r="C54" s="105"/>
      <c r="D54" s="105"/>
      <c r="E54" s="105"/>
      <c r="F54" s="105"/>
      <c r="G54" s="105"/>
      <c r="H54" s="105"/>
      <c r="I54" s="105"/>
      <c r="J54" s="105"/>
      <c r="K54" s="105"/>
      <c r="L54" s="105"/>
      <c r="M54" s="105"/>
      <c r="N54" s="105"/>
      <c r="O54" s="105"/>
      <c r="P54" s="105"/>
      <c r="Q54" s="105"/>
      <c r="R54" s="105"/>
      <c r="S54" s="105"/>
      <c r="T54" s="105"/>
      <c r="U54" s="105"/>
      <c r="V54" s="105"/>
    </row>
  </sheetData>
  <mergeCells count="2">
    <mergeCell ref="C5:H5"/>
    <mergeCell ref="N5:R5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ED24AD-0487-45C2-8137-8E54C29650F2}">
  <sheetPr>
    <tabColor theme="7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5A92C9-A6C0-4DF2-9FAC-D77C98078DAD}">
  <sheetPr>
    <tabColor theme="7" tint="0.79998168889431442"/>
  </sheetPr>
  <dimension ref="A4:P290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  <col min="15" max="15" width="11.140625" customWidth="1"/>
  </cols>
  <sheetData>
    <row r="4" spans="1:16" ht="48.75" customHeight="1" thickBot="1" x14ac:dyDescent="0.3">
      <c r="B4" s="270" t="s">
        <v>236</v>
      </c>
      <c r="C4" s="270"/>
      <c r="D4" s="270"/>
      <c r="E4" s="270"/>
      <c r="F4" s="270"/>
      <c r="G4" s="270"/>
      <c r="H4" s="270"/>
      <c r="I4" s="270"/>
      <c r="J4" s="270"/>
      <c r="K4" s="270"/>
      <c r="L4" s="270"/>
      <c r="M4" s="270"/>
      <c r="N4" s="270"/>
      <c r="O4" s="270"/>
      <c r="P4" s="1" t="s">
        <v>66</v>
      </c>
    </row>
    <row r="5" spans="1:16" ht="10.5" customHeight="1" thickBot="1" x14ac:dyDescent="0.3">
      <c r="B5" s="106"/>
      <c r="C5" s="107"/>
      <c r="D5" s="106"/>
      <c r="E5" s="106"/>
      <c r="F5" s="106"/>
      <c r="G5" s="106"/>
      <c r="H5" s="106"/>
      <c r="I5" s="106"/>
      <c r="J5" s="106"/>
      <c r="K5" s="106"/>
      <c r="L5" s="106"/>
      <c r="M5" s="4"/>
      <c r="N5" s="4"/>
      <c r="P5" s="1" t="s">
        <v>67</v>
      </c>
    </row>
    <row r="6" spans="1:16" ht="22.5" thickTop="1" thickBot="1" x14ac:dyDescent="0.3">
      <c r="B6" s="108" t="s">
        <v>30</v>
      </c>
      <c r="C6" s="292" t="s">
        <v>68</v>
      </c>
      <c r="D6" s="293"/>
      <c r="E6" s="293"/>
      <c r="F6" s="293"/>
      <c r="G6" s="293"/>
      <c r="H6" s="293"/>
      <c r="I6" s="293"/>
      <c r="J6" s="293"/>
      <c r="K6" s="293"/>
      <c r="L6" s="293"/>
      <c r="M6" s="293"/>
      <c r="N6" s="293"/>
      <c r="O6" s="294"/>
    </row>
    <row r="7" spans="1:16" ht="22.5" thickTop="1" thickBot="1" x14ac:dyDescent="0.3">
      <c r="B7" s="109"/>
      <c r="C7" s="295">
        <f>2019</f>
        <v>2019</v>
      </c>
      <c r="D7" s="296"/>
      <c r="E7" s="297">
        <v>2020</v>
      </c>
      <c r="F7" s="296"/>
      <c r="G7" s="297">
        <v>2021</v>
      </c>
      <c r="H7" s="296"/>
      <c r="I7" s="297">
        <v>2022</v>
      </c>
      <c r="J7" s="296"/>
      <c r="K7" s="297">
        <v>2023</v>
      </c>
      <c r="L7" s="296"/>
      <c r="M7" s="297">
        <v>2024</v>
      </c>
      <c r="N7" s="298"/>
      <c r="O7" s="299"/>
    </row>
    <row r="8" spans="1:16" ht="16.5" thickTop="1" thickBot="1" x14ac:dyDescent="0.3">
      <c r="B8" s="85"/>
      <c r="C8" s="111" t="s">
        <v>69</v>
      </c>
      <c r="D8" s="112" t="str">
        <f>CONCATENATE("var ",RIGHT(2019,2),"/",RIGHT(2018,2))</f>
        <v>var 19/18</v>
      </c>
      <c r="E8" s="113" t="s">
        <v>69</v>
      </c>
      <c r="F8" s="112" t="str">
        <f>CONCATENATE("var ",RIGHT(E7,2),"/",RIGHT(E7-1,2))</f>
        <v>var 20/19</v>
      </c>
      <c r="G8" s="113" t="s">
        <v>69</v>
      </c>
      <c r="H8" s="112" t="str">
        <f>CONCATENATE("var ",RIGHT(G7,2),"/",RIGHT(G7-1,2))</f>
        <v>var 21/20</v>
      </c>
      <c r="I8" s="113" t="s">
        <v>69</v>
      </c>
      <c r="J8" s="112" t="str">
        <f>CONCATENATE("var ",RIGHT(I7,2),"/",RIGHT(I7-1,2))</f>
        <v>var 22/21</v>
      </c>
      <c r="K8" s="113" t="s">
        <v>69</v>
      </c>
      <c r="L8" s="112" t="str">
        <f>CONCATENATE("var ",RIGHT(K7,2),"/",RIGHT(K7-1,2))</f>
        <v>var 23/22</v>
      </c>
      <c r="M8" s="113" t="s">
        <v>69</v>
      </c>
      <c r="N8" s="112" t="s">
        <v>273</v>
      </c>
      <c r="O8" s="112" t="s">
        <v>274</v>
      </c>
    </row>
    <row r="9" spans="1:16" x14ac:dyDescent="0.25">
      <c r="A9" s="1" t="s">
        <v>70</v>
      </c>
      <c r="B9" s="114" t="s">
        <v>71</v>
      </c>
      <c r="C9" s="115">
        <v>4716</v>
      </c>
      <c r="D9" s="116">
        <v>-2.7027027027026973E-2</v>
      </c>
      <c r="E9" s="115">
        <v>5197</v>
      </c>
      <c r="F9" s="116">
        <f t="shared" ref="F9:N21" si="0">IFERROR(E9/C9-1,"-")</f>
        <v>0.10199321458863442</v>
      </c>
      <c r="G9" s="115">
        <v>1146</v>
      </c>
      <c r="H9" s="116">
        <f>IFERROR(G9/E9-1,"-")</f>
        <v>-0.77948816624975947</v>
      </c>
      <c r="I9" s="115">
        <v>3527</v>
      </c>
      <c r="J9" s="116">
        <f t="shared" si="0"/>
        <v>2.0776614310645725</v>
      </c>
      <c r="K9" s="115">
        <v>5390</v>
      </c>
      <c r="L9" s="116">
        <f t="shared" si="0"/>
        <v>0.52821094414516589</v>
      </c>
      <c r="M9" s="115">
        <v>5217</v>
      </c>
      <c r="N9" s="116">
        <v>-3.2096474953617782E-2</v>
      </c>
      <c r="O9" s="116">
        <v>0.10623409669211203</v>
      </c>
    </row>
    <row r="10" spans="1:16" x14ac:dyDescent="0.25">
      <c r="A10" s="1" t="s">
        <v>72</v>
      </c>
      <c r="B10" s="114" t="s">
        <v>73</v>
      </c>
      <c r="C10" s="115">
        <v>4935</v>
      </c>
      <c r="D10" s="116">
        <v>1.0442260442260487E-2</v>
      </c>
      <c r="E10" s="115">
        <v>5359</v>
      </c>
      <c r="F10" s="116">
        <f t="shared" si="0"/>
        <v>8.5916919959473148E-2</v>
      </c>
      <c r="G10" s="115">
        <v>1385</v>
      </c>
      <c r="H10" s="116">
        <f t="shared" si="0"/>
        <v>-0.74155626049636125</v>
      </c>
      <c r="I10" s="115">
        <v>4177</v>
      </c>
      <c r="J10" s="116">
        <f t="shared" si="0"/>
        <v>2.0158844765342958</v>
      </c>
      <c r="K10" s="115">
        <v>5270</v>
      </c>
      <c r="L10" s="116">
        <f t="shared" si="0"/>
        <v>0.2616710557816615</v>
      </c>
      <c r="M10" s="115">
        <v>4803</v>
      </c>
      <c r="N10" s="116">
        <v>-8.861480075901329E-2</v>
      </c>
      <c r="O10" s="116">
        <v>-2.6747720364741601E-2</v>
      </c>
    </row>
    <row r="11" spans="1:16" x14ac:dyDescent="0.25">
      <c r="A11" s="1" t="s">
        <v>74</v>
      </c>
      <c r="B11" s="114" t="s">
        <v>75</v>
      </c>
      <c r="C11" s="115">
        <v>5148</v>
      </c>
      <c r="D11" s="116">
        <v>-1.0190348009998074E-2</v>
      </c>
      <c r="E11" s="115">
        <v>2198</v>
      </c>
      <c r="F11" s="116">
        <f t="shared" si="0"/>
        <v>-0.57303807303807308</v>
      </c>
      <c r="G11" s="115">
        <v>2288</v>
      </c>
      <c r="H11" s="116">
        <f t="shared" si="0"/>
        <v>4.0946314831665109E-2</v>
      </c>
      <c r="I11" s="115">
        <v>4740</v>
      </c>
      <c r="J11" s="116">
        <f t="shared" si="0"/>
        <v>1.0716783216783217</v>
      </c>
      <c r="K11" s="115">
        <v>5659</v>
      </c>
      <c r="L11" s="116">
        <f t="shared" si="0"/>
        <v>0.19388185654008439</v>
      </c>
      <c r="M11" s="115">
        <v>5168</v>
      </c>
      <c r="N11" s="116">
        <v>-8.6764446015197061E-2</v>
      </c>
      <c r="O11" s="116">
        <v>3.8850038850037905E-3</v>
      </c>
    </row>
    <row r="12" spans="1:16" x14ac:dyDescent="0.25">
      <c r="A12" s="1" t="s">
        <v>76</v>
      </c>
      <c r="B12" s="114" t="s">
        <v>77</v>
      </c>
      <c r="C12" s="115">
        <v>4194</v>
      </c>
      <c r="D12" s="116">
        <v>-0.12424305700563787</v>
      </c>
      <c r="E12" s="115">
        <v>0</v>
      </c>
      <c r="F12" s="116">
        <f t="shared" si="0"/>
        <v>-1</v>
      </c>
      <c r="G12" s="115">
        <v>1830</v>
      </c>
      <c r="H12" s="116" t="str">
        <f t="shared" si="0"/>
        <v>-</v>
      </c>
      <c r="I12" s="115">
        <v>4075</v>
      </c>
      <c r="J12" s="116">
        <f t="shared" si="0"/>
        <v>1.2267759562841531</v>
      </c>
      <c r="K12" s="115">
        <v>5170</v>
      </c>
      <c r="L12" s="116">
        <f t="shared" si="0"/>
        <v>0.26871165644171779</v>
      </c>
      <c r="M12" s="115">
        <v>5054</v>
      </c>
      <c r="N12" s="116">
        <v>-2.2437137330754364E-2</v>
      </c>
      <c r="O12" s="116">
        <v>0.20505484024797327</v>
      </c>
    </row>
    <row r="13" spans="1:16" x14ac:dyDescent="0.25">
      <c r="A13" s="1" t="s">
        <v>78</v>
      </c>
      <c r="B13" s="114" t="s">
        <v>79</v>
      </c>
      <c r="C13" s="115">
        <v>4065</v>
      </c>
      <c r="D13" s="116">
        <v>-7.810593116914788E-3</v>
      </c>
      <c r="E13" s="115">
        <v>0</v>
      </c>
      <c r="F13" s="116">
        <f t="shared" si="0"/>
        <v>-1</v>
      </c>
      <c r="G13" s="115">
        <v>2659</v>
      </c>
      <c r="H13" s="116" t="str">
        <f t="shared" si="0"/>
        <v>-</v>
      </c>
      <c r="I13" s="115">
        <v>3632</v>
      </c>
      <c r="J13" s="116">
        <f t="shared" si="0"/>
        <v>0.365927040240692</v>
      </c>
      <c r="K13" s="115">
        <v>5013</v>
      </c>
      <c r="L13" s="116">
        <f t="shared" si="0"/>
        <v>0.38023127753303965</v>
      </c>
      <c r="M13" s="115">
        <v>4992</v>
      </c>
      <c r="N13" s="116">
        <v>-4.1891083183722699E-3</v>
      </c>
      <c r="O13" s="116">
        <v>0.22804428044280445</v>
      </c>
    </row>
    <row r="14" spans="1:16" x14ac:dyDescent="0.25">
      <c r="A14" s="1" t="s">
        <v>80</v>
      </c>
      <c r="B14" s="114" t="s">
        <v>81</v>
      </c>
      <c r="C14" s="115">
        <v>3920</v>
      </c>
      <c r="D14" s="116">
        <v>-3.2815198618307395E-2</v>
      </c>
      <c r="E14" s="115">
        <v>0</v>
      </c>
      <c r="F14" s="116">
        <f t="shared" si="0"/>
        <v>-1</v>
      </c>
      <c r="G14" s="115">
        <v>2494</v>
      </c>
      <c r="H14" s="116" t="str">
        <f t="shared" si="0"/>
        <v>-</v>
      </c>
      <c r="I14" s="115">
        <v>4520</v>
      </c>
      <c r="J14" s="116">
        <f t="shared" si="0"/>
        <v>0.81234963913392133</v>
      </c>
      <c r="K14" s="115">
        <v>4181</v>
      </c>
      <c r="L14" s="116">
        <f t="shared" si="0"/>
        <v>-7.4999999999999956E-2</v>
      </c>
      <c r="M14" s="115">
        <v>3964</v>
      </c>
      <c r="N14" s="116">
        <v>-5.1901458981104986E-2</v>
      </c>
      <c r="O14" s="116">
        <v>1.1224489795918391E-2</v>
      </c>
    </row>
    <row r="15" spans="1:16" x14ac:dyDescent="0.25">
      <c r="A15" s="1" t="s">
        <v>82</v>
      </c>
      <c r="B15" s="114" t="s">
        <v>83</v>
      </c>
      <c r="C15" s="115">
        <v>4387</v>
      </c>
      <c r="D15" s="116">
        <v>5.7873161321437161E-2</v>
      </c>
      <c r="E15" s="115">
        <v>0</v>
      </c>
      <c r="F15" s="116">
        <f t="shared" si="0"/>
        <v>-1</v>
      </c>
      <c r="G15" s="115">
        <v>2428</v>
      </c>
      <c r="H15" s="116" t="str">
        <f t="shared" si="0"/>
        <v>-</v>
      </c>
      <c r="I15" s="115">
        <v>4275</v>
      </c>
      <c r="J15" s="116">
        <f t="shared" si="0"/>
        <v>0.76070840197693568</v>
      </c>
      <c r="K15" s="115">
        <v>4340</v>
      </c>
      <c r="L15" s="116">
        <f t="shared" si="0"/>
        <v>1.5204678362572999E-2</v>
      </c>
      <c r="M15" s="115">
        <v>4593</v>
      </c>
      <c r="N15" s="116">
        <v>5.8294930875576023E-2</v>
      </c>
      <c r="O15" s="116">
        <v>4.6956918167312622E-2</v>
      </c>
    </row>
    <row r="16" spans="1:16" x14ac:dyDescent="0.25">
      <c r="A16" s="1" t="s">
        <v>84</v>
      </c>
      <c r="B16" s="114" t="s">
        <v>85</v>
      </c>
      <c r="C16" s="115">
        <v>4223</v>
      </c>
      <c r="D16" s="116">
        <v>0.22654661632297413</v>
      </c>
      <c r="E16" s="115">
        <v>2777</v>
      </c>
      <c r="F16" s="116">
        <f t="shared" si="0"/>
        <v>-0.34241060857210515</v>
      </c>
      <c r="G16" s="115">
        <v>2929</v>
      </c>
      <c r="H16" s="116">
        <f t="shared" si="0"/>
        <v>5.473532589124952E-2</v>
      </c>
      <c r="I16" s="115">
        <v>3932</v>
      </c>
      <c r="J16" s="116">
        <f t="shared" si="0"/>
        <v>0.34243769204506647</v>
      </c>
      <c r="K16" s="115">
        <v>4645</v>
      </c>
      <c r="L16" s="116">
        <f t="shared" si="0"/>
        <v>0.18133265513733465</v>
      </c>
      <c r="M16" s="115">
        <v>2899</v>
      </c>
      <c r="N16" s="116">
        <v>-0.37588805166846073</v>
      </c>
      <c r="O16" s="116">
        <v>-0.3135211934643618</v>
      </c>
    </row>
    <row r="17" spans="1:16" x14ac:dyDescent="0.25">
      <c r="A17" s="1" t="s">
        <v>86</v>
      </c>
      <c r="B17" s="114" t="s">
        <v>87</v>
      </c>
      <c r="C17" s="115">
        <v>3835</v>
      </c>
      <c r="D17" s="116">
        <v>0.20825456836798995</v>
      </c>
      <c r="E17" s="115">
        <v>1764</v>
      </c>
      <c r="F17" s="116">
        <f t="shared" si="0"/>
        <v>-0.54002607561929594</v>
      </c>
      <c r="G17" s="115">
        <v>3914</v>
      </c>
      <c r="H17" s="116">
        <f t="shared" si="0"/>
        <v>1.2188208616780045</v>
      </c>
      <c r="I17" s="115">
        <v>4578</v>
      </c>
      <c r="J17" s="116">
        <f t="shared" si="0"/>
        <v>0.16964741951967288</v>
      </c>
      <c r="K17" s="115">
        <v>4521</v>
      </c>
      <c r="L17" s="116">
        <f t="shared" si="0"/>
        <v>-1.2450851900393189E-2</v>
      </c>
      <c r="M17" s="115">
        <v>5087</v>
      </c>
      <c r="N17" s="116">
        <v>0.12519354125193538</v>
      </c>
      <c r="O17" s="116">
        <v>0.32646675358539756</v>
      </c>
    </row>
    <row r="18" spans="1:16" x14ac:dyDescent="0.25">
      <c r="A18" s="1" t="s">
        <v>88</v>
      </c>
      <c r="B18" s="114" t="s">
        <v>89</v>
      </c>
      <c r="C18" s="115">
        <v>4677</v>
      </c>
      <c r="D18" s="116">
        <v>8.8438308886971129E-3</v>
      </c>
      <c r="E18" s="115">
        <v>1764</v>
      </c>
      <c r="F18" s="116">
        <f t="shared" si="0"/>
        <v>-0.62283515073765239</v>
      </c>
      <c r="G18" s="115">
        <v>3380</v>
      </c>
      <c r="H18" s="116">
        <f t="shared" si="0"/>
        <v>0.91609977324263037</v>
      </c>
      <c r="I18" s="115">
        <v>4025</v>
      </c>
      <c r="J18" s="116">
        <f t="shared" si="0"/>
        <v>0.19082840236686383</v>
      </c>
      <c r="K18" s="115">
        <v>4419</v>
      </c>
      <c r="L18" s="116">
        <f t="shared" si="0"/>
        <v>9.7888198757764E-2</v>
      </c>
      <c r="M18" s="115"/>
      <c r="N18" s="116" t="s">
        <v>229</v>
      </c>
      <c r="O18" s="116" t="s">
        <v>229</v>
      </c>
    </row>
    <row r="19" spans="1:16" x14ac:dyDescent="0.25">
      <c r="A19" s="1" t="s">
        <v>90</v>
      </c>
      <c r="B19" s="114" t="s">
        <v>91</v>
      </c>
      <c r="C19" s="115">
        <v>6020</v>
      </c>
      <c r="D19" s="116">
        <v>0.12924404426936786</v>
      </c>
      <c r="E19" s="115">
        <v>1763</v>
      </c>
      <c r="F19" s="116">
        <f t="shared" si="0"/>
        <v>-0.70714285714285707</v>
      </c>
      <c r="G19" s="115">
        <v>4448</v>
      </c>
      <c r="H19" s="116">
        <f t="shared" si="0"/>
        <v>1.5229722064662505</v>
      </c>
      <c r="I19" s="115">
        <v>4838</v>
      </c>
      <c r="J19" s="116">
        <f t="shared" si="0"/>
        <v>8.7679856115107979E-2</v>
      </c>
      <c r="K19" s="115">
        <v>4964</v>
      </c>
      <c r="L19" s="116">
        <f t="shared" si="0"/>
        <v>2.6043819760231512E-2</v>
      </c>
      <c r="M19" s="115"/>
      <c r="N19" s="116" t="s">
        <v>229</v>
      </c>
      <c r="O19" s="116" t="s">
        <v>229</v>
      </c>
    </row>
    <row r="20" spans="1:16" x14ac:dyDescent="0.25">
      <c r="A20" s="1" t="s">
        <v>92</v>
      </c>
      <c r="B20" s="114" t="s">
        <v>93</v>
      </c>
      <c r="C20" s="115">
        <v>5767</v>
      </c>
      <c r="D20" s="116">
        <v>7.113670133729566E-2</v>
      </c>
      <c r="E20" s="115">
        <v>1794</v>
      </c>
      <c r="F20" s="116">
        <f t="shared" si="0"/>
        <v>-0.6889197156233744</v>
      </c>
      <c r="G20" s="115">
        <v>4543</v>
      </c>
      <c r="H20" s="116">
        <f t="shared" si="0"/>
        <v>1.5323299888517279</v>
      </c>
      <c r="I20" s="115">
        <v>5166</v>
      </c>
      <c r="J20" s="116">
        <f t="shared" si="0"/>
        <v>0.13713405238828957</v>
      </c>
      <c r="K20" s="115">
        <v>4585</v>
      </c>
      <c r="L20" s="116">
        <f t="shared" si="0"/>
        <v>-0.11246612466124661</v>
      </c>
      <c r="M20" s="115"/>
      <c r="N20" s="116" t="s">
        <v>229</v>
      </c>
      <c r="O20" s="116" t="s">
        <v>229</v>
      </c>
    </row>
    <row r="21" spans="1:16" ht="15.75" x14ac:dyDescent="0.25">
      <c r="A21" s="1" t="s">
        <v>0</v>
      </c>
      <c r="B21" s="117" t="s">
        <v>30</v>
      </c>
      <c r="C21" s="118">
        <v>55887</v>
      </c>
      <c r="D21" s="119">
        <v>3.521283295669253E-2</v>
      </c>
      <c r="E21" s="118">
        <v>24221</v>
      </c>
      <c r="F21" s="119">
        <f t="shared" si="0"/>
        <v>-0.56660761894537193</v>
      </c>
      <c r="G21" s="118">
        <v>33444</v>
      </c>
      <c r="H21" s="119">
        <f t="shared" si="0"/>
        <v>0.38078526898146237</v>
      </c>
      <c r="I21" s="118">
        <v>51485</v>
      </c>
      <c r="J21" s="119">
        <f t="shared" si="0"/>
        <v>0.53943906231312044</v>
      </c>
      <c r="K21" s="118">
        <v>58157</v>
      </c>
      <c r="L21" s="119">
        <f t="shared" si="0"/>
        <v>0.12959114305137409</v>
      </c>
      <c r="M21" s="118">
        <v>41777</v>
      </c>
      <c r="N21" s="119">
        <v>-5.4583719930299424E-2</v>
      </c>
      <c r="O21" s="119">
        <v>5.9711336022119088E-2</v>
      </c>
    </row>
    <row r="22" spans="1:16" ht="6" customHeight="1" x14ac:dyDescent="0.25"/>
    <row r="23" spans="1:16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  <c r="O23" s="105"/>
    </row>
    <row r="24" spans="1:16" x14ac:dyDescent="0.25">
      <c r="E24" s="120"/>
      <c r="G24" s="120"/>
      <c r="I24" s="120"/>
      <c r="K24" s="120"/>
      <c r="N24" s="79"/>
    </row>
    <row r="26" spans="1:16" ht="48.75" customHeight="1" thickBot="1" x14ac:dyDescent="0.3">
      <c r="B26" s="270" t="s">
        <v>237</v>
      </c>
      <c r="C26" s="270"/>
      <c r="D26" s="270"/>
      <c r="E26" s="270"/>
      <c r="F26" s="270"/>
      <c r="G26" s="270"/>
      <c r="H26" s="270"/>
      <c r="I26" s="270"/>
      <c r="J26" s="270"/>
      <c r="K26" s="270"/>
      <c r="L26" s="270"/>
      <c r="M26" s="270"/>
      <c r="N26" s="270"/>
      <c r="O26" s="270"/>
      <c r="P26" s="1" t="s">
        <v>94</v>
      </c>
    </row>
    <row r="27" spans="1:16" ht="10.5" customHeight="1" thickBot="1" x14ac:dyDescent="0.3">
      <c r="B27" s="106"/>
      <c r="C27" s="107"/>
      <c r="D27" s="106"/>
      <c r="E27" s="106"/>
      <c r="F27" s="106"/>
      <c r="G27" s="106"/>
      <c r="H27" s="106"/>
      <c r="I27" s="106"/>
      <c r="J27" s="106"/>
      <c r="K27" s="106"/>
      <c r="L27" s="106"/>
      <c r="M27" s="4"/>
      <c r="N27" s="4"/>
      <c r="P27" s="1" t="s">
        <v>95</v>
      </c>
    </row>
    <row r="28" spans="1:16" ht="22.5" thickTop="1" thickBot="1" x14ac:dyDescent="0.3">
      <c r="B28" s="121" t="s">
        <v>96</v>
      </c>
      <c r="C28" s="292" t="s">
        <v>97</v>
      </c>
      <c r="D28" s="293"/>
      <c r="E28" s="293"/>
      <c r="F28" s="293"/>
      <c r="G28" s="293"/>
      <c r="H28" s="293"/>
      <c r="I28" s="293"/>
      <c r="J28" s="293"/>
      <c r="K28" s="293"/>
      <c r="L28" s="293"/>
      <c r="M28" s="293"/>
      <c r="N28" s="293"/>
      <c r="O28" s="294"/>
    </row>
    <row r="29" spans="1:16" ht="22.5" thickTop="1" thickBot="1" x14ac:dyDescent="0.3">
      <c r="B29" s="109"/>
      <c r="C29" s="295">
        <f>2019</f>
        <v>2019</v>
      </c>
      <c r="D29" s="296"/>
      <c r="E29" s="297">
        <v>2020</v>
      </c>
      <c r="F29" s="296"/>
      <c r="G29" s="297">
        <v>2021</v>
      </c>
      <c r="H29" s="296"/>
      <c r="I29" s="297">
        <v>2022</v>
      </c>
      <c r="J29" s="296"/>
      <c r="K29" s="297">
        <v>2023</v>
      </c>
      <c r="L29" s="296"/>
      <c r="M29" s="297">
        <v>2024</v>
      </c>
      <c r="N29" s="298"/>
      <c r="O29" s="299"/>
    </row>
    <row r="30" spans="1:16" ht="16.5" thickTop="1" thickBot="1" x14ac:dyDescent="0.3">
      <c r="B30" s="85"/>
      <c r="C30" s="111" t="s">
        <v>69</v>
      </c>
      <c r="D30" s="112" t="str">
        <f>CONCATENATE("var ",RIGHT(2019,2),"/",RIGHT(2018,2))</f>
        <v>var 19/18</v>
      </c>
      <c r="E30" s="113" t="s">
        <v>69</v>
      </c>
      <c r="F30" s="112" t="str">
        <f>CONCATENATE("var ",RIGHT(E29,2),"/",RIGHT(E29-1,2))</f>
        <v>var 20/19</v>
      </c>
      <c r="G30" s="113" t="s">
        <v>69</v>
      </c>
      <c r="H30" s="112" t="str">
        <f>CONCATENATE("var ",RIGHT(G29,2),"/",RIGHT(G29-1,2))</f>
        <v>var 21/20</v>
      </c>
      <c r="I30" s="113" t="s">
        <v>69</v>
      </c>
      <c r="J30" s="112" t="str">
        <f>CONCATENATE("var ",RIGHT(I29,2),"/",RIGHT(I29-1,2))</f>
        <v>var 22/21</v>
      </c>
      <c r="K30" s="113" t="s">
        <v>69</v>
      </c>
      <c r="L30" s="112" t="str">
        <f>CONCATENATE("var ",RIGHT(K29,2),"/",RIGHT(K29-1,2))</f>
        <v>var 23/22</v>
      </c>
      <c r="M30" s="113" t="s">
        <v>69</v>
      </c>
      <c r="N30" s="112" t="s">
        <v>273</v>
      </c>
      <c r="O30" s="112" t="s">
        <v>274</v>
      </c>
    </row>
    <row r="31" spans="1:16" x14ac:dyDescent="0.25">
      <c r="B31" s="114" t="s">
        <v>71</v>
      </c>
      <c r="C31" s="115">
        <v>2705</v>
      </c>
      <c r="D31" s="116">
        <v>0</v>
      </c>
      <c r="E31" s="115">
        <v>3059</v>
      </c>
      <c r="F31" s="116">
        <f t="shared" ref="F31:L43" si="1">IFERROR(E31/C31-1,"-")</f>
        <v>0.13086876155268024</v>
      </c>
      <c r="G31" s="115">
        <v>582</v>
      </c>
      <c r="H31" s="116">
        <f t="shared" si="1"/>
        <v>-0.80974174566851909</v>
      </c>
      <c r="I31" s="115">
        <v>1773</v>
      </c>
      <c r="J31" s="116">
        <f t="shared" si="1"/>
        <v>2.0463917525773194</v>
      </c>
      <c r="K31" s="115">
        <v>3042</v>
      </c>
      <c r="L31" s="116">
        <f t="shared" si="1"/>
        <v>0.71573604060913709</v>
      </c>
      <c r="M31" s="115">
        <v>2177</v>
      </c>
      <c r="N31" s="116">
        <v>-0.28435239973701509</v>
      </c>
      <c r="O31" s="116">
        <v>-0.19519408502772639</v>
      </c>
    </row>
    <row r="32" spans="1:16" x14ac:dyDescent="0.25">
      <c r="B32" s="114" t="s">
        <v>73</v>
      </c>
      <c r="C32" s="115">
        <v>2901</v>
      </c>
      <c r="D32" s="116">
        <v>4.8427900252981493E-2</v>
      </c>
      <c r="E32" s="115">
        <v>3061</v>
      </c>
      <c r="F32" s="116">
        <f t="shared" si="1"/>
        <v>5.5153395380903136E-2</v>
      </c>
      <c r="G32" s="115">
        <v>799</v>
      </c>
      <c r="H32" s="116">
        <f t="shared" si="1"/>
        <v>-0.73897419144070564</v>
      </c>
      <c r="I32" s="115">
        <v>2253</v>
      </c>
      <c r="J32" s="116">
        <f t="shared" si="1"/>
        <v>1.8197747183979973</v>
      </c>
      <c r="K32" s="115">
        <v>3101</v>
      </c>
      <c r="L32" s="116">
        <f t="shared" si="1"/>
        <v>0.37638703950288499</v>
      </c>
      <c r="M32" s="115">
        <v>2167</v>
      </c>
      <c r="N32" s="116">
        <v>-0.30119316349564662</v>
      </c>
      <c r="O32" s="116">
        <v>-0.25301620130989311</v>
      </c>
    </row>
    <row r="33" spans="2:16" x14ac:dyDescent="0.25">
      <c r="B33" s="114" t="s">
        <v>75</v>
      </c>
      <c r="C33" s="115">
        <v>2975</v>
      </c>
      <c r="D33" s="116">
        <v>-1.9122980547312873E-2</v>
      </c>
      <c r="E33" s="115">
        <v>1334</v>
      </c>
      <c r="F33" s="116">
        <f t="shared" si="1"/>
        <v>-0.55159663865546227</v>
      </c>
      <c r="G33" s="115">
        <v>1368</v>
      </c>
      <c r="H33" s="116">
        <f t="shared" si="1"/>
        <v>2.5487256371814038E-2</v>
      </c>
      <c r="I33" s="115">
        <v>2677</v>
      </c>
      <c r="J33" s="116">
        <f t="shared" si="1"/>
        <v>0.95687134502923987</v>
      </c>
      <c r="K33" s="115">
        <v>3421</v>
      </c>
      <c r="L33" s="116">
        <f t="shared" si="1"/>
        <v>0.27792304818827041</v>
      </c>
      <c r="M33" s="115">
        <v>2632</v>
      </c>
      <c r="N33" s="116">
        <v>-0.23063431745103768</v>
      </c>
      <c r="O33" s="116">
        <v>-0.11529411764705877</v>
      </c>
    </row>
    <row r="34" spans="2:16" x14ac:dyDescent="0.25">
      <c r="B34" s="114" t="s">
        <v>77</v>
      </c>
      <c r="C34" s="115">
        <v>2550</v>
      </c>
      <c r="D34" s="116">
        <v>-0.14314516129032262</v>
      </c>
      <c r="E34" s="115">
        <v>0</v>
      </c>
      <c r="F34" s="116">
        <f t="shared" si="1"/>
        <v>-1</v>
      </c>
      <c r="G34" s="115">
        <v>1023</v>
      </c>
      <c r="H34" s="116" t="str">
        <f t="shared" si="1"/>
        <v>-</v>
      </c>
      <c r="I34" s="115">
        <v>2629</v>
      </c>
      <c r="J34" s="116">
        <f t="shared" si="1"/>
        <v>1.5698924731182795</v>
      </c>
      <c r="K34" s="115">
        <v>3521</v>
      </c>
      <c r="L34" s="116">
        <f t="shared" si="1"/>
        <v>0.33929250665652333</v>
      </c>
      <c r="M34" s="115">
        <v>3276</v>
      </c>
      <c r="N34" s="116">
        <v>-6.9582504970178927E-2</v>
      </c>
      <c r="O34" s="116">
        <v>0.28470588235294114</v>
      </c>
    </row>
    <row r="35" spans="2:16" x14ac:dyDescent="0.25">
      <c r="B35" s="114" t="s">
        <v>79</v>
      </c>
      <c r="C35" s="115">
        <v>2924</v>
      </c>
      <c r="D35" s="116">
        <v>8.8607594936708889E-2</v>
      </c>
      <c r="E35" s="115">
        <v>0</v>
      </c>
      <c r="F35" s="116">
        <f t="shared" si="1"/>
        <v>-1</v>
      </c>
      <c r="G35" s="115">
        <v>1731</v>
      </c>
      <c r="H35" s="116" t="str">
        <f t="shared" si="1"/>
        <v>-</v>
      </c>
      <c r="I35" s="115">
        <v>2471</v>
      </c>
      <c r="J35" s="116">
        <f t="shared" si="1"/>
        <v>0.42749855574812257</v>
      </c>
      <c r="K35" s="115">
        <v>3551</v>
      </c>
      <c r="L35" s="116">
        <f t="shared" si="1"/>
        <v>0.43707001214083374</v>
      </c>
      <c r="M35" s="115">
        <v>3636</v>
      </c>
      <c r="N35" s="116">
        <v>2.3936919177696359E-2</v>
      </c>
      <c r="O35" s="116">
        <v>0.24350205198358421</v>
      </c>
    </row>
    <row r="36" spans="2:16" x14ac:dyDescent="0.25">
      <c r="B36" s="114" t="s">
        <v>81</v>
      </c>
      <c r="C36" s="115">
        <v>2935</v>
      </c>
      <c r="D36" s="116">
        <v>-6.4319566689234886E-3</v>
      </c>
      <c r="E36" s="115">
        <v>0</v>
      </c>
      <c r="F36" s="116">
        <f t="shared" si="1"/>
        <v>-1</v>
      </c>
      <c r="G36" s="115">
        <v>1915</v>
      </c>
      <c r="H36" s="116" t="str">
        <f t="shared" si="1"/>
        <v>-</v>
      </c>
      <c r="I36" s="115">
        <v>3580</v>
      </c>
      <c r="J36" s="116">
        <f t="shared" si="1"/>
        <v>0.86945169712793735</v>
      </c>
      <c r="K36" s="115">
        <v>3284</v>
      </c>
      <c r="L36" s="116">
        <f t="shared" si="1"/>
        <v>-8.268156424581008E-2</v>
      </c>
      <c r="M36" s="115">
        <v>3008</v>
      </c>
      <c r="N36" s="116">
        <v>-8.4043848964677204E-2</v>
      </c>
      <c r="O36" s="116">
        <v>2.4872231686541735E-2</v>
      </c>
    </row>
    <row r="37" spans="2:16" x14ac:dyDescent="0.25">
      <c r="B37" s="114" t="s">
        <v>83</v>
      </c>
      <c r="C37" s="115">
        <v>3386</v>
      </c>
      <c r="D37" s="116">
        <v>8.1098339719029466E-2</v>
      </c>
      <c r="E37" s="115">
        <v>0</v>
      </c>
      <c r="F37" s="116">
        <f t="shared" si="1"/>
        <v>-1</v>
      </c>
      <c r="G37" s="115">
        <v>1624</v>
      </c>
      <c r="H37" s="116" t="str">
        <f t="shared" si="1"/>
        <v>-</v>
      </c>
      <c r="I37" s="115">
        <v>3300</v>
      </c>
      <c r="J37" s="116">
        <f t="shared" si="1"/>
        <v>1.0320197044334973</v>
      </c>
      <c r="K37" s="115">
        <v>3186</v>
      </c>
      <c r="L37" s="116">
        <f t="shared" si="1"/>
        <v>-3.4545454545454546E-2</v>
      </c>
      <c r="M37" s="115">
        <v>3447</v>
      </c>
      <c r="N37" s="116">
        <v>8.1920903954802338E-2</v>
      </c>
      <c r="O37" s="116">
        <v>1.8015357353809769E-2</v>
      </c>
    </row>
    <row r="38" spans="2:16" x14ac:dyDescent="0.25">
      <c r="B38" s="114" t="s">
        <v>85</v>
      </c>
      <c r="C38" s="115">
        <v>3075</v>
      </c>
      <c r="D38" s="116">
        <v>0.35701676963812878</v>
      </c>
      <c r="E38" s="115">
        <v>2135</v>
      </c>
      <c r="F38" s="116">
        <f t="shared" si="1"/>
        <v>-0.30569105691056908</v>
      </c>
      <c r="G38" s="115">
        <v>1812</v>
      </c>
      <c r="H38" s="116">
        <f t="shared" si="1"/>
        <v>-0.15128805620608898</v>
      </c>
      <c r="I38" s="115">
        <v>2594</v>
      </c>
      <c r="J38" s="116">
        <f t="shared" si="1"/>
        <v>0.43156732891832239</v>
      </c>
      <c r="K38" s="115">
        <v>3372</v>
      </c>
      <c r="L38" s="116">
        <f t="shared" si="1"/>
        <v>0.29992289899768698</v>
      </c>
      <c r="M38" s="115">
        <v>1718</v>
      </c>
      <c r="N38" s="116">
        <v>-0.49051008303677346</v>
      </c>
      <c r="O38" s="116">
        <v>-0.44130081300813007</v>
      </c>
    </row>
    <row r="39" spans="2:16" x14ac:dyDescent="0.25">
      <c r="B39" s="114" t="s">
        <v>87</v>
      </c>
      <c r="C39" s="115">
        <v>2807</v>
      </c>
      <c r="D39" s="116">
        <v>0.28349336991312302</v>
      </c>
      <c r="E39" s="115">
        <v>1442</v>
      </c>
      <c r="F39" s="116">
        <f t="shared" si="1"/>
        <v>-0.486284289276808</v>
      </c>
      <c r="G39" s="115">
        <v>3104</v>
      </c>
      <c r="H39" s="116">
        <f t="shared" si="1"/>
        <v>1.1525658807212205</v>
      </c>
      <c r="I39" s="115">
        <v>3509</v>
      </c>
      <c r="J39" s="116">
        <f t="shared" si="1"/>
        <v>0.13047680412371143</v>
      </c>
      <c r="K39" s="115">
        <v>3382</v>
      </c>
      <c r="L39" s="116">
        <f t="shared" si="1"/>
        <v>-3.6192647477913953E-2</v>
      </c>
      <c r="M39" s="115">
        <v>4092</v>
      </c>
      <c r="N39" s="116">
        <v>0.20993494973388538</v>
      </c>
      <c r="O39" s="116">
        <v>0.45778411115069462</v>
      </c>
    </row>
    <row r="40" spans="2:16" x14ac:dyDescent="0.25">
      <c r="B40" s="114" t="s">
        <v>89</v>
      </c>
      <c r="C40" s="115">
        <v>3140</v>
      </c>
      <c r="D40" s="116">
        <v>7.0576201841118236E-2</v>
      </c>
      <c r="E40" s="115">
        <v>1351</v>
      </c>
      <c r="F40" s="116">
        <f t="shared" si="1"/>
        <v>-0.56974522292993623</v>
      </c>
      <c r="G40" s="115">
        <v>2127</v>
      </c>
      <c r="H40" s="116">
        <f t="shared" si="1"/>
        <v>0.57438934122871954</v>
      </c>
      <c r="I40" s="115">
        <v>2508</v>
      </c>
      <c r="J40" s="116">
        <f t="shared" si="1"/>
        <v>0.17912552891396327</v>
      </c>
      <c r="K40" s="115">
        <v>2825</v>
      </c>
      <c r="L40" s="116">
        <f t="shared" si="1"/>
        <v>0.12639553429027117</v>
      </c>
      <c r="M40" s="115"/>
      <c r="N40" s="116" t="s">
        <v>229</v>
      </c>
      <c r="O40" s="116" t="s">
        <v>229</v>
      </c>
    </row>
    <row r="41" spans="2:16" x14ac:dyDescent="0.25">
      <c r="B41" s="114" t="s">
        <v>91</v>
      </c>
      <c r="C41" s="115">
        <v>3743</v>
      </c>
      <c r="D41" s="116">
        <v>0.12099430967355507</v>
      </c>
      <c r="E41" s="115">
        <v>1256</v>
      </c>
      <c r="F41" s="116">
        <f t="shared" si="1"/>
        <v>-0.66444028853860537</v>
      </c>
      <c r="G41" s="115">
        <v>2694</v>
      </c>
      <c r="H41" s="116">
        <f t="shared" si="1"/>
        <v>1.144904458598726</v>
      </c>
      <c r="I41" s="115">
        <v>3156</v>
      </c>
      <c r="J41" s="116">
        <f t="shared" si="1"/>
        <v>0.17149220489977735</v>
      </c>
      <c r="K41" s="115">
        <v>2455</v>
      </c>
      <c r="L41" s="116">
        <f t="shared" si="1"/>
        <v>-0.22211660329531047</v>
      </c>
      <c r="M41" s="115"/>
      <c r="N41" s="116" t="s">
        <v>229</v>
      </c>
      <c r="O41" s="116" t="s">
        <v>229</v>
      </c>
    </row>
    <row r="42" spans="2:16" x14ac:dyDescent="0.25">
      <c r="B42" s="114" t="s">
        <v>93</v>
      </c>
      <c r="C42" s="115">
        <v>3978</v>
      </c>
      <c r="D42" s="116">
        <v>0.20399515738498786</v>
      </c>
      <c r="E42" s="115">
        <v>1139</v>
      </c>
      <c r="F42" s="116">
        <f t="shared" si="1"/>
        <v>-0.71367521367521369</v>
      </c>
      <c r="G42" s="115">
        <v>2953</v>
      </c>
      <c r="H42" s="116">
        <f t="shared" si="1"/>
        <v>1.5926251097453905</v>
      </c>
      <c r="I42" s="115">
        <v>3359</v>
      </c>
      <c r="J42" s="116">
        <f t="shared" si="1"/>
        <v>0.13748730104977991</v>
      </c>
      <c r="K42" s="115">
        <v>2582</v>
      </c>
      <c r="L42" s="116">
        <f t="shared" si="1"/>
        <v>-0.23131884489431376</v>
      </c>
      <c r="M42" s="115"/>
      <c r="N42" s="116" t="s">
        <v>229</v>
      </c>
      <c r="O42" s="116" t="s">
        <v>229</v>
      </c>
    </row>
    <row r="43" spans="2:16" ht="15.75" x14ac:dyDescent="0.25">
      <c r="B43" s="117" t="s">
        <v>30</v>
      </c>
      <c r="C43" s="118">
        <v>37119</v>
      </c>
      <c r="D43" s="119">
        <v>8.2754798436497357E-2</v>
      </c>
      <c r="E43" s="118">
        <v>16023</v>
      </c>
      <c r="F43" s="119">
        <f t="shared" si="1"/>
        <v>-0.5683342762466661</v>
      </c>
      <c r="G43" s="118">
        <v>21732</v>
      </c>
      <c r="H43" s="119">
        <f t="shared" si="1"/>
        <v>0.35630031829245468</v>
      </c>
      <c r="I43" s="118">
        <v>33809</v>
      </c>
      <c r="J43" s="119">
        <f t="shared" si="1"/>
        <v>0.55572427756304066</v>
      </c>
      <c r="K43" s="118">
        <v>37722</v>
      </c>
      <c r="L43" s="119">
        <f t="shared" si="1"/>
        <v>0.11573841284864983</v>
      </c>
      <c r="M43" s="118">
        <v>26153</v>
      </c>
      <c r="N43" s="119">
        <v>-0.12414601473543196</v>
      </c>
      <c r="O43" s="119">
        <v>-3.9987813237870595E-3</v>
      </c>
    </row>
    <row r="44" spans="2:16" ht="6" customHeight="1" x14ac:dyDescent="0.25"/>
    <row r="45" spans="2:16" x14ac:dyDescent="0.25">
      <c r="B45" s="105" t="s">
        <v>55</v>
      </c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  <c r="O45" s="105"/>
    </row>
    <row r="46" spans="2:16" x14ac:dyDescent="0.25">
      <c r="C46" s="120"/>
    </row>
    <row r="47" spans="2:16" x14ac:dyDescent="0.25">
      <c r="E47" s="120"/>
      <c r="G47" s="120"/>
      <c r="I47" s="120"/>
      <c r="K47" s="122"/>
    </row>
    <row r="48" spans="2:16" ht="48.75" customHeight="1" thickBot="1" x14ac:dyDescent="0.3">
      <c r="B48" s="270" t="s">
        <v>238</v>
      </c>
      <c r="C48" s="270"/>
      <c r="D48" s="270"/>
      <c r="E48" s="270"/>
      <c r="F48" s="270"/>
      <c r="G48" s="270"/>
      <c r="H48" s="270"/>
      <c r="I48" s="270"/>
      <c r="J48" s="270"/>
      <c r="K48" s="270"/>
      <c r="L48" s="270"/>
      <c r="M48" s="270"/>
      <c r="N48" s="270"/>
      <c r="O48" s="270"/>
      <c r="P48" s="1" t="s">
        <v>98</v>
      </c>
    </row>
    <row r="49" spans="1:16" ht="10.5" customHeight="1" thickBot="1" x14ac:dyDescent="0.3">
      <c r="B49" s="106"/>
      <c r="C49" s="107"/>
      <c r="D49" s="106"/>
      <c r="E49" s="106"/>
      <c r="F49" s="106"/>
      <c r="G49" s="106"/>
      <c r="H49" s="106"/>
      <c r="I49" s="106"/>
      <c r="J49" s="106"/>
      <c r="K49" s="106"/>
      <c r="L49" s="106"/>
      <c r="M49" s="4"/>
      <c r="N49" s="4"/>
      <c r="P49" s="1" t="s">
        <v>99</v>
      </c>
    </row>
    <row r="50" spans="1:16" ht="22.5" thickTop="1" thickBot="1" x14ac:dyDescent="0.3">
      <c r="B50" s="109"/>
      <c r="C50" s="292" t="s">
        <v>100</v>
      </c>
      <c r="D50" s="293"/>
      <c r="E50" s="293"/>
      <c r="F50" s="293"/>
      <c r="G50" s="293"/>
      <c r="H50" s="293"/>
      <c r="I50" s="293"/>
      <c r="J50" s="293"/>
      <c r="K50" s="293"/>
      <c r="L50" s="293"/>
      <c r="M50" s="293"/>
      <c r="N50" s="293"/>
      <c r="O50" s="294"/>
    </row>
    <row r="51" spans="1:16" ht="22.5" thickTop="1" thickBot="1" x14ac:dyDescent="0.3">
      <c r="B51" s="109"/>
      <c r="C51" s="295">
        <f>2019</f>
        <v>2019</v>
      </c>
      <c r="D51" s="296"/>
      <c r="E51" s="297">
        <v>2020</v>
      </c>
      <c r="F51" s="296"/>
      <c r="G51" s="297">
        <v>2021</v>
      </c>
      <c r="H51" s="296"/>
      <c r="I51" s="297">
        <v>2022</v>
      </c>
      <c r="J51" s="296"/>
      <c r="K51" s="297">
        <v>2023</v>
      </c>
      <c r="L51" s="296"/>
      <c r="M51" s="297">
        <v>2024</v>
      </c>
      <c r="N51" s="298"/>
      <c r="O51" s="299"/>
    </row>
    <row r="52" spans="1:16" ht="16.5" thickTop="1" thickBot="1" x14ac:dyDescent="0.3">
      <c r="B52" s="85"/>
      <c r="C52" s="111" t="s">
        <v>69</v>
      </c>
      <c r="D52" s="112" t="str">
        <f>CONCATENATE("var ",RIGHT(2019,2),"/",RIGHT(2018,2))</f>
        <v>var 19/18</v>
      </c>
      <c r="E52" s="113" t="s">
        <v>69</v>
      </c>
      <c r="F52" s="112" t="str">
        <f>CONCATENATE("var ",RIGHT(E51,2),"/",RIGHT(E51-1,2))</f>
        <v>var 20/19</v>
      </c>
      <c r="G52" s="113" t="s">
        <v>69</v>
      </c>
      <c r="H52" s="112" t="str">
        <f>CONCATENATE("var ",RIGHT(G51,2),"/",RIGHT(G51-1,2))</f>
        <v>var 21/20</v>
      </c>
      <c r="I52" s="113" t="s">
        <v>69</v>
      </c>
      <c r="J52" s="112" t="str">
        <f>CONCATENATE("var ",RIGHT(I51,2),"/",RIGHT(I51-1,2))</f>
        <v>var 22/21</v>
      </c>
      <c r="K52" s="113" t="s">
        <v>69</v>
      </c>
      <c r="L52" s="112" t="str">
        <f>CONCATENATE("var ",RIGHT(K51,2),"/",RIGHT(K51-1,2))</f>
        <v>var 23/22</v>
      </c>
      <c r="M52" s="113" t="s">
        <v>69</v>
      </c>
      <c r="N52" s="112" t="s">
        <v>273</v>
      </c>
      <c r="O52" s="112" t="s">
        <v>274</v>
      </c>
    </row>
    <row r="53" spans="1:16" x14ac:dyDescent="0.25">
      <c r="A53" s="1">
        <v>1</v>
      </c>
      <c r="B53" s="114" t="s">
        <v>71</v>
      </c>
      <c r="C53" s="115">
        <v>1303</v>
      </c>
      <c r="D53" s="116">
        <v>-7.1937321937321941E-2</v>
      </c>
      <c r="E53" s="115">
        <v>1208</v>
      </c>
      <c r="F53" s="116">
        <f>IFERROR(E53/C53-1,"-")</f>
        <v>-7.2908672294704546E-2</v>
      </c>
      <c r="G53" s="115">
        <v>303</v>
      </c>
      <c r="H53" s="116">
        <f>IFERROR(G53/E53-1,"-")</f>
        <v>-0.7491721854304636</v>
      </c>
      <c r="I53" s="115">
        <v>1039</v>
      </c>
      <c r="J53" s="116">
        <f>IFERROR(I53/G53-1,"-")</f>
        <v>2.4290429042904291</v>
      </c>
      <c r="K53" s="115">
        <v>1557</v>
      </c>
      <c r="L53" s="116">
        <f>IFERROR(K53/I53-1,"-")</f>
        <v>0.49855630413859475</v>
      </c>
      <c r="M53" s="115">
        <v>1445</v>
      </c>
      <c r="N53" s="116">
        <v>-7.1933204881181712E-2</v>
      </c>
      <c r="O53" s="116">
        <v>0.10897927858787404</v>
      </c>
    </row>
    <row r="54" spans="1:16" x14ac:dyDescent="0.25">
      <c r="A54" s="1">
        <v>2</v>
      </c>
      <c r="B54" s="114" t="s">
        <v>73</v>
      </c>
      <c r="C54" s="115">
        <v>1468</v>
      </c>
      <c r="D54" s="116">
        <v>-6.7658998646820123E-3</v>
      </c>
      <c r="E54" s="115">
        <v>1387</v>
      </c>
      <c r="F54" s="116">
        <f t="shared" ref="F54:L65" si="2">IFERROR(E54/C54-1,"-")</f>
        <v>-5.5177111716621208E-2</v>
      </c>
      <c r="G54" s="115">
        <v>338</v>
      </c>
      <c r="H54" s="116">
        <f t="shared" si="2"/>
        <v>-0.75630857966834897</v>
      </c>
      <c r="I54" s="115">
        <v>1131</v>
      </c>
      <c r="J54" s="116">
        <f t="shared" si="2"/>
        <v>2.3461538461538463</v>
      </c>
      <c r="K54" s="115">
        <v>2612</v>
      </c>
      <c r="L54" s="116">
        <f t="shared" si="2"/>
        <v>1.3094606542882405</v>
      </c>
      <c r="M54" s="115">
        <v>1852</v>
      </c>
      <c r="N54" s="116">
        <v>-0.29096477794793263</v>
      </c>
      <c r="O54" s="116">
        <v>0.26158038147138973</v>
      </c>
    </row>
    <row r="55" spans="1:16" x14ac:dyDescent="0.25">
      <c r="A55" s="1">
        <v>3</v>
      </c>
      <c r="B55" s="114" t="s">
        <v>75</v>
      </c>
      <c r="C55" s="115">
        <v>1577</v>
      </c>
      <c r="D55" s="116">
        <v>-5.0473186119873725E-3</v>
      </c>
      <c r="E55" s="115">
        <v>620</v>
      </c>
      <c r="F55" s="116">
        <f t="shared" si="2"/>
        <v>-0.60684844641724789</v>
      </c>
      <c r="G55" s="115">
        <v>500</v>
      </c>
      <c r="H55" s="116">
        <f t="shared" si="2"/>
        <v>-0.19354838709677424</v>
      </c>
      <c r="I55" s="115">
        <v>1299</v>
      </c>
      <c r="J55" s="116">
        <f t="shared" si="2"/>
        <v>1.5979999999999999</v>
      </c>
      <c r="K55" s="115">
        <v>2794</v>
      </c>
      <c r="L55" s="116">
        <f t="shared" si="2"/>
        <v>1.1508852963818321</v>
      </c>
      <c r="M55" s="115">
        <v>1883</v>
      </c>
      <c r="N55" s="116">
        <v>-0.32605583392984971</v>
      </c>
      <c r="O55" s="116">
        <v>0.19403931515535833</v>
      </c>
    </row>
    <row r="56" spans="1:16" x14ac:dyDescent="0.25">
      <c r="A56" s="1">
        <v>4</v>
      </c>
      <c r="B56" s="114" t="s">
        <v>77</v>
      </c>
      <c r="C56" s="115">
        <v>1537</v>
      </c>
      <c r="D56" s="116">
        <v>7.4074074074074181E-2</v>
      </c>
      <c r="E56" s="115">
        <v>0</v>
      </c>
      <c r="F56" s="116">
        <f t="shared" si="2"/>
        <v>-1</v>
      </c>
      <c r="G56" s="115">
        <v>523</v>
      </c>
      <c r="H56" s="116" t="str">
        <f t="shared" si="2"/>
        <v>-</v>
      </c>
      <c r="I56" s="115">
        <v>1248</v>
      </c>
      <c r="J56" s="116">
        <f t="shared" si="2"/>
        <v>1.3862332695984705</v>
      </c>
      <c r="K56" s="115">
        <v>2342</v>
      </c>
      <c r="L56" s="116">
        <f t="shared" si="2"/>
        <v>0.8766025641025641</v>
      </c>
      <c r="M56" s="115">
        <v>2557</v>
      </c>
      <c r="N56" s="116">
        <v>9.1801878736122999E-2</v>
      </c>
      <c r="O56" s="116">
        <v>0.66363044892648015</v>
      </c>
    </row>
    <row r="57" spans="1:16" x14ac:dyDescent="0.25">
      <c r="A57" s="1">
        <v>5</v>
      </c>
      <c r="B57" s="114" t="s">
        <v>79</v>
      </c>
      <c r="C57" s="115">
        <v>1595</v>
      </c>
      <c r="D57" s="116">
        <v>0.13442389758179241</v>
      </c>
      <c r="E57" s="115">
        <v>0</v>
      </c>
      <c r="F57" s="116">
        <f t="shared" si="2"/>
        <v>-1</v>
      </c>
      <c r="G57" s="115">
        <v>686</v>
      </c>
      <c r="H57" s="116" t="str">
        <f t="shared" si="2"/>
        <v>-</v>
      </c>
      <c r="I57" s="115">
        <v>1437</v>
      </c>
      <c r="J57" s="116">
        <f t="shared" si="2"/>
        <v>1.0947521865889214</v>
      </c>
      <c r="K57" s="115">
        <v>2194</v>
      </c>
      <c r="L57" s="116">
        <f t="shared" si="2"/>
        <v>0.52679192762700078</v>
      </c>
      <c r="M57" s="115">
        <v>2203</v>
      </c>
      <c r="N57" s="116">
        <v>4.1020966271649861E-3</v>
      </c>
      <c r="O57" s="116">
        <v>0.38119122257053295</v>
      </c>
    </row>
    <row r="58" spans="1:16" x14ac:dyDescent="0.25">
      <c r="A58" s="1">
        <v>6</v>
      </c>
      <c r="B58" s="114" t="s">
        <v>81</v>
      </c>
      <c r="C58" s="115">
        <v>1453</v>
      </c>
      <c r="D58" s="116">
        <v>-8.6163522012578597E-2</v>
      </c>
      <c r="E58" s="115">
        <v>0</v>
      </c>
      <c r="F58" s="116">
        <f t="shared" si="2"/>
        <v>-1</v>
      </c>
      <c r="G58" s="115">
        <v>815</v>
      </c>
      <c r="H58" s="116" t="str">
        <f t="shared" si="2"/>
        <v>-</v>
      </c>
      <c r="I58" s="115">
        <v>1729</v>
      </c>
      <c r="J58" s="116">
        <f t="shared" si="2"/>
        <v>1.121472392638037</v>
      </c>
      <c r="K58" s="115">
        <v>2466</v>
      </c>
      <c r="L58" s="116">
        <f t="shared" si="2"/>
        <v>0.42625795257374199</v>
      </c>
      <c r="M58" s="115">
        <v>2292</v>
      </c>
      <c r="N58" s="116">
        <v>-7.0559610705596132E-2</v>
      </c>
      <c r="O58" s="116">
        <v>0.57742601514108749</v>
      </c>
    </row>
    <row r="59" spans="1:16" x14ac:dyDescent="0.25">
      <c r="A59" s="1">
        <v>7</v>
      </c>
      <c r="B59" s="114" t="s">
        <v>83</v>
      </c>
      <c r="C59" s="115">
        <v>1611</v>
      </c>
      <c r="D59" s="116">
        <v>0.14093484419263458</v>
      </c>
      <c r="E59" s="115">
        <v>0</v>
      </c>
      <c r="F59" s="116">
        <f t="shared" si="2"/>
        <v>-1</v>
      </c>
      <c r="G59" s="115">
        <v>994</v>
      </c>
      <c r="H59" s="116" t="str">
        <f t="shared" si="2"/>
        <v>-</v>
      </c>
      <c r="I59" s="115">
        <v>1593</v>
      </c>
      <c r="J59" s="116">
        <f t="shared" si="2"/>
        <v>0.60261569416498983</v>
      </c>
      <c r="K59" s="115">
        <v>1977</v>
      </c>
      <c r="L59" s="116">
        <f t="shared" si="2"/>
        <v>0.24105461393596994</v>
      </c>
      <c r="M59" s="115">
        <v>1831</v>
      </c>
      <c r="N59" s="116">
        <v>-7.384926656550328E-2</v>
      </c>
      <c r="O59" s="116">
        <v>0.1365611421477344</v>
      </c>
    </row>
    <row r="60" spans="1:16" x14ac:dyDescent="0.25">
      <c r="A60" s="1">
        <v>8</v>
      </c>
      <c r="B60" s="114" t="s">
        <v>85</v>
      </c>
      <c r="C60" s="115">
        <v>1412</v>
      </c>
      <c r="D60" s="116">
        <v>0.19661016949152543</v>
      </c>
      <c r="E60" s="115">
        <v>1123</v>
      </c>
      <c r="F60" s="116">
        <f t="shared" si="2"/>
        <v>-0.20467422096317278</v>
      </c>
      <c r="G60" s="115">
        <v>1181</v>
      </c>
      <c r="H60" s="116">
        <f t="shared" si="2"/>
        <v>5.1647373107747141E-2</v>
      </c>
      <c r="I60" s="115">
        <v>1587</v>
      </c>
      <c r="J60" s="116">
        <f t="shared" si="2"/>
        <v>0.34377646062658762</v>
      </c>
      <c r="K60" s="115">
        <v>1933</v>
      </c>
      <c r="L60" s="116">
        <f t="shared" si="2"/>
        <v>0.21802142407057334</v>
      </c>
      <c r="M60" s="115">
        <v>1542</v>
      </c>
      <c r="N60" s="116">
        <v>-0.20227625452664255</v>
      </c>
      <c r="O60" s="116">
        <v>9.2067988668555145E-2</v>
      </c>
    </row>
    <row r="61" spans="1:16" x14ac:dyDescent="0.25">
      <c r="A61" s="1">
        <v>9</v>
      </c>
      <c r="B61" s="114" t="s">
        <v>87</v>
      </c>
      <c r="C61" s="115">
        <v>1392</v>
      </c>
      <c r="D61" s="116">
        <v>0.19382504288164659</v>
      </c>
      <c r="E61" s="115">
        <v>763</v>
      </c>
      <c r="F61" s="116">
        <f t="shared" si="2"/>
        <v>-0.45186781609195403</v>
      </c>
      <c r="G61" s="115">
        <v>1604</v>
      </c>
      <c r="H61" s="116">
        <f t="shared" si="2"/>
        <v>1.1022280471821757</v>
      </c>
      <c r="I61" s="115">
        <v>1832</v>
      </c>
      <c r="J61" s="116">
        <f t="shared" si="2"/>
        <v>0.14214463840398994</v>
      </c>
      <c r="K61" s="115">
        <v>2450</v>
      </c>
      <c r="L61" s="116">
        <f t="shared" si="2"/>
        <v>0.3373362445414847</v>
      </c>
      <c r="M61" s="115">
        <v>2346</v>
      </c>
      <c r="N61" s="116">
        <v>-4.2448979591836689E-2</v>
      </c>
      <c r="O61" s="116">
        <v>0.68534482758620685</v>
      </c>
    </row>
    <row r="62" spans="1:16" x14ac:dyDescent="0.25">
      <c r="A62" s="1">
        <v>10</v>
      </c>
      <c r="B62" s="114" t="s">
        <v>89</v>
      </c>
      <c r="C62" s="115">
        <v>1473</v>
      </c>
      <c r="D62" s="116">
        <v>-5.4557124518613609E-2</v>
      </c>
      <c r="E62" s="115">
        <v>792</v>
      </c>
      <c r="F62" s="116">
        <f t="shared" si="2"/>
        <v>-0.46232179226069248</v>
      </c>
      <c r="G62" s="115">
        <v>930</v>
      </c>
      <c r="H62" s="116">
        <f t="shared" si="2"/>
        <v>0.17424242424242431</v>
      </c>
      <c r="I62" s="115">
        <v>1484</v>
      </c>
      <c r="J62" s="116">
        <f t="shared" si="2"/>
        <v>0.5956989247311828</v>
      </c>
      <c r="K62" s="115">
        <v>2164</v>
      </c>
      <c r="L62" s="116">
        <f t="shared" si="2"/>
        <v>0.4582210242587601</v>
      </c>
      <c r="M62" s="115"/>
      <c r="N62" s="116" t="s">
        <v>229</v>
      </c>
      <c r="O62" s="116" t="s">
        <v>229</v>
      </c>
    </row>
    <row r="63" spans="1:16" x14ac:dyDescent="0.25">
      <c r="A63" s="1">
        <v>11</v>
      </c>
      <c r="B63" s="114" t="s">
        <v>91</v>
      </c>
      <c r="C63" s="115">
        <v>1743</v>
      </c>
      <c r="D63" s="116">
        <v>5.1903114186850896E-3</v>
      </c>
      <c r="E63" s="115">
        <v>488</v>
      </c>
      <c r="F63" s="116">
        <f t="shared" si="2"/>
        <v>-0.72002294893861163</v>
      </c>
      <c r="G63" s="115">
        <v>1380</v>
      </c>
      <c r="H63" s="116">
        <f t="shared" si="2"/>
        <v>1.8278688524590163</v>
      </c>
      <c r="I63" s="115">
        <v>1596</v>
      </c>
      <c r="J63" s="116">
        <f t="shared" si="2"/>
        <v>0.15652173913043477</v>
      </c>
      <c r="K63" s="115">
        <v>1784</v>
      </c>
      <c r="L63" s="116">
        <f t="shared" si="2"/>
        <v>0.1177944862155389</v>
      </c>
      <c r="M63" s="115"/>
      <c r="N63" s="116" t="s">
        <v>229</v>
      </c>
      <c r="O63" s="116" t="s">
        <v>229</v>
      </c>
    </row>
    <row r="64" spans="1:16" x14ac:dyDescent="0.25">
      <c r="A64" s="1">
        <v>12</v>
      </c>
      <c r="B64" s="114" t="s">
        <v>93</v>
      </c>
      <c r="C64" s="115">
        <v>1402</v>
      </c>
      <c r="D64" s="116">
        <v>-0.10927573062261753</v>
      </c>
      <c r="E64" s="115">
        <v>371</v>
      </c>
      <c r="F64" s="116">
        <f t="shared" si="2"/>
        <v>-0.73537803138373747</v>
      </c>
      <c r="G64" s="115">
        <v>1477</v>
      </c>
      <c r="H64" s="116">
        <f t="shared" si="2"/>
        <v>2.9811320754716979</v>
      </c>
      <c r="I64" s="115">
        <v>1545</v>
      </c>
      <c r="J64" s="116">
        <f t="shared" si="2"/>
        <v>4.6039268788083954E-2</v>
      </c>
      <c r="K64" s="115">
        <v>1425</v>
      </c>
      <c r="L64" s="116">
        <f t="shared" si="2"/>
        <v>-7.7669902912621325E-2</v>
      </c>
      <c r="M64" s="115"/>
      <c r="N64" s="116" t="s">
        <v>229</v>
      </c>
      <c r="O64" s="116" t="s">
        <v>229</v>
      </c>
    </row>
    <row r="65" spans="1:16" ht="15.75" x14ac:dyDescent="0.25">
      <c r="B65" s="117" t="s">
        <v>30</v>
      </c>
      <c r="C65" s="118">
        <v>17966</v>
      </c>
      <c r="D65" s="119">
        <v>2.5573695627354676E-2</v>
      </c>
      <c r="E65" s="118">
        <v>7339</v>
      </c>
      <c r="F65" s="119">
        <f t="shared" si="2"/>
        <v>-0.59150617833685848</v>
      </c>
      <c r="G65" s="118">
        <v>10731</v>
      </c>
      <c r="H65" s="119">
        <f t="shared" si="2"/>
        <v>0.46218830903392827</v>
      </c>
      <c r="I65" s="118">
        <v>17520</v>
      </c>
      <c r="J65" s="119">
        <f t="shared" si="2"/>
        <v>0.63265306122448983</v>
      </c>
      <c r="K65" s="118">
        <v>25698</v>
      </c>
      <c r="L65" s="119">
        <f t="shared" si="2"/>
        <v>0.46678082191780823</v>
      </c>
      <c r="M65" s="118">
        <v>17951</v>
      </c>
      <c r="N65" s="119">
        <v>-0.11680196801968024</v>
      </c>
      <c r="O65" s="119">
        <v>0.34484566976326048</v>
      </c>
    </row>
    <row r="66" spans="1:16" ht="6" customHeight="1" x14ac:dyDescent="0.25"/>
    <row r="67" spans="1:16" x14ac:dyDescent="0.25">
      <c r="B67" s="105" t="s">
        <v>55</v>
      </c>
      <c r="C67" s="105"/>
      <c r="D67" s="105"/>
      <c r="E67" s="105"/>
      <c r="F67" s="105"/>
      <c r="G67" s="105"/>
      <c r="H67" s="105"/>
      <c r="I67" s="105"/>
      <c r="J67" s="105"/>
      <c r="K67" s="105"/>
      <c r="L67" s="105"/>
      <c r="M67" s="105"/>
      <c r="N67" s="105"/>
      <c r="O67" s="105"/>
    </row>
    <row r="68" spans="1:16" x14ac:dyDescent="0.25">
      <c r="C68" s="120"/>
    </row>
    <row r="70" spans="1:16" ht="48.75" customHeight="1" thickBot="1" x14ac:dyDescent="0.3">
      <c r="B70" s="270" t="s">
        <v>239</v>
      </c>
      <c r="C70" s="270"/>
      <c r="D70" s="270"/>
      <c r="E70" s="270"/>
      <c r="F70" s="270"/>
      <c r="G70" s="270"/>
      <c r="H70" s="270"/>
      <c r="I70" s="270"/>
      <c r="J70" s="270"/>
      <c r="K70" s="270"/>
      <c r="L70" s="270"/>
      <c r="M70" s="270"/>
      <c r="N70" s="270"/>
      <c r="O70" s="270"/>
      <c r="P70" s="1" t="s">
        <v>101</v>
      </c>
    </row>
    <row r="71" spans="1:16" ht="10.5" customHeight="1" thickBot="1" x14ac:dyDescent="0.3">
      <c r="B71" s="106"/>
      <c r="C71" s="107"/>
      <c r="D71" s="106"/>
      <c r="E71" s="106"/>
      <c r="F71" s="106"/>
      <c r="G71" s="106"/>
      <c r="H71" s="106"/>
      <c r="I71" s="106"/>
      <c r="J71" s="106"/>
      <c r="K71" s="106"/>
      <c r="L71" s="106"/>
      <c r="M71" s="4"/>
      <c r="N71" s="4"/>
      <c r="P71" s="1" t="s">
        <v>102</v>
      </c>
    </row>
    <row r="72" spans="1:16" ht="22.5" thickTop="1" thickBot="1" x14ac:dyDescent="0.3">
      <c r="B72" s="109"/>
      <c r="C72" s="292" t="s">
        <v>103</v>
      </c>
      <c r="D72" s="293"/>
      <c r="E72" s="293"/>
      <c r="F72" s="293"/>
      <c r="G72" s="293"/>
      <c r="H72" s="293"/>
      <c r="I72" s="293"/>
      <c r="J72" s="293"/>
      <c r="K72" s="293"/>
      <c r="L72" s="293"/>
      <c r="M72" s="293"/>
      <c r="N72" s="293"/>
      <c r="O72" s="294"/>
    </row>
    <row r="73" spans="1:16" ht="22.5" thickTop="1" thickBot="1" x14ac:dyDescent="0.3">
      <c r="B73" s="109"/>
      <c r="C73" s="295">
        <f>2019</f>
        <v>2019</v>
      </c>
      <c r="D73" s="296"/>
      <c r="E73" s="297">
        <v>2020</v>
      </c>
      <c r="F73" s="296"/>
      <c r="G73" s="297">
        <v>2021</v>
      </c>
      <c r="H73" s="296"/>
      <c r="I73" s="297">
        <v>2022</v>
      </c>
      <c r="J73" s="296"/>
      <c r="K73" s="297">
        <v>2023</v>
      </c>
      <c r="L73" s="296"/>
      <c r="M73" s="297">
        <v>2024</v>
      </c>
      <c r="N73" s="298"/>
      <c r="O73" s="299"/>
    </row>
    <row r="74" spans="1:16" ht="16.5" thickTop="1" thickBot="1" x14ac:dyDescent="0.3">
      <c r="B74" s="85"/>
      <c r="C74" s="111" t="s">
        <v>69</v>
      </c>
      <c r="D74" s="112" t="str">
        <f>CONCATENATE("var ",RIGHT(2019,2),"/",RIGHT(2018,2))</f>
        <v>var 19/18</v>
      </c>
      <c r="E74" s="113" t="s">
        <v>69</v>
      </c>
      <c r="F74" s="112" t="str">
        <f>CONCATENATE("var ",RIGHT(E73,2),"/",RIGHT(E73-1,2))</f>
        <v>var 20/19</v>
      </c>
      <c r="G74" s="113" t="s">
        <v>69</v>
      </c>
      <c r="H74" s="112" t="str">
        <f>CONCATENATE("var ",RIGHT(G73,2),"/",RIGHT(G73-1,2))</f>
        <v>var 21/20</v>
      </c>
      <c r="I74" s="113" t="s">
        <v>69</v>
      </c>
      <c r="J74" s="112" t="str">
        <f>CONCATENATE("var ",RIGHT(I73,2),"/",RIGHT(I73-1,2))</f>
        <v>var 22/21</v>
      </c>
      <c r="K74" s="113" t="s">
        <v>69</v>
      </c>
      <c r="L74" s="112" t="str">
        <f>CONCATENATE("var ",RIGHT(K73,2),"/",RIGHT(K73-1,2))</f>
        <v>var 23/22</v>
      </c>
      <c r="M74" s="113" t="s">
        <v>69</v>
      </c>
      <c r="N74" s="112" t="s">
        <v>273</v>
      </c>
      <c r="O74" s="112" t="s">
        <v>274</v>
      </c>
    </row>
    <row r="75" spans="1:16" x14ac:dyDescent="0.25">
      <c r="A75" s="1">
        <v>1</v>
      </c>
      <c r="B75" s="114" t="s">
        <v>71</v>
      </c>
      <c r="C75" s="115">
        <v>1402</v>
      </c>
      <c r="D75" s="116">
        <v>7.7632590315142247E-2</v>
      </c>
      <c r="E75" s="115">
        <v>1851</v>
      </c>
      <c r="F75" s="116">
        <f>IFERROR(E75/C75-1,"-")</f>
        <v>0.32025677603423675</v>
      </c>
      <c r="G75" s="115">
        <v>279</v>
      </c>
      <c r="H75" s="116">
        <f>IFERROR(G75/E75-1,"-")</f>
        <v>-0.84927066450567257</v>
      </c>
      <c r="I75" s="115">
        <v>734</v>
      </c>
      <c r="J75" s="116">
        <f>IFERROR(I75/G75-1,"-")</f>
        <v>1.6308243727598568</v>
      </c>
      <c r="K75" s="115">
        <v>1485</v>
      </c>
      <c r="L75" s="116">
        <f>IFERROR(K75/I75-1,"-")</f>
        <v>1.0231607629427795</v>
      </c>
      <c r="M75" s="115">
        <v>732</v>
      </c>
      <c r="N75" s="116">
        <v>-0.50707070707070701</v>
      </c>
      <c r="O75" s="116">
        <v>-0.47788873038516411</v>
      </c>
    </row>
    <row r="76" spans="1:16" x14ac:dyDescent="0.25">
      <c r="A76" s="1">
        <v>2</v>
      </c>
      <c r="B76" s="114" t="s">
        <v>73</v>
      </c>
      <c r="C76" s="115">
        <v>1433</v>
      </c>
      <c r="D76" s="116">
        <v>0.11171450737005428</v>
      </c>
      <c r="E76" s="115">
        <v>1674</v>
      </c>
      <c r="F76" s="116">
        <f t="shared" ref="F76:L87" si="3">IFERROR(E76/C76-1,"-")</f>
        <v>0.16817864619679002</v>
      </c>
      <c r="G76" s="115">
        <v>461</v>
      </c>
      <c r="H76" s="116">
        <f t="shared" si="3"/>
        <v>-0.7246117084826762</v>
      </c>
      <c r="I76" s="115">
        <v>1122</v>
      </c>
      <c r="J76" s="116">
        <f t="shared" si="3"/>
        <v>1.4338394793926246</v>
      </c>
      <c r="K76" s="115">
        <v>489</v>
      </c>
      <c r="L76" s="116">
        <f t="shared" si="3"/>
        <v>-0.56417112299465244</v>
      </c>
      <c r="M76" s="115">
        <v>315</v>
      </c>
      <c r="N76" s="116">
        <v>-0.35582822085889576</v>
      </c>
      <c r="O76" s="116">
        <v>-0.7801814375436148</v>
      </c>
    </row>
    <row r="77" spans="1:16" x14ac:dyDescent="0.25">
      <c r="A77" s="1">
        <v>3</v>
      </c>
      <c r="B77" s="114" t="s">
        <v>75</v>
      </c>
      <c r="C77" s="115">
        <v>1398</v>
      </c>
      <c r="D77" s="116">
        <v>-3.4530386740331487E-2</v>
      </c>
      <c r="E77" s="115">
        <v>714</v>
      </c>
      <c r="F77" s="116">
        <f t="shared" si="3"/>
        <v>-0.48927038626609443</v>
      </c>
      <c r="G77" s="115">
        <v>868</v>
      </c>
      <c r="H77" s="116">
        <f t="shared" si="3"/>
        <v>0.21568627450980382</v>
      </c>
      <c r="I77" s="115">
        <v>1378</v>
      </c>
      <c r="J77" s="116">
        <f t="shared" si="3"/>
        <v>0.5875576036866359</v>
      </c>
      <c r="K77" s="115">
        <v>627</v>
      </c>
      <c r="L77" s="116">
        <f t="shared" si="3"/>
        <v>-0.54499274310595069</v>
      </c>
      <c r="M77" s="115">
        <v>749</v>
      </c>
      <c r="N77" s="116">
        <v>0.19457735247208929</v>
      </c>
      <c r="O77" s="116">
        <v>-0.46423462088698142</v>
      </c>
    </row>
    <row r="78" spans="1:16" x14ac:dyDescent="0.25">
      <c r="A78" s="1">
        <v>4</v>
      </c>
      <c r="B78" s="114" t="s">
        <v>77</v>
      </c>
      <c r="C78" s="115">
        <v>1013</v>
      </c>
      <c r="D78" s="116">
        <v>-0.34433656957928804</v>
      </c>
      <c r="E78" s="115">
        <v>0</v>
      </c>
      <c r="F78" s="116">
        <f t="shared" si="3"/>
        <v>-1</v>
      </c>
      <c r="G78" s="115">
        <v>500</v>
      </c>
      <c r="H78" s="116" t="str">
        <f t="shared" si="3"/>
        <v>-</v>
      </c>
      <c r="I78" s="115">
        <v>1381</v>
      </c>
      <c r="J78" s="116">
        <f t="shared" si="3"/>
        <v>1.762</v>
      </c>
      <c r="K78" s="115">
        <v>1179</v>
      </c>
      <c r="L78" s="116">
        <f t="shared" si="3"/>
        <v>-0.14627081824764665</v>
      </c>
      <c r="M78" s="115">
        <v>719</v>
      </c>
      <c r="N78" s="116">
        <v>-0.39016115351993219</v>
      </c>
      <c r="O78" s="116">
        <v>-0.29022704837117475</v>
      </c>
    </row>
    <row r="79" spans="1:16" x14ac:dyDescent="0.25">
      <c r="A79" s="1">
        <v>5</v>
      </c>
      <c r="B79" s="114" t="s">
        <v>79</v>
      </c>
      <c r="C79" s="115">
        <v>1329</v>
      </c>
      <c r="D79" s="116">
        <v>3.8281250000000044E-2</v>
      </c>
      <c r="E79" s="115">
        <v>0</v>
      </c>
      <c r="F79" s="116">
        <f t="shared" si="3"/>
        <v>-1</v>
      </c>
      <c r="G79" s="115">
        <v>1045</v>
      </c>
      <c r="H79" s="116" t="str">
        <f t="shared" si="3"/>
        <v>-</v>
      </c>
      <c r="I79" s="115">
        <v>1034</v>
      </c>
      <c r="J79" s="116">
        <f t="shared" si="3"/>
        <v>-1.0526315789473717E-2</v>
      </c>
      <c r="K79" s="115">
        <v>1357</v>
      </c>
      <c r="L79" s="116">
        <f t="shared" si="3"/>
        <v>0.3123791102514506</v>
      </c>
      <c r="M79" s="115">
        <v>1433</v>
      </c>
      <c r="N79" s="116">
        <v>5.6005895357406077E-2</v>
      </c>
      <c r="O79" s="116">
        <v>7.825432656132425E-2</v>
      </c>
    </row>
    <row r="80" spans="1:16" x14ac:dyDescent="0.25">
      <c r="A80" s="1">
        <v>6</v>
      </c>
      <c r="B80" s="114" t="s">
        <v>81</v>
      </c>
      <c r="C80" s="115">
        <v>1482</v>
      </c>
      <c r="D80" s="116">
        <v>8.6510263929618691E-2</v>
      </c>
      <c r="E80" s="115">
        <v>0</v>
      </c>
      <c r="F80" s="116">
        <f t="shared" si="3"/>
        <v>-1</v>
      </c>
      <c r="G80" s="115">
        <v>1100</v>
      </c>
      <c r="H80" s="116" t="str">
        <f t="shared" si="3"/>
        <v>-</v>
      </c>
      <c r="I80" s="115">
        <v>1851</v>
      </c>
      <c r="J80" s="116">
        <f t="shared" si="3"/>
        <v>0.68272727272727263</v>
      </c>
      <c r="K80" s="115">
        <v>818</v>
      </c>
      <c r="L80" s="116">
        <f t="shared" si="3"/>
        <v>-0.55807671528903291</v>
      </c>
      <c r="M80" s="115">
        <v>716</v>
      </c>
      <c r="N80" s="116">
        <v>-0.12469437652811732</v>
      </c>
      <c r="O80" s="116">
        <v>-0.51686909581646423</v>
      </c>
    </row>
    <row r="81" spans="1:16" x14ac:dyDescent="0.25">
      <c r="A81" s="1">
        <v>7</v>
      </c>
      <c r="B81" s="114" t="s">
        <v>83</v>
      </c>
      <c r="C81" s="115">
        <v>1775</v>
      </c>
      <c r="D81" s="116">
        <v>3.1976744186046568E-2</v>
      </c>
      <c r="E81" s="115">
        <v>0</v>
      </c>
      <c r="F81" s="116">
        <f t="shared" si="3"/>
        <v>-1</v>
      </c>
      <c r="G81" s="115">
        <v>630</v>
      </c>
      <c r="H81" s="116" t="str">
        <f t="shared" si="3"/>
        <v>-</v>
      </c>
      <c r="I81" s="115">
        <v>1707</v>
      </c>
      <c r="J81" s="116">
        <f t="shared" si="3"/>
        <v>1.7095238095238097</v>
      </c>
      <c r="K81" s="115">
        <v>1209</v>
      </c>
      <c r="L81" s="116">
        <f t="shared" si="3"/>
        <v>-0.29173989455184535</v>
      </c>
      <c r="M81" s="115">
        <v>1616</v>
      </c>
      <c r="N81" s="116">
        <v>0.33664185277088499</v>
      </c>
      <c r="O81" s="116">
        <v>-8.9577464788732408E-2</v>
      </c>
    </row>
    <row r="82" spans="1:16" x14ac:dyDescent="0.25">
      <c r="A82" s="1">
        <v>8</v>
      </c>
      <c r="B82" s="114" t="s">
        <v>85</v>
      </c>
      <c r="C82" s="115">
        <v>1663</v>
      </c>
      <c r="D82" s="116">
        <v>0.53130755064456725</v>
      </c>
      <c r="E82" s="115">
        <v>1012</v>
      </c>
      <c r="F82" s="116">
        <f t="shared" si="3"/>
        <v>-0.39146121467227901</v>
      </c>
      <c r="G82" s="115">
        <v>631</v>
      </c>
      <c r="H82" s="116">
        <f t="shared" si="3"/>
        <v>-0.37648221343873522</v>
      </c>
      <c r="I82" s="115">
        <v>1007</v>
      </c>
      <c r="J82" s="116">
        <f t="shared" si="3"/>
        <v>0.59587955625990485</v>
      </c>
      <c r="K82" s="115">
        <v>1439</v>
      </c>
      <c r="L82" s="116">
        <f t="shared" si="3"/>
        <v>0.42899702085402192</v>
      </c>
      <c r="M82" s="115">
        <v>176</v>
      </c>
      <c r="N82" s="116">
        <v>-0.87769284225156363</v>
      </c>
      <c r="O82" s="116">
        <v>-0.894167167769092</v>
      </c>
    </row>
    <row r="83" spans="1:16" x14ac:dyDescent="0.25">
      <c r="A83" s="1">
        <v>9</v>
      </c>
      <c r="B83" s="114" t="s">
        <v>87</v>
      </c>
      <c r="C83" s="115">
        <v>1415</v>
      </c>
      <c r="D83" s="116">
        <v>0.385896180215475</v>
      </c>
      <c r="E83" s="115">
        <v>679</v>
      </c>
      <c r="F83" s="116">
        <f t="shared" si="3"/>
        <v>-0.52014134275618373</v>
      </c>
      <c r="G83" s="115">
        <v>1500</v>
      </c>
      <c r="H83" s="116">
        <f t="shared" si="3"/>
        <v>1.2091310751104567</v>
      </c>
      <c r="I83" s="115">
        <v>1677</v>
      </c>
      <c r="J83" s="116">
        <f t="shared" si="3"/>
        <v>0.1180000000000001</v>
      </c>
      <c r="K83" s="115">
        <v>932</v>
      </c>
      <c r="L83" s="116">
        <f t="shared" si="3"/>
        <v>-0.44424567680381633</v>
      </c>
      <c r="M83" s="115">
        <v>1746</v>
      </c>
      <c r="N83" s="116">
        <v>0.87339055793991416</v>
      </c>
      <c r="O83" s="116">
        <v>0.233922261484099</v>
      </c>
    </row>
    <row r="84" spans="1:16" x14ac:dyDescent="0.25">
      <c r="A84" s="1">
        <v>10</v>
      </c>
      <c r="B84" s="114" t="s">
        <v>89</v>
      </c>
      <c r="C84" s="115">
        <v>1667</v>
      </c>
      <c r="D84" s="116">
        <v>0.21236363636363631</v>
      </c>
      <c r="E84" s="115">
        <v>559</v>
      </c>
      <c r="F84" s="116">
        <f t="shared" si="3"/>
        <v>-0.66466706658668273</v>
      </c>
      <c r="G84" s="115">
        <v>1197</v>
      </c>
      <c r="H84" s="116">
        <f t="shared" si="3"/>
        <v>1.1413237924865833</v>
      </c>
      <c r="I84" s="115">
        <v>1024</v>
      </c>
      <c r="J84" s="116">
        <f t="shared" si="3"/>
        <v>-0.14452798663324984</v>
      </c>
      <c r="K84" s="115">
        <v>661</v>
      </c>
      <c r="L84" s="116">
        <f t="shared" si="3"/>
        <v>-0.3544921875</v>
      </c>
      <c r="M84" s="115"/>
      <c r="N84" s="116" t="s">
        <v>229</v>
      </c>
      <c r="O84" s="116" t="s">
        <v>229</v>
      </c>
    </row>
    <row r="85" spans="1:16" x14ac:dyDescent="0.25">
      <c r="A85" s="1">
        <v>11</v>
      </c>
      <c r="B85" s="114" t="s">
        <v>91</v>
      </c>
      <c r="C85" s="115">
        <v>2000</v>
      </c>
      <c r="D85" s="116">
        <v>0.24610591900311518</v>
      </c>
      <c r="E85" s="115">
        <v>768</v>
      </c>
      <c r="F85" s="116">
        <f t="shared" si="3"/>
        <v>-0.61599999999999999</v>
      </c>
      <c r="G85" s="115">
        <v>1314</v>
      </c>
      <c r="H85" s="116">
        <f t="shared" si="3"/>
        <v>0.7109375</v>
      </c>
      <c r="I85" s="115">
        <v>1560</v>
      </c>
      <c r="J85" s="116">
        <f t="shared" si="3"/>
        <v>0.18721461187214605</v>
      </c>
      <c r="K85" s="115">
        <v>671</v>
      </c>
      <c r="L85" s="116">
        <f t="shared" si="3"/>
        <v>-0.56987179487179485</v>
      </c>
      <c r="M85" s="115"/>
      <c r="N85" s="116" t="s">
        <v>229</v>
      </c>
      <c r="O85" s="116" t="s">
        <v>229</v>
      </c>
    </row>
    <row r="86" spans="1:16" x14ac:dyDescent="0.25">
      <c r="A86" s="1">
        <v>12</v>
      </c>
      <c r="B86" s="114" t="s">
        <v>93</v>
      </c>
      <c r="C86" s="115">
        <v>2576</v>
      </c>
      <c r="D86" s="116">
        <v>0.48901734104046235</v>
      </c>
      <c r="E86" s="115">
        <v>768</v>
      </c>
      <c r="F86" s="116">
        <f t="shared" si="3"/>
        <v>-0.70186335403726707</v>
      </c>
      <c r="G86" s="115">
        <v>1476</v>
      </c>
      <c r="H86" s="116">
        <f t="shared" si="3"/>
        <v>0.921875</v>
      </c>
      <c r="I86" s="115">
        <v>1814</v>
      </c>
      <c r="J86" s="116">
        <f t="shared" si="3"/>
        <v>0.22899728997289981</v>
      </c>
      <c r="K86" s="115">
        <v>1157</v>
      </c>
      <c r="L86" s="116">
        <f t="shared" si="3"/>
        <v>-0.36218302094818078</v>
      </c>
      <c r="M86" s="115"/>
      <c r="N86" s="116" t="s">
        <v>229</v>
      </c>
      <c r="O86" s="116" t="s">
        <v>229</v>
      </c>
    </row>
    <row r="87" spans="1:16" ht="15.75" x14ac:dyDescent="0.25">
      <c r="B87" s="117" t="s">
        <v>30</v>
      </c>
      <c r="C87" s="118">
        <v>19153</v>
      </c>
      <c r="D87" s="119">
        <v>0.14250775471247912</v>
      </c>
      <c r="E87" s="118">
        <v>8684</v>
      </c>
      <c r="F87" s="119">
        <f t="shared" si="3"/>
        <v>-0.54659844410797265</v>
      </c>
      <c r="G87" s="118">
        <v>11001</v>
      </c>
      <c r="H87" s="119">
        <f t="shared" si="3"/>
        <v>0.26681252878857675</v>
      </c>
      <c r="I87" s="118">
        <v>16289</v>
      </c>
      <c r="J87" s="119">
        <f t="shared" si="3"/>
        <v>0.48068357422052532</v>
      </c>
      <c r="K87" s="118">
        <v>12024</v>
      </c>
      <c r="L87" s="119">
        <f t="shared" si="3"/>
        <v>-0.261833138928111</v>
      </c>
      <c r="M87" s="118">
        <v>8202</v>
      </c>
      <c r="N87" s="119">
        <v>-0.13980073413738858</v>
      </c>
      <c r="O87" s="119">
        <v>-0.36467854376452358</v>
      </c>
    </row>
    <row r="88" spans="1:16" ht="6" customHeight="1" x14ac:dyDescent="0.25"/>
    <row r="89" spans="1:16" x14ac:dyDescent="0.25">
      <c r="B89" s="105" t="s">
        <v>55</v>
      </c>
      <c r="C89" s="105"/>
      <c r="D89" s="105"/>
      <c r="E89" s="105"/>
      <c r="F89" s="105"/>
      <c r="G89" s="105"/>
      <c r="H89" s="105"/>
      <c r="I89" s="105"/>
      <c r="J89" s="105"/>
      <c r="K89" s="105"/>
      <c r="L89" s="105"/>
      <c r="M89" s="105"/>
      <c r="N89" s="105"/>
      <c r="O89" s="105"/>
    </row>
    <row r="90" spans="1:16" x14ac:dyDescent="0.25">
      <c r="C90" s="120"/>
    </row>
    <row r="92" spans="1:16" ht="48.75" customHeight="1" thickBot="1" x14ac:dyDescent="0.3">
      <c r="B92" s="270" t="s">
        <v>240</v>
      </c>
      <c r="C92" s="270"/>
      <c r="D92" s="270"/>
      <c r="E92" s="270"/>
      <c r="F92" s="270"/>
      <c r="G92" s="270"/>
      <c r="H92" s="270"/>
      <c r="I92" s="270"/>
      <c r="J92" s="270"/>
      <c r="K92" s="270"/>
      <c r="L92" s="270"/>
      <c r="M92" s="270"/>
      <c r="N92" s="270"/>
      <c r="O92" s="270"/>
      <c r="P92" s="1" t="s">
        <v>104</v>
      </c>
    </row>
    <row r="93" spans="1:16" ht="10.5" customHeight="1" thickBot="1" x14ac:dyDescent="0.3">
      <c r="B93" s="106"/>
      <c r="C93" s="107"/>
      <c r="D93" s="106"/>
      <c r="E93" s="106"/>
      <c r="F93" s="106"/>
      <c r="G93" s="106"/>
      <c r="H93" s="106"/>
      <c r="I93" s="106"/>
      <c r="J93" s="106"/>
      <c r="K93" s="106"/>
      <c r="L93" s="106"/>
      <c r="M93" s="4"/>
      <c r="N93" s="4"/>
      <c r="P93" s="1" t="s">
        <v>105</v>
      </c>
    </row>
    <row r="94" spans="1:16" ht="22.5" thickTop="1" thickBot="1" x14ac:dyDescent="0.3">
      <c r="B94" s="121" t="s">
        <v>106</v>
      </c>
      <c r="C94" s="292" t="s">
        <v>107</v>
      </c>
      <c r="D94" s="293"/>
      <c r="E94" s="293"/>
      <c r="F94" s="293"/>
      <c r="G94" s="293"/>
      <c r="H94" s="293"/>
      <c r="I94" s="293"/>
      <c r="J94" s="293"/>
      <c r="K94" s="293"/>
      <c r="L94" s="293"/>
      <c r="M94" s="293"/>
      <c r="N94" s="293"/>
      <c r="O94" s="294"/>
    </row>
    <row r="95" spans="1:16" ht="22.5" thickTop="1" thickBot="1" x14ac:dyDescent="0.3">
      <c r="B95" s="109"/>
      <c r="C95" s="295">
        <f>2019</f>
        <v>2019</v>
      </c>
      <c r="D95" s="296"/>
      <c r="E95" s="297">
        <v>2020</v>
      </c>
      <c r="F95" s="296"/>
      <c r="G95" s="297">
        <v>2021</v>
      </c>
      <c r="H95" s="296"/>
      <c r="I95" s="297">
        <v>2022</v>
      </c>
      <c r="J95" s="296"/>
      <c r="K95" s="297">
        <v>2023</v>
      </c>
      <c r="L95" s="296"/>
      <c r="M95" s="297">
        <v>2024</v>
      </c>
      <c r="N95" s="298"/>
      <c r="O95" s="299"/>
    </row>
    <row r="96" spans="1:16" ht="16.5" thickTop="1" thickBot="1" x14ac:dyDescent="0.3">
      <c r="B96" s="85"/>
      <c r="C96" s="111" t="s">
        <v>69</v>
      </c>
      <c r="D96" s="112" t="str">
        <f>CONCATENATE("var ",RIGHT(2019,2),"/",RIGHT(2018,2))</f>
        <v>var 19/18</v>
      </c>
      <c r="E96" s="113" t="s">
        <v>69</v>
      </c>
      <c r="F96" s="112" t="str">
        <f>CONCATENATE("var ",RIGHT(E95,2),"/",RIGHT(E95-1,2))</f>
        <v>var 20/19</v>
      </c>
      <c r="G96" s="113" t="s">
        <v>69</v>
      </c>
      <c r="H96" s="112" t="str">
        <f>CONCATENATE("var ",RIGHT(G95,2),"/",RIGHT(G95-1,2))</f>
        <v>var 21/20</v>
      </c>
      <c r="I96" s="113" t="s">
        <v>69</v>
      </c>
      <c r="J96" s="112" t="str">
        <f>CONCATENATE("var ",RIGHT(I95,2),"/",RIGHT(I95-1,2))</f>
        <v>var 22/21</v>
      </c>
      <c r="K96" s="113" t="s">
        <v>69</v>
      </c>
      <c r="L96" s="112" t="str">
        <f>CONCATENATE("var ",RIGHT(K95,2),"/",RIGHT(K95-1,2))</f>
        <v>var 23/22</v>
      </c>
      <c r="M96" s="113" t="s">
        <v>69</v>
      </c>
      <c r="N96" s="112" t="s">
        <v>273</v>
      </c>
      <c r="O96" s="112" t="s">
        <v>274</v>
      </c>
    </row>
    <row r="97" spans="2:15" x14ac:dyDescent="0.25">
      <c r="B97" s="114" t="s">
        <v>71</v>
      </c>
      <c r="C97" s="115">
        <v>2011</v>
      </c>
      <c r="D97" s="116">
        <v>-6.1157796451914104E-2</v>
      </c>
      <c r="E97" s="115">
        <v>2138</v>
      </c>
      <c r="F97" s="116">
        <f t="shared" ref="F97:L109" si="4">IFERROR(E97/C97-1,"-")</f>
        <v>6.3152660367976177E-2</v>
      </c>
      <c r="G97" s="115">
        <v>564</v>
      </c>
      <c r="H97" s="116">
        <f t="shared" si="4"/>
        <v>-0.7362020579981291</v>
      </c>
      <c r="I97" s="115">
        <v>1754</v>
      </c>
      <c r="J97" s="116">
        <f t="shared" si="4"/>
        <v>2.1099290780141846</v>
      </c>
      <c r="K97" s="115">
        <v>2348</v>
      </c>
      <c r="L97" s="116">
        <f t="shared" si="4"/>
        <v>0.33865450399087793</v>
      </c>
      <c r="M97" s="115">
        <v>3040</v>
      </c>
      <c r="N97" s="116">
        <v>0.29471890971039172</v>
      </c>
      <c r="O97" s="116">
        <v>0.51168572849328697</v>
      </c>
    </row>
    <row r="98" spans="2:15" x14ac:dyDescent="0.25">
      <c r="B98" s="114" t="s">
        <v>73</v>
      </c>
      <c r="C98" s="115">
        <v>2034</v>
      </c>
      <c r="D98" s="116">
        <v>-3.9206424185167732E-2</v>
      </c>
      <c r="E98" s="115">
        <v>2298</v>
      </c>
      <c r="F98" s="116">
        <f t="shared" si="4"/>
        <v>0.12979351032448383</v>
      </c>
      <c r="G98" s="115">
        <v>586</v>
      </c>
      <c r="H98" s="116">
        <f t="shared" si="4"/>
        <v>-0.74499564838990429</v>
      </c>
      <c r="I98" s="115">
        <v>1924</v>
      </c>
      <c r="J98" s="116">
        <f t="shared" si="4"/>
        <v>2.2832764505119454</v>
      </c>
      <c r="K98" s="115">
        <v>2169</v>
      </c>
      <c r="L98" s="116">
        <f t="shared" si="4"/>
        <v>0.12733887733887728</v>
      </c>
      <c r="M98" s="115">
        <v>2636</v>
      </c>
      <c r="N98" s="116">
        <v>0.2153065928999538</v>
      </c>
      <c r="O98" s="116">
        <v>0.29596853490658792</v>
      </c>
    </row>
    <row r="99" spans="2:15" x14ac:dyDescent="0.25">
      <c r="B99" s="114" t="s">
        <v>75</v>
      </c>
      <c r="C99" s="115">
        <v>2173</v>
      </c>
      <c r="D99" s="116">
        <v>2.3062730627305683E-3</v>
      </c>
      <c r="E99" s="115">
        <v>864</v>
      </c>
      <c r="F99" s="116">
        <f t="shared" si="4"/>
        <v>-0.60239300506212612</v>
      </c>
      <c r="G99" s="115">
        <v>920</v>
      </c>
      <c r="H99" s="116">
        <f t="shared" si="4"/>
        <v>6.4814814814814881E-2</v>
      </c>
      <c r="I99" s="115">
        <v>2063</v>
      </c>
      <c r="J99" s="116">
        <f t="shared" si="4"/>
        <v>1.2423913043478261</v>
      </c>
      <c r="K99" s="115">
        <v>2238</v>
      </c>
      <c r="L99" s="116">
        <f t="shared" si="4"/>
        <v>8.4827920504120247E-2</v>
      </c>
      <c r="M99" s="115">
        <v>2536</v>
      </c>
      <c r="N99" s="116">
        <v>0.13315460232350307</v>
      </c>
      <c r="O99" s="116">
        <v>0.16705016106764847</v>
      </c>
    </row>
    <row r="100" spans="2:15" x14ac:dyDescent="0.25">
      <c r="B100" s="114" t="s">
        <v>77</v>
      </c>
      <c r="C100" s="115">
        <v>1644</v>
      </c>
      <c r="D100" s="116">
        <v>-9.3215664644236029E-2</v>
      </c>
      <c r="E100" s="115">
        <v>0</v>
      </c>
      <c r="F100" s="116">
        <f t="shared" si="4"/>
        <v>-1</v>
      </c>
      <c r="G100" s="115">
        <v>807</v>
      </c>
      <c r="H100" s="116" t="str">
        <f t="shared" si="4"/>
        <v>-</v>
      </c>
      <c r="I100" s="115">
        <v>1446</v>
      </c>
      <c r="J100" s="116">
        <f t="shared" si="4"/>
        <v>0.79182156133828996</v>
      </c>
      <c r="K100" s="115">
        <v>1649</v>
      </c>
      <c r="L100" s="116">
        <f t="shared" si="4"/>
        <v>0.14038727524204697</v>
      </c>
      <c r="M100" s="115">
        <v>1778</v>
      </c>
      <c r="N100" s="116">
        <v>7.8229229836264347E-2</v>
      </c>
      <c r="O100" s="116">
        <v>8.1508515815085225E-2</v>
      </c>
    </row>
    <row r="101" spans="2:15" x14ac:dyDescent="0.25">
      <c r="B101" s="114" t="s">
        <v>79</v>
      </c>
      <c r="C101" s="115">
        <v>1141</v>
      </c>
      <c r="D101" s="116">
        <v>-0.19135364989369241</v>
      </c>
      <c r="E101" s="115">
        <v>0</v>
      </c>
      <c r="F101" s="116">
        <f t="shared" si="4"/>
        <v>-1</v>
      </c>
      <c r="G101" s="115">
        <v>928</v>
      </c>
      <c r="H101" s="116" t="str">
        <f t="shared" si="4"/>
        <v>-</v>
      </c>
      <c r="I101" s="115">
        <v>1161</v>
      </c>
      <c r="J101" s="116">
        <f t="shared" si="4"/>
        <v>0.25107758620689657</v>
      </c>
      <c r="K101" s="115">
        <v>1462</v>
      </c>
      <c r="L101" s="116">
        <f t="shared" si="4"/>
        <v>0.2592592592592593</v>
      </c>
      <c r="M101" s="115">
        <v>1356</v>
      </c>
      <c r="N101" s="116">
        <v>-7.2503419972640204E-2</v>
      </c>
      <c r="O101" s="116">
        <v>0.18843120070113928</v>
      </c>
    </row>
    <row r="102" spans="2:15" x14ac:dyDescent="0.25">
      <c r="B102" s="114" t="s">
        <v>81</v>
      </c>
      <c r="C102" s="115">
        <v>985</v>
      </c>
      <c r="D102" s="116">
        <v>-0.10373066424021837</v>
      </c>
      <c r="E102" s="115">
        <v>0</v>
      </c>
      <c r="F102" s="116">
        <f t="shared" si="4"/>
        <v>-1</v>
      </c>
      <c r="G102" s="115">
        <v>579</v>
      </c>
      <c r="H102" s="116" t="str">
        <f t="shared" si="4"/>
        <v>-</v>
      </c>
      <c r="I102" s="115">
        <v>940</v>
      </c>
      <c r="J102" s="116">
        <f t="shared" si="4"/>
        <v>0.62348877374784117</v>
      </c>
      <c r="K102" s="115">
        <v>897</v>
      </c>
      <c r="L102" s="116">
        <f t="shared" si="4"/>
        <v>-4.5744680851063868E-2</v>
      </c>
      <c r="M102" s="115">
        <v>956</v>
      </c>
      <c r="N102" s="116">
        <v>6.5774804905239792E-2</v>
      </c>
      <c r="O102" s="116">
        <v>-2.9441624365482255E-2</v>
      </c>
    </row>
    <row r="103" spans="2:15" x14ac:dyDescent="0.25">
      <c r="B103" s="114" t="s">
        <v>83</v>
      </c>
      <c r="C103" s="115">
        <v>1001</v>
      </c>
      <c r="D103" s="116">
        <v>-1.379310344827589E-2</v>
      </c>
      <c r="E103" s="115">
        <v>0</v>
      </c>
      <c r="F103" s="116">
        <f t="shared" si="4"/>
        <v>-1</v>
      </c>
      <c r="G103" s="115">
        <v>804</v>
      </c>
      <c r="H103" s="116" t="str">
        <f t="shared" si="4"/>
        <v>-</v>
      </c>
      <c r="I103" s="115">
        <v>975</v>
      </c>
      <c r="J103" s="116">
        <f t="shared" si="4"/>
        <v>0.21268656716417911</v>
      </c>
      <c r="K103" s="115">
        <v>1154</v>
      </c>
      <c r="L103" s="116">
        <f t="shared" si="4"/>
        <v>0.18358974358974356</v>
      </c>
      <c r="M103" s="115">
        <v>1146</v>
      </c>
      <c r="N103" s="116">
        <v>-6.9324090121317683E-3</v>
      </c>
      <c r="O103" s="116">
        <v>0.14485514485514495</v>
      </c>
    </row>
    <row r="104" spans="2:15" x14ac:dyDescent="0.25">
      <c r="B104" s="114" t="s">
        <v>85</v>
      </c>
      <c r="C104" s="115">
        <v>1148</v>
      </c>
      <c r="D104" s="116">
        <v>-2.4638912489379772E-2</v>
      </c>
      <c r="E104" s="115">
        <v>642</v>
      </c>
      <c r="F104" s="116">
        <f t="shared" si="4"/>
        <v>-0.44076655052264813</v>
      </c>
      <c r="G104" s="115">
        <v>1117</v>
      </c>
      <c r="H104" s="116">
        <f t="shared" si="4"/>
        <v>0.7398753894080996</v>
      </c>
      <c r="I104" s="115">
        <v>1338</v>
      </c>
      <c r="J104" s="116">
        <f t="shared" si="4"/>
        <v>0.19785138764547905</v>
      </c>
      <c r="K104" s="115">
        <v>1273</v>
      </c>
      <c r="L104" s="116">
        <f t="shared" si="4"/>
        <v>-4.8579970104633774E-2</v>
      </c>
      <c r="M104" s="115">
        <v>1181</v>
      </c>
      <c r="N104" s="116">
        <v>-7.2270227808326815E-2</v>
      </c>
      <c r="O104" s="116">
        <v>2.8745644599303066E-2</v>
      </c>
    </row>
    <row r="105" spans="2:15" x14ac:dyDescent="0.25">
      <c r="B105" s="114" t="s">
        <v>87</v>
      </c>
      <c r="C105" s="115">
        <v>1028</v>
      </c>
      <c r="D105" s="116">
        <v>4.1540020263424626E-2</v>
      </c>
      <c r="E105" s="115">
        <v>322</v>
      </c>
      <c r="F105" s="116">
        <f t="shared" si="4"/>
        <v>-0.6867704280155642</v>
      </c>
      <c r="G105" s="115">
        <v>810</v>
      </c>
      <c r="H105" s="116">
        <f t="shared" si="4"/>
        <v>1.5155279503105592</v>
      </c>
      <c r="I105" s="115">
        <v>1069</v>
      </c>
      <c r="J105" s="116">
        <f t="shared" si="4"/>
        <v>0.31975308641975309</v>
      </c>
      <c r="K105" s="115">
        <v>1139</v>
      </c>
      <c r="L105" s="116">
        <f t="shared" si="4"/>
        <v>6.5481758652946587E-2</v>
      </c>
      <c r="M105" s="115">
        <v>995</v>
      </c>
      <c r="N105" s="116">
        <v>-0.12642669007901663</v>
      </c>
      <c r="O105" s="116">
        <v>-3.2101167315175094E-2</v>
      </c>
    </row>
    <row r="106" spans="2:15" x14ac:dyDescent="0.25">
      <c r="B106" s="114" t="s">
        <v>89</v>
      </c>
      <c r="C106" s="115">
        <v>1537</v>
      </c>
      <c r="D106" s="116">
        <v>-9.747504403992957E-2</v>
      </c>
      <c r="E106" s="115">
        <v>413</v>
      </c>
      <c r="F106" s="116">
        <f t="shared" si="4"/>
        <v>-0.73129472999349376</v>
      </c>
      <c r="G106" s="115">
        <v>1253</v>
      </c>
      <c r="H106" s="116">
        <f t="shared" si="4"/>
        <v>2.0338983050847457</v>
      </c>
      <c r="I106" s="115">
        <v>1517</v>
      </c>
      <c r="J106" s="116">
        <f t="shared" si="4"/>
        <v>0.21069433359936163</v>
      </c>
      <c r="K106" s="115">
        <v>1594</v>
      </c>
      <c r="L106" s="116">
        <f t="shared" si="4"/>
        <v>5.0758075148318982E-2</v>
      </c>
      <c r="M106" s="115"/>
      <c r="N106" s="116" t="s">
        <v>229</v>
      </c>
      <c r="O106" s="116" t="s">
        <v>229</v>
      </c>
    </row>
    <row r="107" spans="2:15" x14ac:dyDescent="0.25">
      <c r="B107" s="114" t="s">
        <v>91</v>
      </c>
      <c r="C107" s="115">
        <v>2277</v>
      </c>
      <c r="D107" s="116">
        <v>0.14307228915662651</v>
      </c>
      <c r="E107" s="115">
        <v>507</v>
      </c>
      <c r="F107" s="116">
        <f t="shared" si="4"/>
        <v>-0.77733860342555994</v>
      </c>
      <c r="G107" s="115">
        <v>1754</v>
      </c>
      <c r="H107" s="116">
        <f t="shared" si="4"/>
        <v>2.4595660749506902</v>
      </c>
      <c r="I107" s="115">
        <v>1682</v>
      </c>
      <c r="J107" s="116">
        <f t="shared" si="4"/>
        <v>-4.1049030786773133E-2</v>
      </c>
      <c r="K107" s="115">
        <v>2509</v>
      </c>
      <c r="L107" s="116">
        <f t="shared" si="4"/>
        <v>0.49167657550535071</v>
      </c>
      <c r="M107" s="115"/>
      <c r="N107" s="116" t="s">
        <v>229</v>
      </c>
      <c r="O107" s="116" t="s">
        <v>229</v>
      </c>
    </row>
    <row r="108" spans="2:15" x14ac:dyDescent="0.25">
      <c r="B108" s="114" t="s">
        <v>93</v>
      </c>
      <c r="C108" s="115">
        <v>1789</v>
      </c>
      <c r="D108" s="116">
        <v>-0.1399038461538461</v>
      </c>
      <c r="E108" s="115">
        <v>655</v>
      </c>
      <c r="F108" s="116">
        <f t="shared" si="4"/>
        <v>-0.63387367244270543</v>
      </c>
      <c r="G108" s="115">
        <v>1590</v>
      </c>
      <c r="H108" s="116">
        <f t="shared" si="4"/>
        <v>1.4274809160305342</v>
      </c>
      <c r="I108" s="115">
        <v>1807</v>
      </c>
      <c r="J108" s="116">
        <f t="shared" si="4"/>
        <v>0.13647798742138373</v>
      </c>
      <c r="K108" s="115">
        <v>2003</v>
      </c>
      <c r="L108" s="116">
        <f t="shared" si="4"/>
        <v>0.10846707249584941</v>
      </c>
      <c r="M108" s="115"/>
      <c r="N108" s="116" t="s">
        <v>229</v>
      </c>
      <c r="O108" s="116" t="s">
        <v>229</v>
      </c>
    </row>
    <row r="109" spans="2:15" ht="15.75" x14ac:dyDescent="0.25">
      <c r="B109" s="117" t="s">
        <v>30</v>
      </c>
      <c r="C109" s="118">
        <v>18768</v>
      </c>
      <c r="D109" s="119">
        <v>-4.7503045066991434E-2</v>
      </c>
      <c r="E109" s="118">
        <v>8198</v>
      </c>
      <c r="F109" s="119">
        <f t="shared" si="4"/>
        <v>-0.56319266837169657</v>
      </c>
      <c r="G109" s="118">
        <v>11712</v>
      </c>
      <c r="H109" s="119">
        <f t="shared" si="4"/>
        <v>0.42864113198341069</v>
      </c>
      <c r="I109" s="118">
        <v>17676</v>
      </c>
      <c r="J109" s="119">
        <f t="shared" si="4"/>
        <v>0.50922131147540983</v>
      </c>
      <c r="K109" s="118">
        <v>20435</v>
      </c>
      <c r="L109" s="119">
        <f t="shared" si="4"/>
        <v>0.15608735007920349</v>
      </c>
      <c r="M109" s="118">
        <v>15624</v>
      </c>
      <c r="N109" s="119">
        <v>9.0376160234489467E-2</v>
      </c>
      <c r="O109" s="119">
        <v>0.18678313710596273</v>
      </c>
    </row>
    <row r="110" spans="2:15" ht="6" customHeight="1" x14ac:dyDescent="0.25"/>
    <row r="111" spans="2:15" x14ac:dyDescent="0.25">
      <c r="B111" s="105" t="s">
        <v>55</v>
      </c>
      <c r="C111" s="105"/>
      <c r="D111" s="105"/>
      <c r="E111" s="105"/>
      <c r="F111" s="105"/>
      <c r="G111" s="105"/>
      <c r="H111" s="105"/>
      <c r="I111" s="105"/>
      <c r="J111" s="105"/>
      <c r="K111" s="105"/>
      <c r="L111" s="105"/>
      <c r="M111" s="105"/>
      <c r="N111" s="105"/>
      <c r="O111" s="105"/>
    </row>
    <row r="112" spans="2:15" x14ac:dyDescent="0.25">
      <c r="C112" s="120"/>
    </row>
    <row r="114" spans="1:16" ht="48.75" customHeight="1" thickBot="1" x14ac:dyDescent="0.3">
      <c r="B114" s="270" t="s">
        <v>241</v>
      </c>
      <c r="C114" s="270"/>
      <c r="D114" s="270"/>
      <c r="E114" s="270"/>
      <c r="F114" s="270"/>
      <c r="G114" s="270"/>
      <c r="H114" s="270"/>
      <c r="I114" s="270"/>
      <c r="J114" s="270"/>
      <c r="K114" s="270"/>
      <c r="L114" s="270"/>
      <c r="M114" s="270"/>
      <c r="N114" s="270"/>
      <c r="O114" s="270"/>
      <c r="P114" s="1" t="s">
        <v>108</v>
      </c>
    </row>
    <row r="115" spans="1:16" ht="10.5" customHeight="1" thickBot="1" x14ac:dyDescent="0.3">
      <c r="B115" s="106"/>
      <c r="C115" s="107"/>
      <c r="D115" s="106"/>
      <c r="E115" s="106"/>
      <c r="F115" s="106"/>
      <c r="G115" s="106"/>
      <c r="H115" s="106"/>
      <c r="I115" s="106"/>
      <c r="J115" s="106"/>
      <c r="K115" s="106"/>
      <c r="L115" s="106"/>
      <c r="M115" s="4"/>
      <c r="N115" s="4"/>
      <c r="P115" s="1" t="s">
        <v>109</v>
      </c>
    </row>
    <row r="116" spans="1:16" ht="22.5" thickTop="1" thickBot="1" x14ac:dyDescent="0.3">
      <c r="B116" s="121" t="str">
        <f>C116</f>
        <v>Reino Unido</v>
      </c>
      <c r="C116" s="292" t="s">
        <v>110</v>
      </c>
      <c r="D116" s="293"/>
      <c r="E116" s="293"/>
      <c r="F116" s="293"/>
      <c r="G116" s="293"/>
      <c r="H116" s="293"/>
      <c r="I116" s="293"/>
      <c r="J116" s="293"/>
      <c r="K116" s="293"/>
      <c r="L116" s="293"/>
      <c r="M116" s="293"/>
      <c r="N116" s="293"/>
      <c r="O116" s="294"/>
    </row>
    <row r="117" spans="1:16" ht="22.5" thickTop="1" thickBot="1" x14ac:dyDescent="0.3">
      <c r="B117" s="109"/>
      <c r="C117" s="295">
        <f>2019</f>
        <v>2019</v>
      </c>
      <c r="D117" s="296"/>
      <c r="E117" s="297">
        <v>2020</v>
      </c>
      <c r="F117" s="296"/>
      <c r="G117" s="297">
        <v>2021</v>
      </c>
      <c r="H117" s="296"/>
      <c r="I117" s="297">
        <v>2022</v>
      </c>
      <c r="J117" s="296"/>
      <c r="K117" s="297">
        <v>2023</v>
      </c>
      <c r="L117" s="296"/>
      <c r="M117" s="297">
        <v>2024</v>
      </c>
      <c r="N117" s="298"/>
      <c r="O117" s="299"/>
    </row>
    <row r="118" spans="1:16" ht="16.5" thickTop="1" thickBot="1" x14ac:dyDescent="0.3">
      <c r="B118" s="85"/>
      <c r="C118" s="111" t="s">
        <v>69</v>
      </c>
      <c r="D118" s="112" t="str">
        <f>CONCATENATE("var ",RIGHT(2019,2),"/",RIGHT(2018,2))</f>
        <v>var 19/18</v>
      </c>
      <c r="E118" s="113" t="s">
        <v>69</v>
      </c>
      <c r="F118" s="112" t="str">
        <f>CONCATENATE("var ",RIGHT(E117,2),"/",RIGHT(E117-1,2))</f>
        <v>var 20/19</v>
      </c>
      <c r="G118" s="113" t="s">
        <v>69</v>
      </c>
      <c r="H118" s="112" t="str">
        <f>CONCATENATE("var ",RIGHT(G117,2),"/",RIGHT(G117-1,2))</f>
        <v>var 21/20</v>
      </c>
      <c r="I118" s="113" t="s">
        <v>69</v>
      </c>
      <c r="J118" s="112" t="str">
        <f>CONCATENATE("var ",RIGHT(I117,2),"/",RIGHT(I117-1,2))</f>
        <v>var 22/21</v>
      </c>
      <c r="K118" s="113" t="s">
        <v>69</v>
      </c>
      <c r="L118" s="112" t="str">
        <f>CONCATENATE("var ",RIGHT(K117,2),"/",RIGHT(K117-1,2))</f>
        <v>var 23/22</v>
      </c>
      <c r="M118" s="113" t="s">
        <v>69</v>
      </c>
      <c r="N118" s="112" t="s">
        <v>273</v>
      </c>
      <c r="O118" s="112" t="s">
        <v>274</v>
      </c>
    </row>
    <row r="119" spans="1:16" x14ac:dyDescent="0.25">
      <c r="B119" s="114" t="s">
        <v>71</v>
      </c>
      <c r="C119" s="115">
        <v>336</v>
      </c>
      <c r="D119" s="116">
        <v>5.0000000000000044E-2</v>
      </c>
      <c r="E119" s="115">
        <v>357</v>
      </c>
      <c r="F119" s="116">
        <f t="shared" ref="F119:L131" si="5">IFERROR(E119/C119-1,"-")</f>
        <v>6.25E-2</v>
      </c>
      <c r="G119" s="115">
        <v>24</v>
      </c>
      <c r="H119" s="116">
        <f t="shared" si="5"/>
        <v>-0.9327731092436975</v>
      </c>
      <c r="I119" s="115">
        <v>277</v>
      </c>
      <c r="J119" s="116">
        <f t="shared" si="5"/>
        <v>10.541666666666666</v>
      </c>
      <c r="K119" s="115">
        <v>378</v>
      </c>
      <c r="L119" s="116">
        <f t="shared" si="5"/>
        <v>0.36462093862815892</v>
      </c>
      <c r="M119" s="115">
        <v>447</v>
      </c>
      <c r="N119" s="116">
        <v>0.18253968253968256</v>
      </c>
      <c r="O119" s="116">
        <v>0.33035714285714279</v>
      </c>
    </row>
    <row r="120" spans="1:16" x14ac:dyDescent="0.25">
      <c r="B120" s="114" t="s">
        <v>73</v>
      </c>
      <c r="C120" s="115">
        <v>382</v>
      </c>
      <c r="D120" s="116">
        <v>0.28619528619528611</v>
      </c>
      <c r="E120" s="115">
        <v>525</v>
      </c>
      <c r="F120" s="116">
        <f t="shared" si="5"/>
        <v>0.37434554973821998</v>
      </c>
      <c r="G120" s="115">
        <v>25</v>
      </c>
      <c r="H120" s="116">
        <f t="shared" si="5"/>
        <v>-0.95238095238095233</v>
      </c>
      <c r="I120" s="115">
        <v>330</v>
      </c>
      <c r="J120" s="116">
        <f t="shared" si="5"/>
        <v>12.2</v>
      </c>
      <c r="K120" s="115">
        <v>411</v>
      </c>
      <c r="L120" s="116">
        <f t="shared" si="5"/>
        <v>0.24545454545454537</v>
      </c>
      <c r="M120" s="115">
        <v>472</v>
      </c>
      <c r="N120" s="116">
        <v>0.14841849148418484</v>
      </c>
      <c r="O120" s="116">
        <v>0.23560209424083767</v>
      </c>
    </row>
    <row r="121" spans="1:16" x14ac:dyDescent="0.25">
      <c r="B121" s="114" t="s">
        <v>75</v>
      </c>
      <c r="C121" s="115">
        <v>296</v>
      </c>
      <c r="D121" s="116">
        <v>3.1358885017421567E-2</v>
      </c>
      <c r="E121" s="115">
        <v>112</v>
      </c>
      <c r="F121" s="116">
        <f t="shared" si="5"/>
        <v>-0.6216216216216216</v>
      </c>
      <c r="G121" s="115">
        <v>35</v>
      </c>
      <c r="H121" s="116">
        <f t="shared" si="5"/>
        <v>-0.6875</v>
      </c>
      <c r="I121" s="115">
        <v>308</v>
      </c>
      <c r="J121" s="116">
        <f t="shared" si="5"/>
        <v>7.8000000000000007</v>
      </c>
      <c r="K121" s="115">
        <v>344</v>
      </c>
      <c r="L121" s="116">
        <f t="shared" si="5"/>
        <v>0.11688311688311681</v>
      </c>
      <c r="M121" s="115">
        <v>445</v>
      </c>
      <c r="N121" s="116">
        <v>0.29360465116279078</v>
      </c>
      <c r="O121" s="116">
        <v>0.50337837837837829</v>
      </c>
    </row>
    <row r="122" spans="1:16" x14ac:dyDescent="0.25">
      <c r="B122" s="114" t="s">
        <v>77</v>
      </c>
      <c r="C122" s="115">
        <v>145</v>
      </c>
      <c r="D122" s="116">
        <v>-0.21195652173913049</v>
      </c>
      <c r="E122" s="115">
        <v>0</v>
      </c>
      <c r="F122" s="116">
        <f t="shared" si="5"/>
        <v>-1</v>
      </c>
      <c r="G122" s="115">
        <v>17</v>
      </c>
      <c r="H122" s="116" t="str">
        <f t="shared" si="5"/>
        <v>-</v>
      </c>
      <c r="I122" s="115">
        <v>129</v>
      </c>
      <c r="J122" s="116">
        <f t="shared" si="5"/>
        <v>6.5882352941176467</v>
      </c>
      <c r="K122" s="115">
        <v>155</v>
      </c>
      <c r="L122" s="116">
        <f t="shared" si="5"/>
        <v>0.20155038759689914</v>
      </c>
      <c r="M122" s="115">
        <v>248</v>
      </c>
      <c r="N122" s="116">
        <v>0.60000000000000009</v>
      </c>
      <c r="O122" s="116">
        <v>0.71034482758620698</v>
      </c>
    </row>
    <row r="123" spans="1:16" x14ac:dyDescent="0.25">
      <c r="B123" s="114" t="s">
        <v>79</v>
      </c>
      <c r="C123" s="115">
        <v>167</v>
      </c>
      <c r="D123" s="116">
        <v>0.63725490196078427</v>
      </c>
      <c r="E123" s="115">
        <v>0</v>
      </c>
      <c r="F123" s="116">
        <f t="shared" si="5"/>
        <v>-1</v>
      </c>
      <c r="G123" s="115">
        <v>19</v>
      </c>
      <c r="H123" s="116" t="str">
        <f t="shared" si="5"/>
        <v>-</v>
      </c>
      <c r="I123" s="115">
        <v>143</v>
      </c>
      <c r="J123" s="116">
        <f t="shared" si="5"/>
        <v>6.5263157894736841</v>
      </c>
      <c r="K123" s="115">
        <v>149</v>
      </c>
      <c r="L123" s="116">
        <f t="shared" si="5"/>
        <v>4.195804195804187E-2</v>
      </c>
      <c r="M123" s="115">
        <v>133</v>
      </c>
      <c r="N123" s="116">
        <v>-0.10738255033557043</v>
      </c>
      <c r="O123" s="116">
        <v>-0.20359281437125754</v>
      </c>
    </row>
    <row r="124" spans="1:16" x14ac:dyDescent="0.25">
      <c r="B124" s="114" t="s">
        <v>81</v>
      </c>
      <c r="C124" s="115">
        <v>87</v>
      </c>
      <c r="D124" s="116">
        <v>-0.17142857142857137</v>
      </c>
      <c r="E124" s="115">
        <v>0</v>
      </c>
      <c r="F124" s="116">
        <f t="shared" si="5"/>
        <v>-1</v>
      </c>
      <c r="G124" s="115">
        <v>25</v>
      </c>
      <c r="H124" s="116" t="str">
        <f t="shared" si="5"/>
        <v>-</v>
      </c>
      <c r="I124" s="115">
        <v>120</v>
      </c>
      <c r="J124" s="116">
        <f t="shared" si="5"/>
        <v>3.8</v>
      </c>
      <c r="K124" s="115">
        <v>124</v>
      </c>
      <c r="L124" s="116">
        <f t="shared" si="5"/>
        <v>3.3333333333333437E-2</v>
      </c>
      <c r="M124" s="115">
        <v>100</v>
      </c>
      <c r="N124" s="116">
        <v>-0.19354838709677424</v>
      </c>
      <c r="O124" s="116">
        <v>0.14942528735632177</v>
      </c>
    </row>
    <row r="125" spans="1:16" x14ac:dyDescent="0.25">
      <c r="B125" s="114" t="s">
        <v>83</v>
      </c>
      <c r="C125" s="115">
        <v>128</v>
      </c>
      <c r="D125" s="116">
        <v>3.2258064516129004E-2</v>
      </c>
      <c r="E125" s="115">
        <v>0</v>
      </c>
      <c r="F125" s="116">
        <f t="shared" si="5"/>
        <v>-1</v>
      </c>
      <c r="G125" s="115">
        <v>49</v>
      </c>
      <c r="H125" s="116" t="str">
        <f t="shared" si="5"/>
        <v>-</v>
      </c>
      <c r="I125" s="115">
        <v>82</v>
      </c>
      <c r="J125" s="116">
        <f t="shared" si="5"/>
        <v>0.67346938775510212</v>
      </c>
      <c r="K125" s="115">
        <v>160</v>
      </c>
      <c r="L125" s="116">
        <f t="shared" si="5"/>
        <v>0.95121951219512191</v>
      </c>
      <c r="M125" s="115">
        <v>156</v>
      </c>
      <c r="N125" s="116">
        <v>-2.5000000000000022E-2</v>
      </c>
      <c r="O125" s="116">
        <v>0.21875</v>
      </c>
    </row>
    <row r="126" spans="1:16" x14ac:dyDescent="0.25">
      <c r="B126" s="114" t="s">
        <v>85</v>
      </c>
      <c r="C126" s="115">
        <v>86</v>
      </c>
      <c r="D126" s="116">
        <v>-0.14000000000000001</v>
      </c>
      <c r="E126" s="115">
        <v>24</v>
      </c>
      <c r="F126" s="116">
        <f t="shared" si="5"/>
        <v>-0.72093023255813948</v>
      </c>
      <c r="G126" s="115">
        <v>79</v>
      </c>
      <c r="H126" s="116">
        <f t="shared" si="5"/>
        <v>2.2916666666666665</v>
      </c>
      <c r="I126" s="115">
        <v>109</v>
      </c>
      <c r="J126" s="116">
        <f t="shared" si="5"/>
        <v>0.379746835443038</v>
      </c>
      <c r="K126" s="115">
        <v>153</v>
      </c>
      <c r="L126" s="116">
        <f t="shared" si="5"/>
        <v>0.40366972477064222</v>
      </c>
      <c r="M126" s="115">
        <v>122</v>
      </c>
      <c r="N126" s="116">
        <v>-0.20261437908496727</v>
      </c>
      <c r="O126" s="116">
        <v>0.41860465116279078</v>
      </c>
    </row>
    <row r="127" spans="1:16" x14ac:dyDescent="0.25">
      <c r="B127" s="114" t="s">
        <v>87</v>
      </c>
      <c r="C127" s="115">
        <v>141</v>
      </c>
      <c r="D127" s="116">
        <v>3.6764705882353033E-2</v>
      </c>
      <c r="E127" s="115">
        <v>24</v>
      </c>
      <c r="F127" s="116">
        <f t="shared" si="5"/>
        <v>-0.82978723404255317</v>
      </c>
      <c r="G127" s="115">
        <v>73</v>
      </c>
      <c r="H127" s="116">
        <f t="shared" si="5"/>
        <v>2.0416666666666665</v>
      </c>
      <c r="I127" s="115">
        <v>163</v>
      </c>
      <c r="J127" s="116">
        <f t="shared" si="5"/>
        <v>1.2328767123287672</v>
      </c>
      <c r="K127" s="115">
        <v>144</v>
      </c>
      <c r="L127" s="116">
        <f t="shared" si="5"/>
        <v>-0.1165644171779141</v>
      </c>
      <c r="M127" s="115">
        <v>123</v>
      </c>
      <c r="N127" s="116">
        <v>-0.14583333333333337</v>
      </c>
      <c r="O127" s="116">
        <v>-0.12765957446808507</v>
      </c>
    </row>
    <row r="128" spans="1:16" x14ac:dyDescent="0.25">
      <c r="A128" s="120"/>
      <c r="B128" s="114" t="s">
        <v>89</v>
      </c>
      <c r="C128" s="115">
        <v>143</v>
      </c>
      <c r="D128" s="116">
        <v>-0.17341040462427748</v>
      </c>
      <c r="E128" s="115">
        <v>50</v>
      </c>
      <c r="F128" s="116">
        <f t="shared" si="5"/>
        <v>-0.65034965034965042</v>
      </c>
      <c r="G128" s="115">
        <v>163</v>
      </c>
      <c r="H128" s="116">
        <f t="shared" si="5"/>
        <v>2.2599999999999998</v>
      </c>
      <c r="I128" s="115">
        <v>175</v>
      </c>
      <c r="J128" s="116">
        <f t="shared" si="5"/>
        <v>7.361963190184051E-2</v>
      </c>
      <c r="K128" s="115">
        <v>180</v>
      </c>
      <c r="L128" s="116">
        <f t="shared" si="5"/>
        <v>2.857142857142847E-2</v>
      </c>
      <c r="M128" s="115"/>
      <c r="N128" s="116" t="s">
        <v>229</v>
      </c>
      <c r="O128" s="116" t="s">
        <v>229</v>
      </c>
    </row>
    <row r="129" spans="2:16" x14ac:dyDescent="0.25">
      <c r="B129" s="114" t="s">
        <v>91</v>
      </c>
      <c r="C129" s="115">
        <v>282</v>
      </c>
      <c r="D129" s="116">
        <v>0.16049382716049387</v>
      </c>
      <c r="E129" s="115">
        <v>96</v>
      </c>
      <c r="F129" s="116">
        <f t="shared" si="5"/>
        <v>-0.65957446808510634</v>
      </c>
      <c r="G129" s="115">
        <v>241</v>
      </c>
      <c r="H129" s="116">
        <f t="shared" si="5"/>
        <v>1.5104166666666665</v>
      </c>
      <c r="I129" s="115">
        <v>264</v>
      </c>
      <c r="J129" s="116">
        <f t="shared" si="5"/>
        <v>9.543568464730301E-2</v>
      </c>
      <c r="K129" s="115">
        <v>278</v>
      </c>
      <c r="L129" s="116">
        <f t="shared" si="5"/>
        <v>5.3030303030302983E-2</v>
      </c>
      <c r="M129" s="115"/>
      <c r="N129" s="116" t="s">
        <v>229</v>
      </c>
      <c r="O129" s="116" t="s">
        <v>229</v>
      </c>
    </row>
    <row r="130" spans="2:16" x14ac:dyDescent="0.25">
      <c r="B130" s="114" t="s">
        <v>93</v>
      </c>
      <c r="C130" s="115">
        <v>228</v>
      </c>
      <c r="D130" s="116">
        <v>0.17525773195876293</v>
      </c>
      <c r="E130" s="115">
        <v>74</v>
      </c>
      <c r="F130" s="116">
        <f t="shared" si="5"/>
        <v>-0.67543859649122806</v>
      </c>
      <c r="G130" s="115">
        <v>171</v>
      </c>
      <c r="H130" s="116">
        <f t="shared" si="5"/>
        <v>1.310810810810811</v>
      </c>
      <c r="I130" s="115">
        <v>303</v>
      </c>
      <c r="J130" s="116">
        <f t="shared" si="5"/>
        <v>0.77192982456140347</v>
      </c>
      <c r="K130" s="115">
        <v>319</v>
      </c>
      <c r="L130" s="116">
        <f t="shared" si="5"/>
        <v>5.2805280528052778E-2</v>
      </c>
      <c r="M130" s="115"/>
      <c r="N130" s="116" t="s">
        <v>229</v>
      </c>
      <c r="O130" s="116" t="s">
        <v>229</v>
      </c>
    </row>
    <row r="131" spans="2:16" ht="15.75" x14ac:dyDescent="0.25">
      <c r="B131" s="117" t="s">
        <v>30</v>
      </c>
      <c r="C131" s="118">
        <v>2421</v>
      </c>
      <c r="D131" s="119">
        <v>6.887417218543046E-2</v>
      </c>
      <c r="E131" s="118">
        <v>1288</v>
      </c>
      <c r="F131" s="119">
        <f t="shared" si="5"/>
        <v>-0.46798843453118544</v>
      </c>
      <c r="G131" s="118">
        <v>921</v>
      </c>
      <c r="H131" s="119">
        <f t="shared" si="5"/>
        <v>-0.28493788819875776</v>
      </c>
      <c r="I131" s="118">
        <v>2403</v>
      </c>
      <c r="J131" s="119">
        <f t="shared" si="5"/>
        <v>1.6091205211726383</v>
      </c>
      <c r="K131" s="118">
        <v>2795</v>
      </c>
      <c r="L131" s="119">
        <f t="shared" si="5"/>
        <v>0.16312942155638788</v>
      </c>
      <c r="M131" s="118">
        <v>2246</v>
      </c>
      <c r="N131" s="119">
        <v>0.11298315163528239</v>
      </c>
      <c r="O131" s="119">
        <v>0.27036199095022617</v>
      </c>
    </row>
    <row r="132" spans="2:16" ht="6" customHeight="1" x14ac:dyDescent="0.25"/>
    <row r="133" spans="2:16" x14ac:dyDescent="0.25">
      <c r="B133" s="105" t="s">
        <v>55</v>
      </c>
      <c r="C133" s="105"/>
      <c r="D133" s="105"/>
      <c r="E133" s="105"/>
      <c r="F133" s="105"/>
      <c r="G133" s="105"/>
      <c r="H133" s="105"/>
      <c r="I133" s="105"/>
      <c r="J133" s="105"/>
      <c r="K133" s="105"/>
      <c r="L133" s="105"/>
      <c r="M133" s="105"/>
      <c r="N133" s="105"/>
      <c r="O133" s="105"/>
    </row>
    <row r="134" spans="2:16" x14ac:dyDescent="0.25">
      <c r="K134" s="120"/>
      <c r="M134" s="120"/>
      <c r="N134" s="122"/>
    </row>
    <row r="136" spans="2:16" ht="48.75" customHeight="1" thickBot="1" x14ac:dyDescent="0.3">
      <c r="B136" s="270" t="s">
        <v>242</v>
      </c>
      <c r="C136" s="270"/>
      <c r="D136" s="270"/>
      <c r="E136" s="270"/>
      <c r="F136" s="270"/>
      <c r="G136" s="270"/>
      <c r="H136" s="270"/>
      <c r="I136" s="270"/>
      <c r="J136" s="270"/>
      <c r="K136" s="270"/>
      <c r="L136" s="270"/>
      <c r="M136" s="270"/>
      <c r="N136" s="270"/>
      <c r="O136" s="270"/>
      <c r="P136" s="1" t="s">
        <v>111</v>
      </c>
    </row>
    <row r="137" spans="2:16" ht="10.5" customHeight="1" thickBot="1" x14ac:dyDescent="0.3">
      <c r="B137" s="106"/>
      <c r="C137" s="107"/>
      <c r="D137" s="106"/>
      <c r="E137" s="106"/>
      <c r="F137" s="106"/>
      <c r="G137" s="106"/>
      <c r="H137" s="106"/>
      <c r="I137" s="106"/>
      <c r="J137" s="106"/>
      <c r="K137" s="106"/>
      <c r="L137" s="106"/>
      <c r="M137" s="4"/>
      <c r="N137" s="4"/>
      <c r="P137" s="1" t="s">
        <v>112</v>
      </c>
    </row>
    <row r="138" spans="2:16" ht="22.5" thickTop="1" thickBot="1" x14ac:dyDescent="0.3">
      <c r="B138" s="121" t="str">
        <f>C138</f>
        <v>Alemania</v>
      </c>
      <c r="C138" s="292" t="s">
        <v>113</v>
      </c>
      <c r="D138" s="293"/>
      <c r="E138" s="293"/>
      <c r="F138" s="293"/>
      <c r="G138" s="293"/>
      <c r="H138" s="293"/>
      <c r="I138" s="293"/>
      <c r="J138" s="293"/>
      <c r="K138" s="293"/>
      <c r="L138" s="293"/>
      <c r="M138" s="293"/>
      <c r="N138" s="293"/>
      <c r="O138" s="294"/>
    </row>
    <row r="139" spans="2:16" ht="22.5" thickTop="1" thickBot="1" x14ac:dyDescent="0.3">
      <c r="B139" s="109"/>
      <c r="C139" s="295">
        <f>2019</f>
        <v>2019</v>
      </c>
      <c r="D139" s="296"/>
      <c r="E139" s="297">
        <v>2020</v>
      </c>
      <c r="F139" s="296"/>
      <c r="G139" s="297">
        <v>2021</v>
      </c>
      <c r="H139" s="296"/>
      <c r="I139" s="297">
        <v>2022</v>
      </c>
      <c r="J139" s="296"/>
      <c r="K139" s="297">
        <v>2023</v>
      </c>
      <c r="L139" s="296"/>
      <c r="M139" s="297">
        <v>2024</v>
      </c>
      <c r="N139" s="298"/>
      <c r="O139" s="299"/>
    </row>
    <row r="140" spans="2:16" ht="16.5" thickTop="1" thickBot="1" x14ac:dyDescent="0.3">
      <c r="B140" s="85"/>
      <c r="C140" s="111" t="s">
        <v>69</v>
      </c>
      <c r="D140" s="112" t="str">
        <f>CONCATENATE("var ",RIGHT(2019,2),"/",RIGHT(2018,2))</f>
        <v>var 19/18</v>
      </c>
      <c r="E140" s="113" t="s">
        <v>69</v>
      </c>
      <c r="F140" s="112" t="str">
        <f>CONCATENATE("var ",RIGHT(E139,2),"/",RIGHT(E139-1,2))</f>
        <v>var 20/19</v>
      </c>
      <c r="G140" s="113" t="s">
        <v>69</v>
      </c>
      <c r="H140" s="112" t="str">
        <f>CONCATENATE("var ",RIGHT(G139,2),"/",RIGHT(G139-1,2))</f>
        <v>var 21/20</v>
      </c>
      <c r="I140" s="113" t="s">
        <v>69</v>
      </c>
      <c r="J140" s="112" t="str">
        <f>CONCATENATE("var ",RIGHT(I139,2),"/",RIGHT(I139-1,2))</f>
        <v>var 22/21</v>
      </c>
      <c r="K140" s="113" t="s">
        <v>69</v>
      </c>
      <c r="L140" s="112" t="str">
        <f>CONCATENATE("var ",RIGHT(K139,2),"/",RIGHT(K139-1,2))</f>
        <v>var 23/22</v>
      </c>
      <c r="M140" s="113" t="s">
        <v>69</v>
      </c>
      <c r="N140" s="112" t="s">
        <v>273</v>
      </c>
      <c r="O140" s="112" t="s">
        <v>274</v>
      </c>
    </row>
    <row r="141" spans="2:16" x14ac:dyDescent="0.25">
      <c r="B141" s="114" t="s">
        <v>71</v>
      </c>
      <c r="C141" s="115">
        <v>380</v>
      </c>
      <c r="D141" s="116">
        <v>-0.21161825726141081</v>
      </c>
      <c r="E141" s="115">
        <v>427</v>
      </c>
      <c r="F141" s="116">
        <f t="shared" ref="F141:L153" si="6">IFERROR(E141/C141-1,"-")</f>
        <v>0.12368421052631584</v>
      </c>
      <c r="G141" s="115">
        <v>89</v>
      </c>
      <c r="H141" s="116">
        <f t="shared" si="6"/>
        <v>-0.79156908665105385</v>
      </c>
      <c r="I141" s="115">
        <v>309</v>
      </c>
      <c r="J141" s="116">
        <f t="shared" si="6"/>
        <v>2.4719101123595504</v>
      </c>
      <c r="K141" s="115">
        <v>460</v>
      </c>
      <c r="L141" s="116">
        <f t="shared" si="6"/>
        <v>0.48867313915857613</v>
      </c>
      <c r="M141" s="115">
        <v>643</v>
      </c>
      <c r="N141" s="116">
        <v>0.39782608695652177</v>
      </c>
      <c r="O141" s="116">
        <v>0.69210526315789478</v>
      </c>
    </row>
    <row r="142" spans="2:16" x14ac:dyDescent="0.25">
      <c r="B142" s="114" t="s">
        <v>73</v>
      </c>
      <c r="C142" s="115">
        <v>477</v>
      </c>
      <c r="D142" s="116">
        <v>-2.8513238289205711E-2</v>
      </c>
      <c r="E142" s="115">
        <v>458</v>
      </c>
      <c r="F142" s="116">
        <f t="shared" si="6"/>
        <v>-3.9832285115304011E-2</v>
      </c>
      <c r="G142" s="115">
        <v>92</v>
      </c>
      <c r="H142" s="116">
        <f t="shared" si="6"/>
        <v>-0.79912663755458513</v>
      </c>
      <c r="I142" s="115">
        <v>390</v>
      </c>
      <c r="J142" s="116">
        <f t="shared" si="6"/>
        <v>3.2391304347826084</v>
      </c>
      <c r="K142" s="115">
        <v>440</v>
      </c>
      <c r="L142" s="116">
        <f t="shared" si="6"/>
        <v>0.12820512820512819</v>
      </c>
      <c r="M142" s="115">
        <v>537</v>
      </c>
      <c r="N142" s="116">
        <v>0.22045454545454546</v>
      </c>
      <c r="O142" s="116">
        <v>0.12578616352201255</v>
      </c>
    </row>
    <row r="143" spans="2:16" x14ac:dyDescent="0.25">
      <c r="B143" s="114" t="s">
        <v>75</v>
      </c>
      <c r="C143" s="115">
        <v>628</v>
      </c>
      <c r="D143" s="116">
        <v>6.4406779661017044E-2</v>
      </c>
      <c r="E143" s="115">
        <v>186</v>
      </c>
      <c r="F143" s="116">
        <f t="shared" si="6"/>
        <v>-0.70382165605095537</v>
      </c>
      <c r="G143" s="115">
        <v>167</v>
      </c>
      <c r="H143" s="116">
        <f t="shared" si="6"/>
        <v>-0.10215053763440862</v>
      </c>
      <c r="I143" s="115">
        <v>431</v>
      </c>
      <c r="J143" s="116">
        <f t="shared" si="6"/>
        <v>1.5808383233532934</v>
      </c>
      <c r="K143" s="115">
        <v>450</v>
      </c>
      <c r="L143" s="116">
        <f t="shared" si="6"/>
        <v>4.4083526682134666E-2</v>
      </c>
      <c r="M143" s="115">
        <v>565</v>
      </c>
      <c r="N143" s="116">
        <v>0.25555555555555554</v>
      </c>
      <c r="O143" s="116">
        <v>-0.10031847133757965</v>
      </c>
    </row>
    <row r="144" spans="2:16" x14ac:dyDescent="0.25">
      <c r="B144" s="114" t="s">
        <v>77</v>
      </c>
      <c r="C144" s="115">
        <v>410</v>
      </c>
      <c r="D144" s="116">
        <v>-1.9138755980861233E-2</v>
      </c>
      <c r="E144" s="115">
        <v>0</v>
      </c>
      <c r="F144" s="116">
        <f t="shared" si="6"/>
        <v>-1</v>
      </c>
      <c r="G144" s="115">
        <v>83</v>
      </c>
      <c r="H144" s="116" t="str">
        <f t="shared" si="6"/>
        <v>-</v>
      </c>
      <c r="I144" s="115">
        <v>352</v>
      </c>
      <c r="J144" s="116">
        <f t="shared" si="6"/>
        <v>3.2409638554216871</v>
      </c>
      <c r="K144" s="115">
        <v>358</v>
      </c>
      <c r="L144" s="116">
        <f t="shared" si="6"/>
        <v>1.7045454545454586E-2</v>
      </c>
      <c r="M144" s="115">
        <v>348</v>
      </c>
      <c r="N144" s="116">
        <v>-2.7932960893854775E-2</v>
      </c>
      <c r="O144" s="116">
        <v>-0.15121951219512197</v>
      </c>
    </row>
    <row r="145" spans="1:16" x14ac:dyDescent="0.25">
      <c r="B145" s="114" t="s">
        <v>79</v>
      </c>
      <c r="C145" s="115">
        <v>195</v>
      </c>
      <c r="D145" s="116">
        <v>-0.3321917808219178</v>
      </c>
      <c r="E145" s="115">
        <v>0</v>
      </c>
      <c r="F145" s="116">
        <f t="shared" si="6"/>
        <v>-1</v>
      </c>
      <c r="G145" s="115">
        <v>122</v>
      </c>
      <c r="H145" s="116" t="str">
        <f t="shared" si="6"/>
        <v>-</v>
      </c>
      <c r="I145" s="115">
        <v>190</v>
      </c>
      <c r="J145" s="116">
        <f t="shared" si="6"/>
        <v>0.55737704918032782</v>
      </c>
      <c r="K145" s="115">
        <v>188</v>
      </c>
      <c r="L145" s="116">
        <f t="shared" si="6"/>
        <v>-1.0526315789473717E-2</v>
      </c>
      <c r="M145" s="115">
        <v>242</v>
      </c>
      <c r="N145" s="116">
        <v>0.2872340425531914</v>
      </c>
      <c r="O145" s="116">
        <v>0.24102564102564106</v>
      </c>
    </row>
    <row r="146" spans="1:16" x14ac:dyDescent="0.25">
      <c r="B146" s="114" t="s">
        <v>81</v>
      </c>
      <c r="C146" s="115">
        <v>96</v>
      </c>
      <c r="D146" s="116">
        <v>-0.51269035532994922</v>
      </c>
      <c r="E146" s="115">
        <v>0</v>
      </c>
      <c r="F146" s="116">
        <f t="shared" si="6"/>
        <v>-1</v>
      </c>
      <c r="G146" s="115">
        <v>106</v>
      </c>
      <c r="H146" s="116" t="str">
        <f t="shared" si="6"/>
        <v>-</v>
      </c>
      <c r="I146" s="115">
        <v>171</v>
      </c>
      <c r="J146" s="116">
        <f t="shared" si="6"/>
        <v>0.6132075471698113</v>
      </c>
      <c r="K146" s="115">
        <v>128</v>
      </c>
      <c r="L146" s="116">
        <f t="shared" si="6"/>
        <v>-0.25146198830409361</v>
      </c>
      <c r="M146" s="115">
        <v>154</v>
      </c>
      <c r="N146" s="116">
        <v>0.203125</v>
      </c>
      <c r="O146" s="116">
        <v>0.60416666666666674</v>
      </c>
    </row>
    <row r="147" spans="1:16" x14ac:dyDescent="0.25">
      <c r="B147" s="114" t="s">
        <v>83</v>
      </c>
      <c r="C147" s="115">
        <v>88</v>
      </c>
      <c r="D147" s="116">
        <v>-0.43225806451612903</v>
      </c>
      <c r="E147" s="115">
        <v>0</v>
      </c>
      <c r="F147" s="116">
        <f t="shared" si="6"/>
        <v>-1</v>
      </c>
      <c r="G147" s="115">
        <v>120</v>
      </c>
      <c r="H147" s="116" t="str">
        <f t="shared" si="6"/>
        <v>-</v>
      </c>
      <c r="I147" s="115">
        <v>136</v>
      </c>
      <c r="J147" s="116">
        <f t="shared" si="6"/>
        <v>0.1333333333333333</v>
      </c>
      <c r="K147" s="115">
        <v>108</v>
      </c>
      <c r="L147" s="116">
        <f t="shared" si="6"/>
        <v>-0.20588235294117652</v>
      </c>
      <c r="M147" s="115">
        <v>124</v>
      </c>
      <c r="N147" s="116">
        <v>0.14814814814814814</v>
      </c>
      <c r="O147" s="116">
        <v>0.40909090909090917</v>
      </c>
    </row>
    <row r="148" spans="1:16" x14ac:dyDescent="0.25">
      <c r="B148" s="114" t="s">
        <v>85</v>
      </c>
      <c r="C148" s="115">
        <v>140</v>
      </c>
      <c r="D148" s="116">
        <v>-0.23913043478260865</v>
      </c>
      <c r="E148" s="115">
        <v>86</v>
      </c>
      <c r="F148" s="116">
        <f t="shared" si="6"/>
        <v>-0.38571428571428568</v>
      </c>
      <c r="G148" s="115">
        <v>203</v>
      </c>
      <c r="H148" s="116">
        <f t="shared" si="6"/>
        <v>1.36046511627907</v>
      </c>
      <c r="I148" s="115">
        <v>193</v>
      </c>
      <c r="J148" s="116">
        <f t="shared" si="6"/>
        <v>-4.9261083743842415E-2</v>
      </c>
      <c r="K148" s="115">
        <v>235</v>
      </c>
      <c r="L148" s="116">
        <f t="shared" si="6"/>
        <v>0.21761658031088094</v>
      </c>
      <c r="M148" s="115">
        <v>173</v>
      </c>
      <c r="N148" s="116">
        <v>-0.2638297872340426</v>
      </c>
      <c r="O148" s="116">
        <v>0.23571428571428577</v>
      </c>
    </row>
    <row r="149" spans="1:16" x14ac:dyDescent="0.25">
      <c r="B149" s="114" t="s">
        <v>87</v>
      </c>
      <c r="C149" s="115">
        <v>179</v>
      </c>
      <c r="D149" s="116">
        <v>-0.25416666666666665</v>
      </c>
      <c r="E149" s="115">
        <v>42</v>
      </c>
      <c r="F149" s="116">
        <f t="shared" si="6"/>
        <v>-0.76536312849162014</v>
      </c>
      <c r="G149" s="115">
        <v>194</v>
      </c>
      <c r="H149" s="116">
        <f t="shared" si="6"/>
        <v>3.6190476190476186</v>
      </c>
      <c r="I149" s="115">
        <v>224</v>
      </c>
      <c r="J149" s="116">
        <f t="shared" si="6"/>
        <v>0.15463917525773185</v>
      </c>
      <c r="K149" s="115">
        <v>222</v>
      </c>
      <c r="L149" s="116">
        <f t="shared" si="6"/>
        <v>-8.9285714285713969E-3</v>
      </c>
      <c r="M149" s="115">
        <v>224</v>
      </c>
      <c r="N149" s="116">
        <v>9.009009009008917E-3</v>
      </c>
      <c r="O149" s="116">
        <v>0.25139664804469275</v>
      </c>
    </row>
    <row r="150" spans="1:16" x14ac:dyDescent="0.25">
      <c r="A150" s="120"/>
      <c r="B150" s="114" t="s">
        <v>89</v>
      </c>
      <c r="C150" s="115">
        <v>397</v>
      </c>
      <c r="D150" s="116">
        <v>-9.9750623441396957E-3</v>
      </c>
      <c r="E150" s="115">
        <v>40</v>
      </c>
      <c r="F150" s="116">
        <f t="shared" si="6"/>
        <v>-0.89924433249370272</v>
      </c>
      <c r="G150" s="115">
        <v>402</v>
      </c>
      <c r="H150" s="116">
        <f t="shared" si="6"/>
        <v>9.0500000000000007</v>
      </c>
      <c r="I150" s="115">
        <v>318</v>
      </c>
      <c r="J150" s="116">
        <f t="shared" si="6"/>
        <v>-0.20895522388059706</v>
      </c>
      <c r="K150" s="115">
        <v>304</v>
      </c>
      <c r="L150" s="116">
        <f t="shared" si="6"/>
        <v>-4.4025157232704393E-2</v>
      </c>
      <c r="M150" s="115"/>
      <c r="N150" s="116" t="s">
        <v>229</v>
      </c>
      <c r="O150" s="116" t="s">
        <v>229</v>
      </c>
    </row>
    <row r="151" spans="1:16" x14ac:dyDescent="0.25">
      <c r="B151" s="114" t="s">
        <v>91</v>
      </c>
      <c r="C151" s="115">
        <v>536</v>
      </c>
      <c r="D151" s="116">
        <v>-4.1144901610017937E-2</v>
      </c>
      <c r="E151" s="115">
        <v>103</v>
      </c>
      <c r="F151" s="116">
        <f t="shared" si="6"/>
        <v>-0.80783582089552242</v>
      </c>
      <c r="G151" s="115">
        <v>469</v>
      </c>
      <c r="H151" s="116">
        <f t="shared" si="6"/>
        <v>3.5533980582524274</v>
      </c>
      <c r="I151" s="115">
        <v>407</v>
      </c>
      <c r="J151" s="116">
        <f t="shared" si="6"/>
        <v>-0.13219616204690832</v>
      </c>
      <c r="K151" s="115">
        <v>499</v>
      </c>
      <c r="L151" s="116">
        <f t="shared" si="6"/>
        <v>0.22604422604422614</v>
      </c>
      <c r="M151" s="115"/>
      <c r="N151" s="116" t="s">
        <v>229</v>
      </c>
      <c r="O151" s="116" t="s">
        <v>229</v>
      </c>
    </row>
    <row r="152" spans="1:16" x14ac:dyDescent="0.25">
      <c r="B152" s="114" t="s">
        <v>93</v>
      </c>
      <c r="C152" s="115">
        <v>379</v>
      </c>
      <c r="D152" s="116">
        <v>-0.26833976833976836</v>
      </c>
      <c r="E152" s="115">
        <v>87</v>
      </c>
      <c r="F152" s="116">
        <f t="shared" si="6"/>
        <v>-0.77044854881266489</v>
      </c>
      <c r="G152" s="115">
        <v>348</v>
      </c>
      <c r="H152" s="116">
        <f t="shared" si="6"/>
        <v>3</v>
      </c>
      <c r="I152" s="115">
        <v>361</v>
      </c>
      <c r="J152" s="116">
        <f t="shared" si="6"/>
        <v>3.7356321839080442E-2</v>
      </c>
      <c r="K152" s="115">
        <v>422</v>
      </c>
      <c r="L152" s="116">
        <f t="shared" si="6"/>
        <v>0.1689750692520775</v>
      </c>
      <c r="M152" s="115"/>
      <c r="N152" s="116" t="s">
        <v>229</v>
      </c>
      <c r="O152" s="116" t="s">
        <v>229</v>
      </c>
    </row>
    <row r="153" spans="1:16" ht="15.75" x14ac:dyDescent="0.25">
      <c r="B153" s="117" t="s">
        <v>30</v>
      </c>
      <c r="C153" s="118">
        <v>3905</v>
      </c>
      <c r="D153" s="119">
        <v>-0.1373978352109565</v>
      </c>
      <c r="E153" s="118">
        <v>1481</v>
      </c>
      <c r="F153" s="119">
        <f t="shared" si="6"/>
        <v>-0.62074263764404614</v>
      </c>
      <c r="G153" s="118">
        <v>2395</v>
      </c>
      <c r="H153" s="119">
        <f t="shared" si="6"/>
        <v>0.61715057393652928</v>
      </c>
      <c r="I153" s="118">
        <v>3482</v>
      </c>
      <c r="J153" s="119">
        <f t="shared" si="6"/>
        <v>0.45386221294363249</v>
      </c>
      <c r="K153" s="118">
        <v>3814</v>
      </c>
      <c r="L153" s="119">
        <f t="shared" si="6"/>
        <v>9.5347501435956383E-2</v>
      </c>
      <c r="M153" s="118">
        <v>3010</v>
      </c>
      <c r="N153" s="119">
        <v>0.16261104673619164</v>
      </c>
      <c r="O153" s="119">
        <v>0.16081758580794436</v>
      </c>
    </row>
    <row r="154" spans="1:16" ht="6" customHeight="1" x14ac:dyDescent="0.25"/>
    <row r="155" spans="1:16" x14ac:dyDescent="0.25">
      <c r="B155" s="105" t="s">
        <v>55</v>
      </c>
      <c r="C155" s="105"/>
      <c r="D155" s="105"/>
      <c r="E155" s="105"/>
      <c r="F155" s="105"/>
      <c r="G155" s="105"/>
      <c r="H155" s="105"/>
      <c r="I155" s="105"/>
      <c r="J155" s="105"/>
      <c r="K155" s="105"/>
      <c r="L155" s="105"/>
      <c r="M155" s="105"/>
      <c r="N155" s="105"/>
      <c r="O155" s="105"/>
    </row>
    <row r="156" spans="1:16" x14ac:dyDescent="0.25">
      <c r="K156" s="120"/>
      <c r="N156" s="123"/>
    </row>
    <row r="157" spans="1:16" x14ac:dyDescent="0.25">
      <c r="O157" s="122"/>
    </row>
    <row r="158" spans="1:16" ht="48.75" customHeight="1" thickBot="1" x14ac:dyDescent="0.3">
      <c r="B158" s="270" t="s">
        <v>243</v>
      </c>
      <c r="C158" s="270"/>
      <c r="D158" s="270"/>
      <c r="E158" s="270"/>
      <c r="F158" s="270"/>
      <c r="G158" s="270"/>
      <c r="H158" s="270"/>
      <c r="I158" s="270"/>
      <c r="J158" s="270"/>
      <c r="K158" s="270"/>
      <c r="L158" s="270"/>
      <c r="M158" s="270"/>
      <c r="N158" s="270"/>
      <c r="O158" s="270"/>
      <c r="P158" s="1" t="s">
        <v>114</v>
      </c>
    </row>
    <row r="159" spans="1:16" ht="10.5" customHeight="1" thickBot="1" x14ac:dyDescent="0.3">
      <c r="B159" s="106"/>
      <c r="C159" s="107"/>
      <c r="D159" s="106"/>
      <c r="E159" s="106"/>
      <c r="F159" s="106"/>
      <c r="G159" s="106"/>
      <c r="H159" s="106"/>
      <c r="I159" s="106"/>
      <c r="J159" s="106"/>
      <c r="K159" s="106"/>
      <c r="L159" s="106"/>
      <c r="M159" s="4"/>
      <c r="N159" s="4"/>
      <c r="P159" s="1" t="s">
        <v>115</v>
      </c>
    </row>
    <row r="160" spans="1:16" ht="22.5" thickTop="1" thickBot="1" x14ac:dyDescent="0.3">
      <c r="B160" s="121" t="str">
        <f>C160</f>
        <v>Francia</v>
      </c>
      <c r="C160" s="292" t="s">
        <v>116</v>
      </c>
      <c r="D160" s="293"/>
      <c r="E160" s="293"/>
      <c r="F160" s="293"/>
      <c r="G160" s="293"/>
      <c r="H160" s="293"/>
      <c r="I160" s="293"/>
      <c r="J160" s="293"/>
      <c r="K160" s="293"/>
      <c r="L160" s="293"/>
      <c r="M160" s="293"/>
      <c r="N160" s="293"/>
      <c r="O160" s="294"/>
    </row>
    <row r="161" spans="2:15" ht="22.5" thickTop="1" thickBot="1" x14ac:dyDescent="0.3">
      <c r="B161" s="109"/>
      <c r="C161" s="295">
        <f>2019</f>
        <v>2019</v>
      </c>
      <c r="D161" s="296"/>
      <c r="E161" s="297">
        <v>2020</v>
      </c>
      <c r="F161" s="296"/>
      <c r="G161" s="297">
        <v>2021</v>
      </c>
      <c r="H161" s="296"/>
      <c r="I161" s="297">
        <v>2022</v>
      </c>
      <c r="J161" s="296"/>
      <c r="K161" s="297">
        <v>2023</v>
      </c>
      <c r="L161" s="296"/>
      <c r="M161" s="297">
        <v>2024</v>
      </c>
      <c r="N161" s="298"/>
      <c r="O161" s="299"/>
    </row>
    <row r="162" spans="2:15" ht="16.5" thickTop="1" thickBot="1" x14ac:dyDescent="0.3">
      <c r="B162" s="85"/>
      <c r="C162" s="111" t="s">
        <v>69</v>
      </c>
      <c r="D162" s="112" t="str">
        <f>CONCATENATE("var ",RIGHT(2019,2),"/",RIGHT(2018,2))</f>
        <v>var 19/18</v>
      </c>
      <c r="E162" s="113" t="s">
        <v>69</v>
      </c>
      <c r="F162" s="112" t="str">
        <f>CONCATENATE("var ",RIGHT(E161,2),"/",RIGHT(E161-1,2))</f>
        <v>var 20/19</v>
      </c>
      <c r="G162" s="113" t="s">
        <v>69</v>
      </c>
      <c r="H162" s="112" t="str">
        <f>CONCATENATE("var ",RIGHT(G161,2),"/",RIGHT(G161-1,2))</f>
        <v>var 21/20</v>
      </c>
      <c r="I162" s="113" t="s">
        <v>69</v>
      </c>
      <c r="J162" s="112" t="str">
        <f>CONCATENATE("var ",RIGHT(I161,2),"/",RIGHT(I161-1,2))</f>
        <v>var 22/21</v>
      </c>
      <c r="K162" s="113" t="s">
        <v>69</v>
      </c>
      <c r="L162" s="112" t="str">
        <f>CONCATENATE("var ",RIGHT(K161,2),"/",RIGHT(K161-1,2))</f>
        <v>var 23/22</v>
      </c>
      <c r="M162" s="113" t="s">
        <v>69</v>
      </c>
      <c r="N162" s="112" t="s">
        <v>273</v>
      </c>
      <c r="O162" s="112" t="s">
        <v>274</v>
      </c>
    </row>
    <row r="163" spans="2:15" x14ac:dyDescent="0.25">
      <c r="B163" s="114" t="s">
        <v>71</v>
      </c>
      <c r="C163" s="115">
        <v>369</v>
      </c>
      <c r="D163" s="116">
        <v>3.6516853932584192E-2</v>
      </c>
      <c r="E163" s="115">
        <v>405</v>
      </c>
      <c r="F163" s="116">
        <f t="shared" ref="F163:L175" si="7">IFERROR(E163/C163-1,"-")</f>
        <v>9.7560975609756184E-2</v>
      </c>
      <c r="G163" s="115">
        <v>213</v>
      </c>
      <c r="H163" s="116">
        <f t="shared" si="7"/>
        <v>-0.47407407407407409</v>
      </c>
      <c r="I163" s="115">
        <v>325</v>
      </c>
      <c r="J163" s="116">
        <f t="shared" si="7"/>
        <v>0.5258215962441315</v>
      </c>
      <c r="K163" s="115">
        <v>488</v>
      </c>
      <c r="L163" s="116">
        <f t="shared" si="7"/>
        <v>0.50153846153846149</v>
      </c>
      <c r="M163" s="115">
        <v>385</v>
      </c>
      <c r="N163" s="116">
        <v>-0.21106557377049184</v>
      </c>
      <c r="O163" s="116">
        <v>4.3360433604336057E-2</v>
      </c>
    </row>
    <row r="164" spans="2:15" x14ac:dyDescent="0.25">
      <c r="B164" s="114" t="s">
        <v>73</v>
      </c>
      <c r="C164" s="115">
        <v>333</v>
      </c>
      <c r="D164" s="116">
        <v>-0.22558139534883725</v>
      </c>
      <c r="E164" s="115">
        <v>500</v>
      </c>
      <c r="F164" s="116">
        <f t="shared" si="7"/>
        <v>0.50150150150150141</v>
      </c>
      <c r="G164" s="115">
        <v>271</v>
      </c>
      <c r="H164" s="116">
        <f t="shared" si="7"/>
        <v>-0.45799999999999996</v>
      </c>
      <c r="I164" s="115">
        <v>388</v>
      </c>
      <c r="J164" s="116">
        <f t="shared" si="7"/>
        <v>0.43173431734317336</v>
      </c>
      <c r="K164" s="115">
        <v>402</v>
      </c>
      <c r="L164" s="116">
        <f t="shared" si="7"/>
        <v>3.6082474226804218E-2</v>
      </c>
      <c r="M164" s="115">
        <v>456</v>
      </c>
      <c r="N164" s="116">
        <v>0.13432835820895517</v>
      </c>
      <c r="O164" s="116">
        <v>0.36936936936936937</v>
      </c>
    </row>
    <row r="165" spans="2:15" x14ac:dyDescent="0.25">
      <c r="B165" s="114" t="s">
        <v>75</v>
      </c>
      <c r="C165" s="115">
        <v>444</v>
      </c>
      <c r="D165" s="116">
        <v>0.1017369727047146</v>
      </c>
      <c r="E165" s="115">
        <v>256</v>
      </c>
      <c r="F165" s="116">
        <f t="shared" si="7"/>
        <v>-0.42342342342342343</v>
      </c>
      <c r="G165" s="115">
        <v>451</v>
      </c>
      <c r="H165" s="116">
        <f t="shared" si="7"/>
        <v>0.76171875</v>
      </c>
      <c r="I165" s="115">
        <v>383</v>
      </c>
      <c r="J165" s="116">
        <f t="shared" si="7"/>
        <v>-0.15077605321507759</v>
      </c>
      <c r="K165" s="115">
        <v>468</v>
      </c>
      <c r="L165" s="116">
        <f t="shared" si="7"/>
        <v>0.22193211488250664</v>
      </c>
      <c r="M165" s="115">
        <v>490</v>
      </c>
      <c r="N165" s="116">
        <v>4.7008547008547064E-2</v>
      </c>
      <c r="O165" s="116">
        <v>0.10360360360360366</v>
      </c>
    </row>
    <row r="166" spans="2:15" x14ac:dyDescent="0.25">
      <c r="B166" s="114" t="s">
        <v>77</v>
      </c>
      <c r="C166" s="115">
        <v>365</v>
      </c>
      <c r="D166" s="116">
        <v>-8.2914572864321578E-2</v>
      </c>
      <c r="E166" s="115">
        <v>0</v>
      </c>
      <c r="F166" s="116">
        <f t="shared" si="7"/>
        <v>-1</v>
      </c>
      <c r="G166" s="115">
        <v>363</v>
      </c>
      <c r="H166" s="116" t="str">
        <f t="shared" si="7"/>
        <v>-</v>
      </c>
      <c r="I166" s="115">
        <v>282</v>
      </c>
      <c r="J166" s="116">
        <f t="shared" si="7"/>
        <v>-0.22314049586776863</v>
      </c>
      <c r="K166" s="115">
        <v>300</v>
      </c>
      <c r="L166" s="116">
        <f t="shared" si="7"/>
        <v>6.3829787234042534E-2</v>
      </c>
      <c r="M166" s="115">
        <v>339</v>
      </c>
      <c r="N166" s="116">
        <v>0.12999999999999989</v>
      </c>
      <c r="O166" s="116">
        <v>-7.1232876712328808E-2</v>
      </c>
    </row>
    <row r="167" spans="2:15" x14ac:dyDescent="0.25">
      <c r="B167" s="114" t="s">
        <v>79</v>
      </c>
      <c r="C167" s="115">
        <v>321</v>
      </c>
      <c r="D167" s="116">
        <v>-5.5882352941176494E-2</v>
      </c>
      <c r="E167" s="115">
        <v>0</v>
      </c>
      <c r="F167" s="116">
        <f t="shared" si="7"/>
        <v>-1</v>
      </c>
      <c r="G167" s="115">
        <v>392</v>
      </c>
      <c r="H167" s="116" t="str">
        <f t="shared" si="7"/>
        <v>-</v>
      </c>
      <c r="I167" s="115">
        <v>279</v>
      </c>
      <c r="J167" s="116">
        <f t="shared" si="7"/>
        <v>-0.28826530612244894</v>
      </c>
      <c r="K167" s="115">
        <v>309</v>
      </c>
      <c r="L167" s="116">
        <f t="shared" si="7"/>
        <v>0.10752688172043001</v>
      </c>
      <c r="M167" s="115">
        <v>294</v>
      </c>
      <c r="N167" s="116">
        <v>-4.8543689320388328E-2</v>
      </c>
      <c r="O167" s="116">
        <v>-8.411214953271029E-2</v>
      </c>
    </row>
    <row r="168" spans="2:15" x14ac:dyDescent="0.25">
      <c r="B168" s="114" t="s">
        <v>81</v>
      </c>
      <c r="C168" s="115">
        <v>183</v>
      </c>
      <c r="D168" s="116">
        <v>-0.32967032967032972</v>
      </c>
      <c r="E168" s="115">
        <v>0</v>
      </c>
      <c r="F168" s="116">
        <f t="shared" si="7"/>
        <v>-1</v>
      </c>
      <c r="G168" s="115">
        <v>162</v>
      </c>
      <c r="H168" s="116" t="str">
        <f t="shared" si="7"/>
        <v>-</v>
      </c>
      <c r="I168" s="115">
        <v>122</v>
      </c>
      <c r="J168" s="116">
        <f t="shared" si="7"/>
        <v>-0.24691358024691357</v>
      </c>
      <c r="K168" s="115">
        <v>150</v>
      </c>
      <c r="L168" s="116">
        <f t="shared" si="7"/>
        <v>0.22950819672131151</v>
      </c>
      <c r="M168" s="115">
        <v>118</v>
      </c>
      <c r="N168" s="116">
        <v>-0.21333333333333337</v>
      </c>
      <c r="O168" s="116">
        <v>-0.35519125683060104</v>
      </c>
    </row>
    <row r="169" spans="2:15" x14ac:dyDescent="0.25">
      <c r="B169" s="114" t="s">
        <v>83</v>
      </c>
      <c r="C169" s="115">
        <v>203</v>
      </c>
      <c r="D169" s="116">
        <v>-0.29757785467128028</v>
      </c>
      <c r="E169" s="115">
        <v>0</v>
      </c>
      <c r="F169" s="116">
        <f t="shared" si="7"/>
        <v>-1</v>
      </c>
      <c r="G169" s="115">
        <v>212</v>
      </c>
      <c r="H169" s="116" t="str">
        <f t="shared" si="7"/>
        <v>-</v>
      </c>
      <c r="I169" s="115">
        <v>200</v>
      </c>
      <c r="J169" s="116">
        <f t="shared" si="7"/>
        <v>-5.6603773584905648E-2</v>
      </c>
      <c r="K169" s="115">
        <v>186</v>
      </c>
      <c r="L169" s="116">
        <f t="shared" si="7"/>
        <v>-6.9999999999999951E-2</v>
      </c>
      <c r="M169" s="115">
        <v>184</v>
      </c>
      <c r="N169" s="116">
        <v>-1.0752688172043001E-2</v>
      </c>
      <c r="O169" s="116">
        <v>-9.3596059113300489E-2</v>
      </c>
    </row>
    <row r="170" spans="2:15" x14ac:dyDescent="0.25">
      <c r="B170" s="114" t="s">
        <v>85</v>
      </c>
      <c r="C170" s="115">
        <v>380</v>
      </c>
      <c r="D170" s="116">
        <v>5.2910052910053462E-3</v>
      </c>
      <c r="E170" s="115">
        <v>285</v>
      </c>
      <c r="F170" s="116">
        <f t="shared" si="7"/>
        <v>-0.25</v>
      </c>
      <c r="G170" s="115">
        <v>419</v>
      </c>
      <c r="H170" s="116">
        <f t="shared" si="7"/>
        <v>0.47017543859649114</v>
      </c>
      <c r="I170" s="115">
        <v>410</v>
      </c>
      <c r="J170" s="116">
        <f t="shared" si="7"/>
        <v>-2.1479713603818618E-2</v>
      </c>
      <c r="K170" s="115">
        <v>328</v>
      </c>
      <c r="L170" s="116">
        <f t="shared" si="7"/>
        <v>-0.19999999999999996</v>
      </c>
      <c r="M170" s="115">
        <v>334</v>
      </c>
      <c r="N170" s="116">
        <v>1.8292682926829285E-2</v>
      </c>
      <c r="O170" s="116">
        <v>-0.12105263157894741</v>
      </c>
    </row>
    <row r="171" spans="2:15" x14ac:dyDescent="0.25">
      <c r="B171" s="114" t="s">
        <v>87</v>
      </c>
      <c r="C171" s="115">
        <v>211</v>
      </c>
      <c r="D171" s="116">
        <v>0.14673913043478271</v>
      </c>
      <c r="E171" s="115">
        <v>48</v>
      </c>
      <c r="F171" s="116">
        <f t="shared" si="7"/>
        <v>-0.77251184834123221</v>
      </c>
      <c r="G171" s="115">
        <v>180</v>
      </c>
      <c r="H171" s="116">
        <f t="shared" si="7"/>
        <v>2.75</v>
      </c>
      <c r="I171" s="115">
        <v>154</v>
      </c>
      <c r="J171" s="116">
        <f t="shared" si="7"/>
        <v>-0.14444444444444449</v>
      </c>
      <c r="K171" s="115">
        <v>208</v>
      </c>
      <c r="L171" s="116">
        <f t="shared" si="7"/>
        <v>0.35064935064935066</v>
      </c>
      <c r="M171" s="115">
        <v>152</v>
      </c>
      <c r="N171" s="116">
        <v>-0.26923076923076927</v>
      </c>
      <c r="O171" s="116">
        <v>-0.27962085308056872</v>
      </c>
    </row>
    <row r="172" spans="2:15" x14ac:dyDescent="0.25">
      <c r="B172" s="114" t="s">
        <v>89</v>
      </c>
      <c r="C172" s="115">
        <v>329</v>
      </c>
      <c r="D172" s="116">
        <v>-0.25056947608200453</v>
      </c>
      <c r="E172" s="115">
        <v>154</v>
      </c>
      <c r="F172" s="116">
        <f t="shared" si="7"/>
        <v>-0.53191489361702127</v>
      </c>
      <c r="G172" s="115">
        <v>204</v>
      </c>
      <c r="H172" s="116">
        <f t="shared" si="7"/>
        <v>0.32467532467532467</v>
      </c>
      <c r="I172" s="115">
        <v>223</v>
      </c>
      <c r="J172" s="116">
        <f t="shared" si="7"/>
        <v>9.3137254901960675E-2</v>
      </c>
      <c r="K172" s="115">
        <v>290</v>
      </c>
      <c r="L172" s="116">
        <f t="shared" si="7"/>
        <v>0.30044843049327352</v>
      </c>
      <c r="M172" s="115"/>
      <c r="N172" s="116" t="s">
        <v>229</v>
      </c>
      <c r="O172" s="116" t="s">
        <v>229</v>
      </c>
    </row>
    <row r="173" spans="2:15" x14ac:dyDescent="0.25">
      <c r="B173" s="114" t="s">
        <v>91</v>
      </c>
      <c r="C173" s="115">
        <v>378</v>
      </c>
      <c r="D173" s="116">
        <v>0.36462093862815892</v>
      </c>
      <c r="E173" s="115">
        <v>49</v>
      </c>
      <c r="F173" s="116">
        <f t="shared" si="7"/>
        <v>-0.87037037037037035</v>
      </c>
      <c r="G173" s="115">
        <v>310</v>
      </c>
      <c r="H173" s="116">
        <f t="shared" si="7"/>
        <v>5.3265306122448983</v>
      </c>
      <c r="I173" s="115">
        <v>289</v>
      </c>
      <c r="J173" s="116">
        <f t="shared" si="7"/>
        <v>-6.7741935483870974E-2</v>
      </c>
      <c r="K173" s="115">
        <v>452</v>
      </c>
      <c r="L173" s="116">
        <f t="shared" si="7"/>
        <v>0.56401384083044981</v>
      </c>
      <c r="M173" s="115"/>
      <c r="N173" s="116" t="s">
        <v>229</v>
      </c>
      <c r="O173" s="116" t="s">
        <v>229</v>
      </c>
    </row>
    <row r="174" spans="2:15" x14ac:dyDescent="0.25">
      <c r="B174" s="114" t="s">
        <v>93</v>
      </c>
      <c r="C174" s="115">
        <v>338</v>
      </c>
      <c r="D174" s="116">
        <v>-0.1333333333333333</v>
      </c>
      <c r="E174" s="115">
        <v>202</v>
      </c>
      <c r="F174" s="116">
        <f t="shared" si="7"/>
        <v>-0.40236686390532539</v>
      </c>
      <c r="G174" s="115">
        <v>364</v>
      </c>
      <c r="H174" s="116">
        <f t="shared" si="7"/>
        <v>0.80198019801980203</v>
      </c>
      <c r="I174" s="115">
        <v>357</v>
      </c>
      <c r="J174" s="116">
        <f t="shared" si="7"/>
        <v>-1.9230769230769273E-2</v>
      </c>
      <c r="K174" s="115">
        <v>304</v>
      </c>
      <c r="L174" s="116">
        <f t="shared" si="7"/>
        <v>-0.14845938375350143</v>
      </c>
      <c r="M174" s="115"/>
      <c r="N174" s="116" t="s">
        <v>229</v>
      </c>
      <c r="O174" s="116" t="s">
        <v>229</v>
      </c>
    </row>
    <row r="175" spans="2:15" ht="15.75" x14ac:dyDescent="0.25">
      <c r="B175" s="117" t="s">
        <v>30</v>
      </c>
      <c r="C175" s="118">
        <v>3854</v>
      </c>
      <c r="D175" s="119">
        <v>-7.2889102718306509E-2</v>
      </c>
      <c r="E175" s="118">
        <v>1974</v>
      </c>
      <c r="F175" s="119">
        <f t="shared" si="7"/>
        <v>-0.48780487804878048</v>
      </c>
      <c r="G175" s="118">
        <v>3541</v>
      </c>
      <c r="H175" s="119">
        <f t="shared" si="7"/>
        <v>0.79381965552178313</v>
      </c>
      <c r="I175" s="118">
        <v>3412</v>
      </c>
      <c r="J175" s="119">
        <f t="shared" si="7"/>
        <v>-3.6430386896356914E-2</v>
      </c>
      <c r="K175" s="118">
        <v>3885</v>
      </c>
      <c r="L175" s="119">
        <f t="shared" si="7"/>
        <v>0.13862837045720977</v>
      </c>
      <c r="M175" s="118">
        <v>2752</v>
      </c>
      <c r="N175" s="119">
        <v>-3.0644593166607947E-2</v>
      </c>
      <c r="O175" s="119">
        <v>-2.0291918832324618E-2</v>
      </c>
    </row>
    <row r="176" spans="2:15" ht="6" customHeight="1" x14ac:dyDescent="0.25"/>
    <row r="177" spans="1:16" x14ac:dyDescent="0.25">
      <c r="B177" s="105" t="s">
        <v>55</v>
      </c>
      <c r="C177" s="105"/>
      <c r="D177" s="105"/>
      <c r="E177" s="105"/>
      <c r="F177" s="105"/>
      <c r="G177" s="105"/>
      <c r="H177" s="105"/>
      <c r="I177" s="105"/>
      <c r="J177" s="105"/>
      <c r="K177" s="124"/>
      <c r="L177" s="105"/>
      <c r="M177" s="105"/>
      <c r="N177" s="105"/>
      <c r="O177" s="105"/>
    </row>
    <row r="180" spans="1:16" ht="48.75" customHeight="1" thickBot="1" x14ac:dyDescent="0.3">
      <c r="B180" s="270" t="s">
        <v>244</v>
      </c>
      <c r="C180" s="270"/>
      <c r="D180" s="270"/>
      <c r="E180" s="270"/>
      <c r="F180" s="270"/>
      <c r="G180" s="270"/>
      <c r="H180" s="270"/>
      <c r="I180" s="270"/>
      <c r="J180" s="270"/>
      <c r="K180" s="270"/>
      <c r="L180" s="270"/>
      <c r="M180" s="270"/>
      <c r="N180" s="270"/>
      <c r="O180" s="270"/>
      <c r="P180" s="1" t="s">
        <v>117</v>
      </c>
    </row>
    <row r="181" spans="1:16" ht="10.5" customHeight="1" thickBot="1" x14ac:dyDescent="0.3">
      <c r="B181" s="106"/>
      <c r="C181" s="107"/>
      <c r="D181" s="106"/>
      <c r="E181" s="106"/>
      <c r="F181" s="106"/>
      <c r="G181" s="106"/>
      <c r="H181" s="106"/>
      <c r="I181" s="106"/>
      <c r="J181" s="106"/>
      <c r="K181" s="106"/>
      <c r="L181" s="106"/>
      <c r="M181" s="4"/>
      <c r="N181" s="4"/>
      <c r="P181" s="1" t="s">
        <v>118</v>
      </c>
    </row>
    <row r="182" spans="1:16" ht="22.5" thickTop="1" thickBot="1" x14ac:dyDescent="0.3">
      <c r="B182" s="121" t="str">
        <f>C182</f>
        <v>Bélgica</v>
      </c>
      <c r="C182" s="292" t="s">
        <v>119</v>
      </c>
      <c r="D182" s="293"/>
      <c r="E182" s="293"/>
      <c r="F182" s="293"/>
      <c r="G182" s="293"/>
      <c r="H182" s="293"/>
      <c r="I182" s="293"/>
      <c r="J182" s="293"/>
      <c r="K182" s="293"/>
      <c r="L182" s="293"/>
      <c r="M182" s="293"/>
      <c r="N182" s="293"/>
      <c r="O182" s="294"/>
    </row>
    <row r="183" spans="1:16" ht="22.5" thickTop="1" thickBot="1" x14ac:dyDescent="0.3">
      <c r="B183" s="109"/>
      <c r="C183" s="295">
        <f>2019</f>
        <v>2019</v>
      </c>
      <c r="D183" s="296"/>
      <c r="E183" s="297">
        <v>2020</v>
      </c>
      <c r="F183" s="296"/>
      <c r="G183" s="297">
        <v>2021</v>
      </c>
      <c r="H183" s="296"/>
      <c r="I183" s="297">
        <v>2022</v>
      </c>
      <c r="J183" s="296"/>
      <c r="K183" s="297">
        <v>2023</v>
      </c>
      <c r="L183" s="296"/>
      <c r="M183" s="297">
        <v>2024</v>
      </c>
      <c r="N183" s="298"/>
      <c r="O183" s="299"/>
    </row>
    <row r="184" spans="1:16" ht="16.5" thickTop="1" thickBot="1" x14ac:dyDescent="0.3">
      <c r="B184" s="85"/>
      <c r="C184" s="111" t="s">
        <v>69</v>
      </c>
      <c r="D184" s="112" t="str">
        <f>CONCATENATE("var ",RIGHT(2019,2),"/",RIGHT(2018,2))</f>
        <v>var 19/18</v>
      </c>
      <c r="E184" s="113" t="s">
        <v>69</v>
      </c>
      <c r="F184" s="112" t="str">
        <f>CONCATENATE("var ",RIGHT(E183,2),"/",RIGHT(E183-1,2))</f>
        <v>var 20/19</v>
      </c>
      <c r="G184" s="113" t="s">
        <v>69</v>
      </c>
      <c r="H184" s="112" t="str">
        <f>CONCATENATE("var ",RIGHT(G183,2),"/",RIGHT(G183-1,2))</f>
        <v>var 21/20</v>
      </c>
      <c r="I184" s="113" t="s">
        <v>69</v>
      </c>
      <c r="J184" s="112" t="str">
        <f>CONCATENATE("var ",RIGHT(I183,2),"/",RIGHT(I183-1,2))</f>
        <v>var 22/21</v>
      </c>
      <c r="K184" s="113" t="s">
        <v>69</v>
      </c>
      <c r="L184" s="112" t="str">
        <f>CONCATENATE("var ",RIGHT(K183,2),"/",RIGHT(K183-1,2))</f>
        <v>var 23/22</v>
      </c>
      <c r="M184" s="113" t="s">
        <v>69</v>
      </c>
      <c r="N184" s="112" t="s">
        <v>273</v>
      </c>
      <c r="O184" s="112" t="s">
        <v>274</v>
      </c>
    </row>
    <row r="185" spans="1:16" x14ac:dyDescent="0.25">
      <c r="A185" s="120"/>
      <c r="B185" s="114" t="s">
        <v>71</v>
      </c>
      <c r="C185" s="115">
        <v>74</v>
      </c>
      <c r="D185" s="116">
        <v>0.23333333333333339</v>
      </c>
      <c r="E185" s="115">
        <v>71</v>
      </c>
      <c r="F185" s="116">
        <f t="shared" ref="F185:L197" si="8">IFERROR(E185/C185-1,"-")</f>
        <v>-4.0540540540540571E-2</v>
      </c>
      <c r="G185" s="115">
        <v>24</v>
      </c>
      <c r="H185" s="116">
        <f t="shared" si="8"/>
        <v>-0.6619718309859155</v>
      </c>
      <c r="I185" s="115">
        <v>89</v>
      </c>
      <c r="J185" s="116">
        <f t="shared" si="8"/>
        <v>2.7083333333333335</v>
      </c>
      <c r="K185" s="115">
        <v>81</v>
      </c>
      <c r="L185" s="116">
        <f t="shared" si="8"/>
        <v>-8.98876404494382E-2</v>
      </c>
      <c r="M185" s="115">
        <v>171</v>
      </c>
      <c r="N185" s="116">
        <v>1.1111111111111112</v>
      </c>
      <c r="O185" s="116">
        <v>1.310810810810811</v>
      </c>
    </row>
    <row r="186" spans="1:16" x14ac:dyDescent="0.25">
      <c r="B186" s="114" t="s">
        <v>73</v>
      </c>
      <c r="C186" s="115">
        <v>64</v>
      </c>
      <c r="D186" s="116">
        <v>0.33333333333333326</v>
      </c>
      <c r="E186" s="115">
        <v>29</v>
      </c>
      <c r="F186" s="116">
        <f t="shared" si="8"/>
        <v>-0.546875</v>
      </c>
      <c r="G186" s="115">
        <v>14</v>
      </c>
      <c r="H186" s="116">
        <f t="shared" si="8"/>
        <v>-0.51724137931034475</v>
      </c>
      <c r="I186" s="115">
        <v>81</v>
      </c>
      <c r="J186" s="116">
        <f t="shared" si="8"/>
        <v>4.7857142857142856</v>
      </c>
      <c r="K186" s="115">
        <v>33</v>
      </c>
      <c r="L186" s="116">
        <f t="shared" si="8"/>
        <v>-0.59259259259259256</v>
      </c>
      <c r="M186" s="115">
        <v>95</v>
      </c>
      <c r="N186" s="116">
        <v>1.8787878787878789</v>
      </c>
      <c r="O186" s="116">
        <v>0.484375</v>
      </c>
    </row>
    <row r="187" spans="1:16" x14ac:dyDescent="0.25">
      <c r="B187" s="114" t="s">
        <v>75</v>
      </c>
      <c r="C187" s="115">
        <v>61</v>
      </c>
      <c r="D187" s="116">
        <v>-0.17567567567567566</v>
      </c>
      <c r="E187" s="115">
        <v>32</v>
      </c>
      <c r="F187" s="116">
        <f t="shared" si="8"/>
        <v>-0.47540983606557374</v>
      </c>
      <c r="G187" s="115">
        <v>12</v>
      </c>
      <c r="H187" s="116">
        <f t="shared" si="8"/>
        <v>-0.625</v>
      </c>
      <c r="I187" s="115">
        <v>80</v>
      </c>
      <c r="J187" s="116">
        <f t="shared" si="8"/>
        <v>5.666666666666667</v>
      </c>
      <c r="K187" s="115">
        <v>71</v>
      </c>
      <c r="L187" s="116">
        <f t="shared" si="8"/>
        <v>-0.11250000000000004</v>
      </c>
      <c r="M187" s="115">
        <v>93</v>
      </c>
      <c r="N187" s="116">
        <v>0.3098591549295775</v>
      </c>
      <c r="O187" s="116">
        <v>0.52459016393442615</v>
      </c>
    </row>
    <row r="188" spans="1:16" x14ac:dyDescent="0.25">
      <c r="B188" s="114" t="s">
        <v>77</v>
      </c>
      <c r="C188" s="115">
        <v>47</v>
      </c>
      <c r="D188" s="116">
        <v>-0.1132075471698113</v>
      </c>
      <c r="E188" s="115">
        <v>0</v>
      </c>
      <c r="F188" s="116">
        <f t="shared" si="8"/>
        <v>-1</v>
      </c>
      <c r="G188" s="115">
        <v>35</v>
      </c>
      <c r="H188" s="116" t="str">
        <f t="shared" si="8"/>
        <v>-</v>
      </c>
      <c r="I188" s="115">
        <v>60</v>
      </c>
      <c r="J188" s="116">
        <f t="shared" si="8"/>
        <v>0.71428571428571419</v>
      </c>
      <c r="K188" s="115">
        <v>44</v>
      </c>
      <c r="L188" s="116">
        <f t="shared" si="8"/>
        <v>-0.26666666666666672</v>
      </c>
      <c r="M188" s="115">
        <v>87</v>
      </c>
      <c r="N188" s="116">
        <v>0.97727272727272729</v>
      </c>
      <c r="O188" s="116">
        <v>0.85106382978723394</v>
      </c>
    </row>
    <row r="189" spans="1:16" x14ac:dyDescent="0.25">
      <c r="B189" s="114" t="s">
        <v>79</v>
      </c>
      <c r="C189" s="115">
        <v>19</v>
      </c>
      <c r="D189" s="116">
        <v>0.26666666666666661</v>
      </c>
      <c r="E189" s="115">
        <v>0</v>
      </c>
      <c r="F189" s="116">
        <f t="shared" si="8"/>
        <v>-1</v>
      </c>
      <c r="G189" s="115">
        <v>44</v>
      </c>
      <c r="H189" s="116" t="str">
        <f t="shared" si="8"/>
        <v>-</v>
      </c>
      <c r="I189" s="115">
        <v>32</v>
      </c>
      <c r="J189" s="116">
        <f t="shared" si="8"/>
        <v>-0.27272727272727271</v>
      </c>
      <c r="K189" s="115">
        <v>32</v>
      </c>
      <c r="L189" s="116">
        <f t="shared" si="8"/>
        <v>0</v>
      </c>
      <c r="M189" s="115">
        <v>49</v>
      </c>
      <c r="N189" s="116">
        <v>0.53125</v>
      </c>
      <c r="O189" s="116">
        <v>1.5789473684210527</v>
      </c>
    </row>
    <row r="190" spans="1:16" x14ac:dyDescent="0.25">
      <c r="B190" s="114" t="s">
        <v>120</v>
      </c>
      <c r="C190" s="115">
        <v>44</v>
      </c>
      <c r="D190" s="116">
        <v>1.3157894736842106</v>
      </c>
      <c r="E190" s="115">
        <v>0</v>
      </c>
      <c r="F190" s="116">
        <f t="shared" si="8"/>
        <v>-1</v>
      </c>
      <c r="G190" s="115">
        <v>25</v>
      </c>
      <c r="H190" s="116" t="str">
        <f t="shared" si="8"/>
        <v>-</v>
      </c>
      <c r="I190" s="115">
        <v>31</v>
      </c>
      <c r="J190" s="116">
        <f t="shared" si="8"/>
        <v>0.24</v>
      </c>
      <c r="K190" s="115">
        <v>32</v>
      </c>
      <c r="L190" s="116">
        <f t="shared" si="8"/>
        <v>3.2258064516129004E-2</v>
      </c>
      <c r="M190" s="115">
        <v>19</v>
      </c>
      <c r="N190" s="116">
        <v>-0.40625</v>
      </c>
      <c r="O190" s="116">
        <v>-0.56818181818181812</v>
      </c>
    </row>
    <row r="191" spans="1:16" x14ac:dyDescent="0.25">
      <c r="B191" s="114" t="s">
        <v>83</v>
      </c>
      <c r="C191" s="115">
        <v>26</v>
      </c>
      <c r="D191" s="116">
        <v>0.36842105263157898</v>
      </c>
      <c r="E191" s="115">
        <v>0</v>
      </c>
      <c r="F191" s="116">
        <f t="shared" si="8"/>
        <v>-1</v>
      </c>
      <c r="G191" s="115">
        <v>43</v>
      </c>
      <c r="H191" s="116" t="str">
        <f t="shared" si="8"/>
        <v>-</v>
      </c>
      <c r="I191" s="115">
        <v>61</v>
      </c>
      <c r="J191" s="116">
        <f t="shared" si="8"/>
        <v>0.41860465116279078</v>
      </c>
      <c r="K191" s="115">
        <v>43</v>
      </c>
      <c r="L191" s="116">
        <f t="shared" si="8"/>
        <v>-0.29508196721311475</v>
      </c>
      <c r="M191" s="115">
        <v>25</v>
      </c>
      <c r="N191" s="116">
        <v>-0.41860465116279066</v>
      </c>
      <c r="O191" s="116">
        <v>-3.8461538461538436E-2</v>
      </c>
    </row>
    <row r="192" spans="1:16" x14ac:dyDescent="0.25">
      <c r="B192" s="114" t="s">
        <v>85</v>
      </c>
      <c r="C192" s="115">
        <v>22</v>
      </c>
      <c r="D192" s="116">
        <v>0.29411764705882359</v>
      </c>
      <c r="E192" s="115">
        <v>45</v>
      </c>
      <c r="F192" s="116">
        <f t="shared" si="8"/>
        <v>1.0454545454545454</v>
      </c>
      <c r="G192" s="115">
        <v>39</v>
      </c>
      <c r="H192" s="116">
        <f t="shared" si="8"/>
        <v>-0.1333333333333333</v>
      </c>
      <c r="I192" s="115">
        <v>59</v>
      </c>
      <c r="J192" s="116">
        <f t="shared" si="8"/>
        <v>0.51282051282051277</v>
      </c>
      <c r="K192" s="115">
        <v>49</v>
      </c>
      <c r="L192" s="116">
        <f t="shared" si="8"/>
        <v>-0.16949152542372881</v>
      </c>
      <c r="M192" s="115">
        <v>59</v>
      </c>
      <c r="N192" s="116">
        <v>0.20408163265306123</v>
      </c>
      <c r="O192" s="116">
        <v>1.6818181818181817</v>
      </c>
    </row>
    <row r="193" spans="2:16" x14ac:dyDescent="0.25">
      <c r="B193" s="114" t="s">
        <v>87</v>
      </c>
      <c r="C193" s="115">
        <v>16</v>
      </c>
      <c r="D193" s="116">
        <v>-0.38461538461538458</v>
      </c>
      <c r="E193" s="115">
        <v>40</v>
      </c>
      <c r="F193" s="116">
        <f t="shared" si="8"/>
        <v>1.5</v>
      </c>
      <c r="G193" s="115">
        <v>36</v>
      </c>
      <c r="H193" s="116">
        <f t="shared" si="8"/>
        <v>-9.9999999999999978E-2</v>
      </c>
      <c r="I193" s="115">
        <v>30</v>
      </c>
      <c r="J193" s="116">
        <f t="shared" si="8"/>
        <v>-0.16666666666666663</v>
      </c>
      <c r="K193" s="115">
        <v>41</v>
      </c>
      <c r="L193" s="116">
        <f t="shared" si="8"/>
        <v>0.3666666666666667</v>
      </c>
      <c r="M193" s="115">
        <v>41</v>
      </c>
      <c r="N193" s="116">
        <v>0</v>
      </c>
      <c r="O193" s="116">
        <v>1.5625</v>
      </c>
    </row>
    <row r="194" spans="2:16" x14ac:dyDescent="0.25">
      <c r="B194" s="114" t="s">
        <v>89</v>
      </c>
      <c r="C194" s="115">
        <v>27</v>
      </c>
      <c r="D194" s="116">
        <v>-0.4375</v>
      </c>
      <c r="E194" s="115">
        <v>39</v>
      </c>
      <c r="F194" s="116">
        <f t="shared" si="8"/>
        <v>0.44444444444444442</v>
      </c>
      <c r="G194" s="115">
        <v>62</v>
      </c>
      <c r="H194" s="116">
        <f t="shared" si="8"/>
        <v>0.58974358974358965</v>
      </c>
      <c r="I194" s="115">
        <v>37</v>
      </c>
      <c r="J194" s="116">
        <f t="shared" si="8"/>
        <v>-0.40322580645161288</v>
      </c>
      <c r="K194" s="115">
        <v>40</v>
      </c>
      <c r="L194" s="116">
        <f t="shared" si="8"/>
        <v>8.1081081081081141E-2</v>
      </c>
      <c r="M194" s="115"/>
      <c r="N194" s="116" t="s">
        <v>229</v>
      </c>
      <c r="O194" s="116" t="s">
        <v>229</v>
      </c>
    </row>
    <row r="195" spans="2:16" x14ac:dyDescent="0.25">
      <c r="B195" s="114" t="s">
        <v>91</v>
      </c>
      <c r="C195" s="115">
        <v>79</v>
      </c>
      <c r="D195" s="116">
        <v>0.41071428571428581</v>
      </c>
      <c r="E195" s="115">
        <v>51</v>
      </c>
      <c r="F195" s="116">
        <f t="shared" si="8"/>
        <v>-0.35443037974683544</v>
      </c>
      <c r="G195" s="115">
        <v>104</v>
      </c>
      <c r="H195" s="116">
        <f t="shared" si="8"/>
        <v>1.0392156862745097</v>
      </c>
      <c r="I195" s="115">
        <v>70</v>
      </c>
      <c r="J195" s="116">
        <f t="shared" si="8"/>
        <v>-0.32692307692307687</v>
      </c>
      <c r="K195" s="115">
        <v>105</v>
      </c>
      <c r="L195" s="116">
        <f t="shared" si="8"/>
        <v>0.5</v>
      </c>
      <c r="M195" s="115"/>
      <c r="N195" s="116" t="s">
        <v>229</v>
      </c>
      <c r="O195" s="116" t="s">
        <v>229</v>
      </c>
    </row>
    <row r="196" spans="2:16" x14ac:dyDescent="0.25">
      <c r="B196" s="114" t="s">
        <v>93</v>
      </c>
      <c r="C196" s="115">
        <v>40</v>
      </c>
      <c r="D196" s="116">
        <v>-0.59595959595959602</v>
      </c>
      <c r="E196" s="115">
        <v>20</v>
      </c>
      <c r="F196" s="116">
        <f t="shared" si="8"/>
        <v>-0.5</v>
      </c>
      <c r="G196" s="115">
        <v>69</v>
      </c>
      <c r="H196" s="116">
        <f t="shared" si="8"/>
        <v>2.4500000000000002</v>
      </c>
      <c r="I196" s="115">
        <v>52</v>
      </c>
      <c r="J196" s="116">
        <f t="shared" si="8"/>
        <v>-0.24637681159420288</v>
      </c>
      <c r="K196" s="115">
        <v>79</v>
      </c>
      <c r="L196" s="116">
        <f t="shared" si="8"/>
        <v>0.51923076923076916</v>
      </c>
      <c r="M196" s="115"/>
      <c r="N196" s="116" t="s">
        <v>229</v>
      </c>
      <c r="O196" s="116" t="s">
        <v>229</v>
      </c>
    </row>
    <row r="197" spans="2:16" ht="15.75" x14ac:dyDescent="0.25">
      <c r="B197" s="117" t="s">
        <v>30</v>
      </c>
      <c r="C197" s="118">
        <v>519</v>
      </c>
      <c r="D197" s="119">
        <v>-2.8089887640449396E-2</v>
      </c>
      <c r="E197" s="118">
        <v>351</v>
      </c>
      <c r="F197" s="119">
        <f t="shared" si="8"/>
        <v>-0.32369942196531787</v>
      </c>
      <c r="G197" s="118">
        <v>507</v>
      </c>
      <c r="H197" s="119">
        <f t="shared" si="8"/>
        <v>0.44444444444444442</v>
      </c>
      <c r="I197" s="118">
        <v>682</v>
      </c>
      <c r="J197" s="119">
        <f t="shared" si="8"/>
        <v>0.34516765285996054</v>
      </c>
      <c r="K197" s="118">
        <v>650</v>
      </c>
      <c r="L197" s="119">
        <f t="shared" si="8"/>
        <v>-4.692082111436946E-2</v>
      </c>
      <c r="M197" s="118">
        <v>639</v>
      </c>
      <c r="N197" s="119">
        <v>0.5</v>
      </c>
      <c r="O197" s="119">
        <v>0.71313672922252014</v>
      </c>
    </row>
    <row r="198" spans="2:16" ht="6" customHeight="1" x14ac:dyDescent="0.25"/>
    <row r="199" spans="2:16" x14ac:dyDescent="0.25">
      <c r="B199" s="105" t="s">
        <v>55</v>
      </c>
      <c r="C199" s="105"/>
      <c r="D199" s="105"/>
      <c r="E199" s="105"/>
      <c r="F199" s="105"/>
      <c r="G199" s="105"/>
      <c r="H199" s="105"/>
      <c r="I199" s="105"/>
      <c r="J199" s="105"/>
      <c r="K199" s="105"/>
      <c r="L199" s="105"/>
      <c r="M199" s="105"/>
      <c r="N199" s="105"/>
      <c r="O199" s="105"/>
    </row>
    <row r="200" spans="2:16" x14ac:dyDescent="0.25">
      <c r="K200" s="120"/>
    </row>
    <row r="201" spans="2:16" x14ac:dyDescent="0.25">
      <c r="C201" s="79"/>
      <c r="D201" s="79"/>
      <c r="E201" s="79"/>
      <c r="F201" s="79"/>
      <c r="G201" s="79"/>
      <c r="H201" s="79"/>
      <c r="I201" s="79"/>
      <c r="J201" s="79"/>
      <c r="K201" s="79"/>
      <c r="L201" s="79"/>
      <c r="M201" s="79"/>
      <c r="N201" s="79"/>
      <c r="O201" s="79"/>
    </row>
    <row r="202" spans="2:16" ht="48.75" customHeight="1" thickBot="1" x14ac:dyDescent="0.3">
      <c r="B202" s="270" t="s">
        <v>245</v>
      </c>
      <c r="C202" s="270"/>
      <c r="D202" s="270"/>
      <c r="E202" s="270"/>
      <c r="F202" s="270"/>
      <c r="G202" s="270"/>
      <c r="H202" s="270"/>
      <c r="I202" s="270"/>
      <c r="J202" s="270"/>
      <c r="K202" s="270"/>
      <c r="L202" s="270"/>
      <c r="M202" s="270"/>
      <c r="N202" s="270"/>
      <c r="O202" s="270"/>
      <c r="P202" s="1" t="s">
        <v>121</v>
      </c>
    </row>
    <row r="203" spans="2:16" ht="10.5" customHeight="1" thickBot="1" x14ac:dyDescent="0.3">
      <c r="B203" s="106"/>
      <c r="C203" s="107"/>
      <c r="D203" s="106"/>
      <c r="E203" s="106"/>
      <c r="F203" s="106"/>
      <c r="G203" s="106"/>
      <c r="H203" s="106"/>
      <c r="I203" s="106"/>
      <c r="J203" s="106"/>
      <c r="K203" s="106"/>
      <c r="L203" s="106"/>
      <c r="M203" s="4"/>
      <c r="N203" s="4"/>
      <c r="P203" s="1" t="s">
        <v>122</v>
      </c>
    </row>
    <row r="204" spans="2:16" ht="22.5" thickTop="1" thickBot="1" x14ac:dyDescent="0.3">
      <c r="B204" s="121" t="str">
        <f>C204</f>
        <v>Países Bajos</v>
      </c>
      <c r="C204" s="292" t="s">
        <v>123</v>
      </c>
      <c r="D204" s="293"/>
      <c r="E204" s="293"/>
      <c r="F204" s="293"/>
      <c r="G204" s="293"/>
      <c r="H204" s="293"/>
      <c r="I204" s="293"/>
      <c r="J204" s="293"/>
      <c r="K204" s="293"/>
      <c r="L204" s="293"/>
      <c r="M204" s="293"/>
      <c r="N204" s="293"/>
      <c r="O204" s="294"/>
    </row>
    <row r="205" spans="2:16" ht="22.5" thickTop="1" thickBot="1" x14ac:dyDescent="0.3">
      <c r="B205" s="109"/>
      <c r="C205" s="295">
        <f>2019</f>
        <v>2019</v>
      </c>
      <c r="D205" s="296"/>
      <c r="E205" s="297">
        <v>2020</v>
      </c>
      <c r="F205" s="296"/>
      <c r="G205" s="297">
        <v>2021</v>
      </c>
      <c r="H205" s="296"/>
      <c r="I205" s="297">
        <v>2022</v>
      </c>
      <c r="J205" s="296"/>
      <c r="K205" s="297">
        <v>2023</v>
      </c>
      <c r="L205" s="296"/>
      <c r="M205" s="297">
        <v>2024</v>
      </c>
      <c r="N205" s="298"/>
      <c r="O205" s="299"/>
    </row>
    <row r="206" spans="2:16" ht="16.5" thickTop="1" thickBot="1" x14ac:dyDescent="0.3">
      <c r="B206" s="85"/>
      <c r="C206" s="111" t="s">
        <v>69</v>
      </c>
      <c r="D206" s="112" t="str">
        <f>CONCATENATE("var ",RIGHT(2019,2),"/",RIGHT(2018,2))</f>
        <v>var 19/18</v>
      </c>
      <c r="E206" s="113" t="s">
        <v>69</v>
      </c>
      <c r="F206" s="112" t="str">
        <f>CONCATENATE("var ",RIGHT(E205,2),"/",RIGHT(E205-1,2))</f>
        <v>var 20/19</v>
      </c>
      <c r="G206" s="113" t="s">
        <v>69</v>
      </c>
      <c r="H206" s="112" t="str">
        <f>CONCATENATE("var ",RIGHT(G205,2),"/",RIGHT(G205-1,2))</f>
        <v>var 21/20</v>
      </c>
      <c r="I206" s="113" t="s">
        <v>69</v>
      </c>
      <c r="J206" s="112" t="str">
        <f>CONCATENATE("var ",RIGHT(I205,2),"/",RIGHT(I205-1,2))</f>
        <v>var 22/21</v>
      </c>
      <c r="K206" s="113" t="s">
        <v>69</v>
      </c>
      <c r="L206" s="112" t="str">
        <f>CONCATENATE("var ",RIGHT(K205,2),"/",RIGHT(K205-1,2))</f>
        <v>var 23/22</v>
      </c>
      <c r="M206" s="113" t="s">
        <v>69</v>
      </c>
      <c r="N206" s="112" t="s">
        <v>273</v>
      </c>
      <c r="O206" s="112" t="s">
        <v>274</v>
      </c>
    </row>
    <row r="207" spans="2:16" x14ac:dyDescent="0.25">
      <c r="B207" s="114" t="s">
        <v>71</v>
      </c>
      <c r="C207" s="115">
        <v>80</v>
      </c>
      <c r="D207" s="116">
        <v>-6.9767441860465129E-2</v>
      </c>
      <c r="E207" s="115">
        <v>89</v>
      </c>
      <c r="F207" s="116">
        <f t="shared" ref="F207:L219" si="9">IFERROR(E207/C207-1,"-")</f>
        <v>0.11250000000000004</v>
      </c>
      <c r="G207" s="115">
        <v>5</v>
      </c>
      <c r="H207" s="116">
        <f t="shared" si="9"/>
        <v>-0.9438202247191011</v>
      </c>
      <c r="I207" s="115">
        <v>129</v>
      </c>
      <c r="J207" s="116">
        <f t="shared" si="9"/>
        <v>24.8</v>
      </c>
      <c r="K207" s="115">
        <v>137</v>
      </c>
      <c r="L207" s="116">
        <f t="shared" si="9"/>
        <v>6.2015503875969102E-2</v>
      </c>
      <c r="M207" s="115">
        <v>154</v>
      </c>
      <c r="N207" s="116">
        <v>0.12408759124087587</v>
      </c>
      <c r="O207" s="116">
        <v>0.92500000000000004</v>
      </c>
    </row>
    <row r="208" spans="2:16" x14ac:dyDescent="0.25">
      <c r="B208" s="114" t="s">
        <v>73</v>
      </c>
      <c r="C208" s="115">
        <v>48</v>
      </c>
      <c r="D208" s="116">
        <v>-0.36842105263157898</v>
      </c>
      <c r="E208" s="115">
        <v>153</v>
      </c>
      <c r="F208" s="116">
        <f t="shared" si="9"/>
        <v>2.1875</v>
      </c>
      <c r="G208" s="115">
        <v>10</v>
      </c>
      <c r="H208" s="116">
        <f t="shared" si="9"/>
        <v>-0.934640522875817</v>
      </c>
      <c r="I208" s="115">
        <v>117</v>
      </c>
      <c r="J208" s="116">
        <f t="shared" si="9"/>
        <v>10.7</v>
      </c>
      <c r="K208" s="115">
        <v>88</v>
      </c>
      <c r="L208" s="116">
        <f t="shared" si="9"/>
        <v>-0.24786324786324787</v>
      </c>
      <c r="M208" s="115">
        <v>146</v>
      </c>
      <c r="N208" s="116">
        <v>0.65909090909090917</v>
      </c>
      <c r="O208" s="116">
        <v>2.0416666666666665</v>
      </c>
    </row>
    <row r="209" spans="2:16" x14ac:dyDescent="0.25">
      <c r="B209" s="114" t="s">
        <v>75</v>
      </c>
      <c r="C209" s="115">
        <v>102</v>
      </c>
      <c r="D209" s="116">
        <v>0.7</v>
      </c>
      <c r="E209" s="115">
        <v>23</v>
      </c>
      <c r="F209" s="116">
        <f t="shared" si="9"/>
        <v>-0.77450980392156865</v>
      </c>
      <c r="G209" s="115">
        <v>22</v>
      </c>
      <c r="H209" s="116">
        <f t="shared" si="9"/>
        <v>-4.3478260869565188E-2</v>
      </c>
      <c r="I209" s="115">
        <v>156</v>
      </c>
      <c r="J209" s="116">
        <f t="shared" si="9"/>
        <v>6.0909090909090908</v>
      </c>
      <c r="K209" s="115">
        <v>155</v>
      </c>
      <c r="L209" s="116">
        <f t="shared" si="9"/>
        <v>-6.4102564102563875E-3</v>
      </c>
      <c r="M209" s="115">
        <v>158</v>
      </c>
      <c r="N209" s="116">
        <v>1.9354838709677358E-2</v>
      </c>
      <c r="O209" s="116">
        <v>0.5490196078431373</v>
      </c>
    </row>
    <row r="210" spans="2:16" x14ac:dyDescent="0.25">
      <c r="B210" s="114" t="s">
        <v>77</v>
      </c>
      <c r="C210" s="115">
        <v>32</v>
      </c>
      <c r="D210" s="116">
        <v>-0.13513513513513509</v>
      </c>
      <c r="E210" s="115">
        <v>0</v>
      </c>
      <c r="F210" s="116">
        <f t="shared" si="9"/>
        <v>-1</v>
      </c>
      <c r="G210" s="115">
        <v>12</v>
      </c>
      <c r="H210" s="116" t="str">
        <f t="shared" si="9"/>
        <v>-</v>
      </c>
      <c r="I210" s="115">
        <v>104</v>
      </c>
      <c r="J210" s="116">
        <f t="shared" si="9"/>
        <v>7.6666666666666661</v>
      </c>
      <c r="K210" s="115">
        <v>80</v>
      </c>
      <c r="L210" s="116">
        <f t="shared" si="9"/>
        <v>-0.23076923076923073</v>
      </c>
      <c r="M210" s="115">
        <v>62</v>
      </c>
      <c r="N210" s="116">
        <v>-0.22499999999999998</v>
      </c>
      <c r="O210" s="116">
        <v>0.9375</v>
      </c>
    </row>
    <row r="211" spans="2:16" x14ac:dyDescent="0.25">
      <c r="B211" s="114" t="s">
        <v>79</v>
      </c>
      <c r="C211" s="115">
        <v>31</v>
      </c>
      <c r="D211" s="116">
        <v>-0.35416666666666663</v>
      </c>
      <c r="E211" s="115">
        <v>0</v>
      </c>
      <c r="F211" s="116">
        <f t="shared" si="9"/>
        <v>-1</v>
      </c>
      <c r="G211" s="115">
        <v>18</v>
      </c>
      <c r="H211" s="116" t="str">
        <f t="shared" si="9"/>
        <v>-</v>
      </c>
      <c r="I211" s="115">
        <v>81</v>
      </c>
      <c r="J211" s="116">
        <f t="shared" si="9"/>
        <v>3.5</v>
      </c>
      <c r="K211" s="115">
        <v>41</v>
      </c>
      <c r="L211" s="116">
        <f t="shared" si="9"/>
        <v>-0.49382716049382713</v>
      </c>
      <c r="M211" s="115">
        <v>42</v>
      </c>
      <c r="N211" s="116">
        <v>2.4390243902439046E-2</v>
      </c>
      <c r="O211" s="116">
        <v>0.35483870967741926</v>
      </c>
    </row>
    <row r="212" spans="2:16" x14ac:dyDescent="0.25">
      <c r="B212" s="114" t="s">
        <v>81</v>
      </c>
      <c r="C212" s="115">
        <v>32</v>
      </c>
      <c r="D212" s="116">
        <v>-0.11111111111111116</v>
      </c>
      <c r="E212" s="115">
        <v>0</v>
      </c>
      <c r="F212" s="116">
        <f t="shared" si="9"/>
        <v>-1</v>
      </c>
      <c r="G212" s="115">
        <v>17</v>
      </c>
      <c r="H212" s="116" t="str">
        <f t="shared" si="9"/>
        <v>-</v>
      </c>
      <c r="I212" s="115">
        <v>85</v>
      </c>
      <c r="J212" s="116">
        <f t="shared" si="9"/>
        <v>4</v>
      </c>
      <c r="K212" s="115">
        <v>30</v>
      </c>
      <c r="L212" s="116">
        <f t="shared" si="9"/>
        <v>-0.64705882352941169</v>
      </c>
      <c r="M212" s="115">
        <v>36</v>
      </c>
      <c r="N212" s="116">
        <v>0.19999999999999996</v>
      </c>
      <c r="O212" s="116">
        <v>0.125</v>
      </c>
    </row>
    <row r="213" spans="2:16" x14ac:dyDescent="0.25">
      <c r="B213" s="114" t="s">
        <v>83</v>
      </c>
      <c r="C213" s="115">
        <v>50</v>
      </c>
      <c r="D213" s="116">
        <v>9</v>
      </c>
      <c r="E213" s="115">
        <v>0</v>
      </c>
      <c r="F213" s="116">
        <f t="shared" si="9"/>
        <v>-1</v>
      </c>
      <c r="G213" s="115">
        <v>15</v>
      </c>
      <c r="H213" s="116" t="str">
        <f t="shared" si="9"/>
        <v>-</v>
      </c>
      <c r="I213" s="115">
        <v>42</v>
      </c>
      <c r="J213" s="116">
        <f t="shared" si="9"/>
        <v>1.7999999999999998</v>
      </c>
      <c r="K213" s="115">
        <v>38</v>
      </c>
      <c r="L213" s="116">
        <f t="shared" si="9"/>
        <v>-9.5238095238095233E-2</v>
      </c>
      <c r="M213" s="115">
        <v>29</v>
      </c>
      <c r="N213" s="116">
        <v>-0.23684210526315785</v>
      </c>
      <c r="O213" s="116">
        <v>-0.42000000000000004</v>
      </c>
    </row>
    <row r="214" spans="2:16" x14ac:dyDescent="0.25">
      <c r="B214" s="114" t="s">
        <v>85</v>
      </c>
      <c r="C214" s="115">
        <v>38</v>
      </c>
      <c r="D214" s="116">
        <v>0.22580645161290325</v>
      </c>
      <c r="E214" s="115">
        <v>9</v>
      </c>
      <c r="F214" s="116">
        <f t="shared" si="9"/>
        <v>-0.76315789473684215</v>
      </c>
      <c r="G214" s="115">
        <v>24</v>
      </c>
      <c r="H214" s="116">
        <f t="shared" si="9"/>
        <v>1.6666666666666665</v>
      </c>
      <c r="I214" s="115">
        <v>106</v>
      </c>
      <c r="J214" s="116">
        <f t="shared" si="9"/>
        <v>3.416666666666667</v>
      </c>
      <c r="K214" s="115">
        <v>46</v>
      </c>
      <c r="L214" s="116">
        <f t="shared" si="9"/>
        <v>-0.56603773584905659</v>
      </c>
      <c r="M214" s="115">
        <v>43</v>
      </c>
      <c r="N214" s="116">
        <v>-6.5217391304347783E-2</v>
      </c>
      <c r="O214" s="116">
        <v>0.13157894736842102</v>
      </c>
    </row>
    <row r="215" spans="2:16" x14ac:dyDescent="0.25">
      <c r="B215" s="114" t="s">
        <v>87</v>
      </c>
      <c r="C215" s="115">
        <v>29</v>
      </c>
      <c r="D215" s="116">
        <v>1.2307692307692308</v>
      </c>
      <c r="E215" s="115">
        <v>6</v>
      </c>
      <c r="F215" s="116">
        <f t="shared" si="9"/>
        <v>-0.7931034482758621</v>
      </c>
      <c r="G215" s="115">
        <v>39</v>
      </c>
      <c r="H215" s="116">
        <f t="shared" si="9"/>
        <v>5.5</v>
      </c>
      <c r="I215" s="115">
        <v>66</v>
      </c>
      <c r="J215" s="116">
        <f t="shared" si="9"/>
        <v>0.69230769230769229</v>
      </c>
      <c r="K215" s="115">
        <v>31</v>
      </c>
      <c r="L215" s="116">
        <f t="shared" si="9"/>
        <v>-0.53030303030303028</v>
      </c>
      <c r="M215" s="115">
        <v>31</v>
      </c>
      <c r="N215" s="116">
        <v>0</v>
      </c>
      <c r="O215" s="116">
        <v>6.8965517241379226E-2</v>
      </c>
    </row>
    <row r="216" spans="2:16" x14ac:dyDescent="0.25">
      <c r="B216" s="114" t="s">
        <v>89</v>
      </c>
      <c r="C216" s="115">
        <v>71</v>
      </c>
      <c r="D216" s="116">
        <v>1.5357142857142856</v>
      </c>
      <c r="E216" s="115">
        <v>4</v>
      </c>
      <c r="F216" s="116">
        <f t="shared" si="9"/>
        <v>-0.94366197183098588</v>
      </c>
      <c r="G216" s="115">
        <v>46</v>
      </c>
      <c r="H216" s="116">
        <f t="shared" si="9"/>
        <v>10.5</v>
      </c>
      <c r="I216" s="115">
        <v>72</v>
      </c>
      <c r="J216" s="116">
        <f t="shared" si="9"/>
        <v>0.56521739130434789</v>
      </c>
      <c r="K216" s="115">
        <v>65</v>
      </c>
      <c r="L216" s="116">
        <f t="shared" si="9"/>
        <v>-9.722222222222221E-2</v>
      </c>
      <c r="M216" s="115"/>
      <c r="N216" s="116" t="s">
        <v>229</v>
      </c>
      <c r="O216" s="116" t="s">
        <v>229</v>
      </c>
    </row>
    <row r="217" spans="2:16" x14ac:dyDescent="0.25">
      <c r="B217" s="114" t="s">
        <v>91</v>
      </c>
      <c r="C217" s="115">
        <v>106</v>
      </c>
      <c r="D217" s="116">
        <v>1</v>
      </c>
      <c r="E217" s="115">
        <v>18</v>
      </c>
      <c r="F217" s="116">
        <f t="shared" si="9"/>
        <v>-0.83018867924528306</v>
      </c>
      <c r="G217" s="115">
        <v>117</v>
      </c>
      <c r="H217" s="116">
        <f t="shared" si="9"/>
        <v>5.5</v>
      </c>
      <c r="I217" s="115">
        <v>93</v>
      </c>
      <c r="J217" s="116">
        <f t="shared" si="9"/>
        <v>-0.20512820512820518</v>
      </c>
      <c r="K217" s="115">
        <v>114</v>
      </c>
      <c r="L217" s="116">
        <f t="shared" si="9"/>
        <v>0.22580645161290325</v>
      </c>
      <c r="M217" s="115"/>
      <c r="N217" s="116" t="s">
        <v>229</v>
      </c>
      <c r="O217" s="116" t="s">
        <v>229</v>
      </c>
    </row>
    <row r="218" spans="2:16" x14ac:dyDescent="0.25">
      <c r="B218" s="114" t="s">
        <v>93</v>
      </c>
      <c r="C218" s="115">
        <v>80</v>
      </c>
      <c r="D218" s="116">
        <v>0.29032258064516125</v>
      </c>
      <c r="E218" s="115">
        <v>14</v>
      </c>
      <c r="F218" s="116">
        <f t="shared" si="9"/>
        <v>-0.82499999999999996</v>
      </c>
      <c r="G218" s="115">
        <v>107</v>
      </c>
      <c r="H218" s="116">
        <f t="shared" si="9"/>
        <v>6.6428571428571432</v>
      </c>
      <c r="I218" s="115">
        <v>121</v>
      </c>
      <c r="J218" s="116">
        <f t="shared" si="9"/>
        <v>0.13084112149532712</v>
      </c>
      <c r="K218" s="115">
        <v>113</v>
      </c>
      <c r="L218" s="116">
        <f t="shared" si="9"/>
        <v>-6.6115702479338845E-2</v>
      </c>
      <c r="M218" s="115"/>
      <c r="N218" s="116" t="s">
        <v>229</v>
      </c>
      <c r="O218" s="116" t="s">
        <v>229</v>
      </c>
    </row>
    <row r="219" spans="2:16" ht="15.75" x14ac:dyDescent="0.25">
      <c r="B219" s="117" t="s">
        <v>30</v>
      </c>
      <c r="C219" s="118">
        <v>699</v>
      </c>
      <c r="D219" s="119">
        <v>0.30654205607476626</v>
      </c>
      <c r="E219" s="118">
        <v>323</v>
      </c>
      <c r="F219" s="119">
        <f t="shared" si="9"/>
        <v>-0.53791130185979974</v>
      </c>
      <c r="G219" s="118">
        <v>432</v>
      </c>
      <c r="H219" s="119">
        <f t="shared" si="9"/>
        <v>0.33746130030959742</v>
      </c>
      <c r="I219" s="118">
        <v>1172</v>
      </c>
      <c r="J219" s="119">
        <f t="shared" si="9"/>
        <v>1.7129629629629628</v>
      </c>
      <c r="K219" s="118">
        <v>938</v>
      </c>
      <c r="L219" s="119">
        <f t="shared" si="9"/>
        <v>-0.19965870307167233</v>
      </c>
      <c r="M219" s="118">
        <v>701</v>
      </c>
      <c r="N219" s="119">
        <v>8.5139318885449011E-2</v>
      </c>
      <c r="O219" s="119">
        <v>0.58597285067873295</v>
      </c>
    </row>
    <row r="220" spans="2:16" ht="6" customHeight="1" x14ac:dyDescent="0.25"/>
    <row r="221" spans="2:16" x14ac:dyDescent="0.25">
      <c r="B221" s="105" t="s">
        <v>55</v>
      </c>
      <c r="C221" s="105"/>
      <c r="D221" s="105"/>
      <c r="E221" s="105"/>
      <c r="F221" s="105"/>
      <c r="G221" s="105"/>
      <c r="H221" s="105"/>
      <c r="I221" s="105"/>
      <c r="J221" s="105"/>
      <c r="K221" s="105"/>
      <c r="L221" s="105"/>
      <c r="M221" s="105"/>
      <c r="N221" s="105"/>
      <c r="O221" s="105"/>
    </row>
    <row r="222" spans="2:16" x14ac:dyDescent="0.25">
      <c r="K222" s="120"/>
      <c r="M222" s="122"/>
      <c r="O222" s="122"/>
    </row>
    <row r="224" spans="2:16" ht="48.75" customHeight="1" thickBot="1" x14ac:dyDescent="0.3">
      <c r="B224" s="270" t="s">
        <v>244</v>
      </c>
      <c r="C224" s="270"/>
      <c r="D224" s="270"/>
      <c r="E224" s="270"/>
      <c r="F224" s="270"/>
      <c r="G224" s="270"/>
      <c r="H224" s="270"/>
      <c r="I224" s="270"/>
      <c r="J224" s="270"/>
      <c r="K224" s="270"/>
      <c r="L224" s="270"/>
      <c r="M224" s="270"/>
      <c r="N224" s="270"/>
      <c r="O224" s="270"/>
      <c r="P224" s="1" t="s">
        <v>124</v>
      </c>
    </row>
    <row r="225" spans="2:16" ht="10.5" customHeight="1" thickBot="1" x14ac:dyDescent="0.3">
      <c r="B225" s="106"/>
      <c r="C225" s="107"/>
      <c r="D225" s="106"/>
      <c r="E225" s="106"/>
      <c r="F225" s="106"/>
      <c r="G225" s="106"/>
      <c r="H225" s="106"/>
      <c r="I225" s="106"/>
      <c r="J225" s="106"/>
      <c r="K225" s="106"/>
      <c r="L225" s="106"/>
      <c r="M225" s="4"/>
      <c r="N225" s="4"/>
      <c r="P225" s="1" t="s">
        <v>125</v>
      </c>
    </row>
    <row r="226" spans="2:16" ht="22.5" thickTop="1" thickBot="1" x14ac:dyDescent="0.3">
      <c r="B226" s="121" t="str">
        <f>C226</f>
        <v>Bélgica</v>
      </c>
      <c r="C226" s="292" t="s">
        <v>119</v>
      </c>
      <c r="D226" s="293"/>
      <c r="E226" s="293"/>
      <c r="F226" s="293"/>
      <c r="G226" s="293"/>
      <c r="H226" s="293"/>
      <c r="I226" s="293"/>
      <c r="J226" s="293"/>
      <c r="K226" s="293"/>
      <c r="L226" s="293"/>
      <c r="M226" s="293"/>
      <c r="N226" s="293"/>
      <c r="O226" s="294"/>
    </row>
    <row r="227" spans="2:16" ht="22.5" thickTop="1" thickBot="1" x14ac:dyDescent="0.3">
      <c r="B227" s="109"/>
      <c r="C227" s="295">
        <f>2019</f>
        <v>2019</v>
      </c>
      <c r="D227" s="296"/>
      <c r="E227" s="297">
        <v>2020</v>
      </c>
      <c r="F227" s="296"/>
      <c r="G227" s="297">
        <v>2021</v>
      </c>
      <c r="H227" s="296"/>
      <c r="I227" s="297">
        <v>2022</v>
      </c>
      <c r="J227" s="296"/>
      <c r="K227" s="297">
        <v>2023</v>
      </c>
      <c r="L227" s="296"/>
      <c r="M227" s="297">
        <v>2024</v>
      </c>
      <c r="N227" s="298"/>
      <c r="O227" s="299"/>
    </row>
    <row r="228" spans="2:16" ht="16.5" thickTop="1" thickBot="1" x14ac:dyDescent="0.3">
      <c r="B228" s="85"/>
      <c r="C228" s="111" t="s">
        <v>69</v>
      </c>
      <c r="D228" s="112" t="str">
        <f>CONCATENATE("var ",RIGHT(2019,2),"/",RIGHT(2018,2))</f>
        <v>var 19/18</v>
      </c>
      <c r="E228" s="113" t="s">
        <v>69</v>
      </c>
      <c r="F228" s="112" t="str">
        <f>CONCATENATE("var ",RIGHT(E227,2),"/",RIGHT(E227-1,2))</f>
        <v>var 20/19</v>
      </c>
      <c r="G228" s="113" t="s">
        <v>69</v>
      </c>
      <c r="H228" s="112" t="str">
        <f>CONCATENATE("var ",RIGHT(G227,2),"/",RIGHT(G227-1,2))</f>
        <v>var 21/20</v>
      </c>
      <c r="I228" s="113" t="s">
        <v>69</v>
      </c>
      <c r="J228" s="112" t="str">
        <f>CONCATENATE("var ",RIGHT(I227,2),"/",RIGHT(I227-1,2))</f>
        <v>var 22/21</v>
      </c>
      <c r="K228" s="113" t="s">
        <v>69</v>
      </c>
      <c r="L228" s="112" t="str">
        <f>CONCATENATE("var ",RIGHT(K227,2),"/",RIGHT(K227-1,2))</f>
        <v>var 23/22</v>
      </c>
      <c r="M228" s="113" t="s">
        <v>69</v>
      </c>
      <c r="N228" s="112" t="s">
        <v>273</v>
      </c>
      <c r="O228" s="112" t="s">
        <v>274</v>
      </c>
    </row>
    <row r="229" spans="2:16" x14ac:dyDescent="0.25">
      <c r="B229" s="114" t="s">
        <v>71</v>
      </c>
      <c r="C229" s="115">
        <v>74</v>
      </c>
      <c r="D229" s="116">
        <v>0.23333333333333339</v>
      </c>
      <c r="E229" s="115">
        <v>71</v>
      </c>
      <c r="F229" s="116">
        <f t="shared" ref="F229:L241" si="10">IFERROR(E229/C229-1,"-")</f>
        <v>-4.0540540540540571E-2</v>
      </c>
      <c r="G229" s="115">
        <v>24</v>
      </c>
      <c r="H229" s="116">
        <f t="shared" si="10"/>
        <v>-0.6619718309859155</v>
      </c>
      <c r="I229" s="115">
        <v>89</v>
      </c>
      <c r="J229" s="116">
        <f t="shared" si="10"/>
        <v>2.7083333333333335</v>
      </c>
      <c r="K229" s="115">
        <v>81</v>
      </c>
      <c r="L229" s="116">
        <f t="shared" si="10"/>
        <v>-8.98876404494382E-2</v>
      </c>
      <c r="M229" s="115">
        <v>171</v>
      </c>
      <c r="N229" s="116">
        <v>1.1111111111111112</v>
      </c>
      <c r="O229" s="116">
        <v>1.310810810810811</v>
      </c>
    </row>
    <row r="230" spans="2:16" x14ac:dyDescent="0.25">
      <c r="B230" s="114" t="s">
        <v>73</v>
      </c>
      <c r="C230" s="115">
        <v>64</v>
      </c>
      <c r="D230" s="116">
        <v>0.33333333333333326</v>
      </c>
      <c r="E230" s="115">
        <v>29</v>
      </c>
      <c r="F230" s="116">
        <f t="shared" si="10"/>
        <v>-0.546875</v>
      </c>
      <c r="G230" s="115">
        <v>14</v>
      </c>
      <c r="H230" s="116">
        <f t="shared" si="10"/>
        <v>-0.51724137931034475</v>
      </c>
      <c r="I230" s="115">
        <v>81</v>
      </c>
      <c r="J230" s="116">
        <f t="shared" si="10"/>
        <v>4.7857142857142856</v>
      </c>
      <c r="K230" s="115">
        <v>33</v>
      </c>
      <c r="L230" s="116">
        <f t="shared" si="10"/>
        <v>-0.59259259259259256</v>
      </c>
      <c r="M230" s="115">
        <v>95</v>
      </c>
      <c r="N230" s="116">
        <v>1.8787878787878789</v>
      </c>
      <c r="O230" s="116">
        <v>0.484375</v>
      </c>
    </row>
    <row r="231" spans="2:16" x14ac:dyDescent="0.25">
      <c r="B231" s="114" t="s">
        <v>75</v>
      </c>
      <c r="C231" s="115">
        <v>61</v>
      </c>
      <c r="D231" s="116">
        <v>-0.17567567567567566</v>
      </c>
      <c r="E231" s="115">
        <v>32</v>
      </c>
      <c r="F231" s="116">
        <f t="shared" si="10"/>
        <v>-0.47540983606557374</v>
      </c>
      <c r="G231" s="115">
        <v>12</v>
      </c>
      <c r="H231" s="116">
        <f t="shared" si="10"/>
        <v>-0.625</v>
      </c>
      <c r="I231" s="115">
        <v>80</v>
      </c>
      <c r="J231" s="116">
        <f t="shared" si="10"/>
        <v>5.666666666666667</v>
      </c>
      <c r="K231" s="115">
        <v>71</v>
      </c>
      <c r="L231" s="116">
        <f t="shared" si="10"/>
        <v>-0.11250000000000004</v>
      </c>
      <c r="M231" s="115">
        <v>93</v>
      </c>
      <c r="N231" s="116">
        <v>0.3098591549295775</v>
      </c>
      <c r="O231" s="116">
        <v>0.52459016393442615</v>
      </c>
    </row>
    <row r="232" spans="2:16" x14ac:dyDescent="0.25">
      <c r="B232" s="114" t="s">
        <v>77</v>
      </c>
      <c r="C232" s="115">
        <v>47</v>
      </c>
      <c r="D232" s="116">
        <v>-0.1132075471698113</v>
      </c>
      <c r="E232" s="115">
        <v>0</v>
      </c>
      <c r="F232" s="116">
        <f t="shared" si="10"/>
        <v>-1</v>
      </c>
      <c r="G232" s="115">
        <v>35</v>
      </c>
      <c r="H232" s="116" t="str">
        <f t="shared" si="10"/>
        <v>-</v>
      </c>
      <c r="I232" s="115">
        <v>60</v>
      </c>
      <c r="J232" s="116">
        <f t="shared" si="10"/>
        <v>0.71428571428571419</v>
      </c>
      <c r="K232" s="115">
        <v>44</v>
      </c>
      <c r="L232" s="116">
        <f t="shared" si="10"/>
        <v>-0.26666666666666672</v>
      </c>
      <c r="M232" s="115">
        <v>87</v>
      </c>
      <c r="N232" s="116">
        <v>0.97727272727272729</v>
      </c>
      <c r="O232" s="116">
        <v>0.85106382978723394</v>
      </c>
    </row>
    <row r="233" spans="2:16" x14ac:dyDescent="0.25">
      <c r="B233" s="114" t="s">
        <v>79</v>
      </c>
      <c r="C233" s="115">
        <v>19</v>
      </c>
      <c r="D233" s="116">
        <v>0.26666666666666661</v>
      </c>
      <c r="E233" s="115">
        <v>0</v>
      </c>
      <c r="F233" s="116">
        <f t="shared" si="10"/>
        <v>-1</v>
      </c>
      <c r="G233" s="115">
        <v>44</v>
      </c>
      <c r="H233" s="116" t="str">
        <f t="shared" si="10"/>
        <v>-</v>
      </c>
      <c r="I233" s="115">
        <v>32</v>
      </c>
      <c r="J233" s="116">
        <f t="shared" si="10"/>
        <v>-0.27272727272727271</v>
      </c>
      <c r="K233" s="115">
        <v>32</v>
      </c>
      <c r="L233" s="116">
        <f t="shared" si="10"/>
        <v>0</v>
      </c>
      <c r="M233" s="115">
        <v>49</v>
      </c>
      <c r="N233" s="116">
        <v>0.53125</v>
      </c>
      <c r="O233" s="116">
        <v>1.5789473684210527</v>
      </c>
    </row>
    <row r="234" spans="2:16" x14ac:dyDescent="0.25">
      <c r="B234" s="114" t="s">
        <v>81</v>
      </c>
      <c r="C234" s="115">
        <v>44</v>
      </c>
      <c r="D234" s="116">
        <v>1.3157894736842106</v>
      </c>
      <c r="E234" s="115">
        <v>0</v>
      </c>
      <c r="F234" s="116">
        <f t="shared" si="10"/>
        <v>-1</v>
      </c>
      <c r="G234" s="115">
        <v>25</v>
      </c>
      <c r="H234" s="116" t="str">
        <f t="shared" si="10"/>
        <v>-</v>
      </c>
      <c r="I234" s="115">
        <v>31</v>
      </c>
      <c r="J234" s="116">
        <f t="shared" si="10"/>
        <v>0.24</v>
      </c>
      <c r="K234" s="115">
        <v>32</v>
      </c>
      <c r="L234" s="116">
        <f t="shared" si="10"/>
        <v>3.2258064516129004E-2</v>
      </c>
      <c r="M234" s="115">
        <v>19</v>
      </c>
      <c r="N234" s="116">
        <v>-0.40625</v>
      </c>
      <c r="O234" s="116">
        <v>-0.56818181818181812</v>
      </c>
    </row>
    <row r="235" spans="2:16" x14ac:dyDescent="0.25">
      <c r="B235" s="114" t="s">
        <v>83</v>
      </c>
      <c r="C235" s="115">
        <v>26</v>
      </c>
      <c r="D235" s="116">
        <v>0.36842105263157898</v>
      </c>
      <c r="E235" s="115">
        <v>0</v>
      </c>
      <c r="F235" s="116">
        <f t="shared" si="10"/>
        <v>-1</v>
      </c>
      <c r="G235" s="115">
        <v>43</v>
      </c>
      <c r="H235" s="116" t="str">
        <f t="shared" si="10"/>
        <v>-</v>
      </c>
      <c r="I235" s="115">
        <v>61</v>
      </c>
      <c r="J235" s="116">
        <f t="shared" si="10"/>
        <v>0.41860465116279078</v>
      </c>
      <c r="K235" s="115">
        <v>43</v>
      </c>
      <c r="L235" s="116">
        <f t="shared" si="10"/>
        <v>-0.29508196721311475</v>
      </c>
      <c r="M235" s="115">
        <v>25</v>
      </c>
      <c r="N235" s="116">
        <v>-0.41860465116279066</v>
      </c>
      <c r="O235" s="116">
        <v>-3.8461538461538436E-2</v>
      </c>
    </row>
    <row r="236" spans="2:16" x14ac:dyDescent="0.25">
      <c r="B236" s="114" t="s">
        <v>85</v>
      </c>
      <c r="C236" s="115">
        <v>22</v>
      </c>
      <c r="D236" s="116">
        <v>0.29411764705882359</v>
      </c>
      <c r="E236" s="115">
        <v>45</v>
      </c>
      <c r="F236" s="116">
        <f t="shared" si="10"/>
        <v>1.0454545454545454</v>
      </c>
      <c r="G236" s="115">
        <v>39</v>
      </c>
      <c r="H236" s="116">
        <f t="shared" si="10"/>
        <v>-0.1333333333333333</v>
      </c>
      <c r="I236" s="115">
        <v>59</v>
      </c>
      <c r="J236" s="116">
        <f t="shared" si="10"/>
        <v>0.51282051282051277</v>
      </c>
      <c r="K236" s="115">
        <v>49</v>
      </c>
      <c r="L236" s="116">
        <f t="shared" si="10"/>
        <v>-0.16949152542372881</v>
      </c>
      <c r="M236" s="115">
        <v>59</v>
      </c>
      <c r="N236" s="116">
        <v>0.20408163265306123</v>
      </c>
      <c r="O236" s="116">
        <v>1.6818181818181817</v>
      </c>
    </row>
    <row r="237" spans="2:16" x14ac:dyDescent="0.25">
      <c r="B237" s="114" t="s">
        <v>87</v>
      </c>
      <c r="C237" s="115">
        <v>16</v>
      </c>
      <c r="D237" s="116">
        <v>-0.38461538461538458</v>
      </c>
      <c r="E237" s="115">
        <v>40</v>
      </c>
      <c r="F237" s="116">
        <f t="shared" si="10"/>
        <v>1.5</v>
      </c>
      <c r="G237" s="115">
        <v>36</v>
      </c>
      <c r="H237" s="116">
        <f t="shared" si="10"/>
        <v>-9.9999999999999978E-2</v>
      </c>
      <c r="I237" s="115">
        <v>30</v>
      </c>
      <c r="J237" s="116">
        <f t="shared" si="10"/>
        <v>-0.16666666666666663</v>
      </c>
      <c r="K237" s="115">
        <v>41</v>
      </c>
      <c r="L237" s="116">
        <f t="shared" si="10"/>
        <v>0.3666666666666667</v>
      </c>
      <c r="M237" s="115">
        <v>41</v>
      </c>
      <c r="N237" s="116">
        <v>0</v>
      </c>
      <c r="O237" s="116">
        <v>1.5625</v>
      </c>
    </row>
    <row r="238" spans="2:16" x14ac:dyDescent="0.25">
      <c r="B238" s="114" t="s">
        <v>89</v>
      </c>
      <c r="C238" s="115">
        <v>27</v>
      </c>
      <c r="D238" s="116">
        <v>-0.4375</v>
      </c>
      <c r="E238" s="115">
        <v>39</v>
      </c>
      <c r="F238" s="116">
        <f t="shared" si="10"/>
        <v>0.44444444444444442</v>
      </c>
      <c r="G238" s="115">
        <v>62</v>
      </c>
      <c r="H238" s="116">
        <f t="shared" si="10"/>
        <v>0.58974358974358965</v>
      </c>
      <c r="I238" s="115">
        <v>37</v>
      </c>
      <c r="J238" s="116">
        <f t="shared" si="10"/>
        <v>-0.40322580645161288</v>
      </c>
      <c r="K238" s="115">
        <v>40</v>
      </c>
      <c r="L238" s="116">
        <f t="shared" si="10"/>
        <v>8.1081081081081141E-2</v>
      </c>
      <c r="M238" s="115"/>
      <c r="N238" s="116" t="s">
        <v>229</v>
      </c>
      <c r="O238" s="116" t="s">
        <v>229</v>
      </c>
    </row>
    <row r="239" spans="2:16" x14ac:dyDescent="0.25">
      <c r="B239" s="114" t="s">
        <v>91</v>
      </c>
      <c r="C239" s="115">
        <v>79</v>
      </c>
      <c r="D239" s="116">
        <v>0.41071428571428581</v>
      </c>
      <c r="E239" s="115">
        <v>51</v>
      </c>
      <c r="F239" s="116">
        <f t="shared" si="10"/>
        <v>-0.35443037974683544</v>
      </c>
      <c r="G239" s="115">
        <v>104</v>
      </c>
      <c r="H239" s="116">
        <f t="shared" si="10"/>
        <v>1.0392156862745097</v>
      </c>
      <c r="I239" s="115">
        <v>70</v>
      </c>
      <c r="J239" s="116">
        <f t="shared" si="10"/>
        <v>-0.32692307692307687</v>
      </c>
      <c r="K239" s="115">
        <v>105</v>
      </c>
      <c r="L239" s="116">
        <f t="shared" si="10"/>
        <v>0.5</v>
      </c>
      <c r="M239" s="115"/>
      <c r="N239" s="116" t="s">
        <v>229</v>
      </c>
      <c r="O239" s="116" t="s">
        <v>229</v>
      </c>
    </row>
    <row r="240" spans="2:16" x14ac:dyDescent="0.25">
      <c r="B240" s="114" t="s">
        <v>93</v>
      </c>
      <c r="C240" s="115">
        <v>40</v>
      </c>
      <c r="D240" s="116">
        <v>-0.59595959595959602</v>
      </c>
      <c r="E240" s="115">
        <v>20</v>
      </c>
      <c r="F240" s="116">
        <f t="shared" si="10"/>
        <v>-0.5</v>
      </c>
      <c r="G240" s="115">
        <v>69</v>
      </c>
      <c r="H240" s="116">
        <f t="shared" si="10"/>
        <v>2.4500000000000002</v>
      </c>
      <c r="I240" s="115">
        <v>52</v>
      </c>
      <c r="J240" s="116">
        <f t="shared" si="10"/>
        <v>-0.24637681159420288</v>
      </c>
      <c r="K240" s="115">
        <v>79</v>
      </c>
      <c r="L240" s="116">
        <f t="shared" si="10"/>
        <v>0.51923076923076916</v>
      </c>
      <c r="M240" s="115"/>
      <c r="N240" s="116" t="s">
        <v>229</v>
      </c>
      <c r="O240" s="116" t="s">
        <v>229</v>
      </c>
    </row>
    <row r="241" spans="2:16" ht="15.75" x14ac:dyDescent="0.25">
      <c r="B241" s="117" t="s">
        <v>30</v>
      </c>
      <c r="C241" s="118">
        <v>519</v>
      </c>
      <c r="D241" s="119">
        <v>-2.8089887640449396E-2</v>
      </c>
      <c r="E241" s="118">
        <v>351</v>
      </c>
      <c r="F241" s="119">
        <f t="shared" si="10"/>
        <v>-0.32369942196531787</v>
      </c>
      <c r="G241" s="118">
        <v>507</v>
      </c>
      <c r="H241" s="119">
        <f t="shared" si="10"/>
        <v>0.44444444444444442</v>
      </c>
      <c r="I241" s="118">
        <v>682</v>
      </c>
      <c r="J241" s="119">
        <f t="shared" si="10"/>
        <v>0.34516765285996054</v>
      </c>
      <c r="K241" s="118">
        <v>650</v>
      </c>
      <c r="L241" s="119">
        <f t="shared" si="10"/>
        <v>-4.692082111436946E-2</v>
      </c>
      <c r="M241" s="118">
        <v>639</v>
      </c>
      <c r="N241" s="119">
        <v>0.5</v>
      </c>
      <c r="O241" s="119">
        <v>0.71313672922252014</v>
      </c>
    </row>
    <row r="242" spans="2:16" ht="6" customHeight="1" x14ac:dyDescent="0.25"/>
    <row r="243" spans="2:16" x14ac:dyDescent="0.25">
      <c r="B243" s="105" t="s">
        <v>55</v>
      </c>
      <c r="C243" s="105"/>
      <c r="D243" s="105"/>
      <c r="E243" s="105"/>
      <c r="F243" s="105"/>
      <c r="G243" s="105"/>
      <c r="H243" s="105"/>
      <c r="I243" s="105"/>
      <c r="J243" s="105"/>
      <c r="K243" s="105"/>
      <c r="L243" s="105"/>
      <c r="M243" s="105"/>
      <c r="N243" s="105"/>
      <c r="O243" s="105"/>
    </row>
    <row r="244" spans="2:16" x14ac:dyDescent="0.25">
      <c r="C244" s="120"/>
      <c r="K244" s="120"/>
      <c r="M244" s="105"/>
      <c r="O244" s="122"/>
    </row>
    <row r="246" spans="2:16" ht="48.75" customHeight="1" thickBot="1" x14ac:dyDescent="0.3">
      <c r="B246" s="270" t="s">
        <v>246</v>
      </c>
      <c r="C246" s="270"/>
      <c r="D246" s="270"/>
      <c r="E246" s="270"/>
      <c r="F246" s="270"/>
      <c r="G246" s="270"/>
      <c r="H246" s="270"/>
      <c r="I246" s="270"/>
      <c r="J246" s="270"/>
      <c r="K246" s="270"/>
      <c r="L246" s="270"/>
      <c r="M246" s="270"/>
      <c r="N246" s="270"/>
      <c r="O246" s="270"/>
      <c r="P246" s="1" t="s">
        <v>126</v>
      </c>
    </row>
    <row r="247" spans="2:16" ht="10.5" customHeight="1" thickBot="1" x14ac:dyDescent="0.3">
      <c r="B247" s="106"/>
      <c r="C247" s="107"/>
      <c r="D247" s="106"/>
      <c r="E247" s="106"/>
      <c r="F247" s="106"/>
      <c r="G247" s="106"/>
      <c r="H247" s="106"/>
      <c r="I247" s="106"/>
      <c r="J247" s="106"/>
      <c r="K247" s="106"/>
      <c r="L247" s="106"/>
      <c r="M247" s="4"/>
      <c r="N247" s="4"/>
      <c r="P247" s="1" t="s">
        <v>127</v>
      </c>
    </row>
    <row r="248" spans="2:16" ht="22.5" thickTop="1" thickBot="1" x14ac:dyDescent="0.3">
      <c r="B248" s="121" t="str">
        <f>C248</f>
        <v>Dinamarca</v>
      </c>
      <c r="C248" s="292" t="s">
        <v>128</v>
      </c>
      <c r="D248" s="293"/>
      <c r="E248" s="293"/>
      <c r="F248" s="293"/>
      <c r="G248" s="293"/>
      <c r="H248" s="293"/>
      <c r="I248" s="293"/>
      <c r="J248" s="293"/>
      <c r="K248" s="293"/>
      <c r="L248" s="293"/>
      <c r="M248" s="293"/>
      <c r="N248" s="293"/>
      <c r="O248" s="294"/>
    </row>
    <row r="249" spans="2:16" ht="22.5" thickTop="1" thickBot="1" x14ac:dyDescent="0.3">
      <c r="B249" s="109"/>
      <c r="C249" s="295">
        <f>2019</f>
        <v>2019</v>
      </c>
      <c r="D249" s="296"/>
      <c r="E249" s="297">
        <v>2020</v>
      </c>
      <c r="F249" s="296"/>
      <c r="G249" s="297">
        <v>2021</v>
      </c>
      <c r="H249" s="296"/>
      <c r="I249" s="297">
        <v>2022</v>
      </c>
      <c r="J249" s="296"/>
      <c r="K249" s="297">
        <v>2023</v>
      </c>
      <c r="L249" s="296"/>
      <c r="M249" s="297">
        <v>2024</v>
      </c>
      <c r="N249" s="298"/>
      <c r="O249" s="299"/>
    </row>
    <row r="250" spans="2:16" ht="16.5" thickTop="1" thickBot="1" x14ac:dyDescent="0.3">
      <c r="B250" s="85"/>
      <c r="C250" s="111" t="s">
        <v>69</v>
      </c>
      <c r="D250" s="112" t="str">
        <f>CONCATENATE("var ",RIGHT(2019,2),"/",RIGHT(2018,2))</f>
        <v>var 19/18</v>
      </c>
      <c r="E250" s="113" t="s">
        <v>69</v>
      </c>
      <c r="F250" s="112" t="str">
        <f>CONCATENATE("var ",RIGHT(E249,2),"/",RIGHT(E249-1,2))</f>
        <v>var 20/19</v>
      </c>
      <c r="G250" s="113" t="s">
        <v>69</v>
      </c>
      <c r="H250" s="112" t="str">
        <f>CONCATENATE("var ",RIGHT(G249,2),"/",RIGHT(G249-1,2))</f>
        <v>var 21/20</v>
      </c>
      <c r="I250" s="113" t="s">
        <v>69</v>
      </c>
      <c r="J250" s="112" t="str">
        <f>CONCATENATE("var ",RIGHT(I249,2),"/",RIGHT(I249-1,2))</f>
        <v>var 22/21</v>
      </c>
      <c r="K250" s="113" t="s">
        <v>69</v>
      </c>
      <c r="L250" s="112" t="str">
        <f>CONCATENATE("var ",RIGHT(K249,2),"/",RIGHT(K249-1,2))</f>
        <v>var 23/22</v>
      </c>
      <c r="M250" s="113" t="s">
        <v>69</v>
      </c>
      <c r="N250" s="112" t="s">
        <v>273</v>
      </c>
      <c r="O250" s="112" t="s">
        <v>274</v>
      </c>
    </row>
    <row r="251" spans="2:16" x14ac:dyDescent="0.25">
      <c r="B251" s="114" t="s">
        <v>71</v>
      </c>
      <c r="C251" s="115">
        <v>36</v>
      </c>
      <c r="D251" s="116">
        <v>0.71428571428571419</v>
      </c>
      <c r="E251" s="115">
        <v>87</v>
      </c>
      <c r="F251" s="116">
        <f t="shared" ref="F251:L263" si="11">IFERROR(E251/C251-1,"-")</f>
        <v>1.4166666666666665</v>
      </c>
      <c r="G251" s="115">
        <v>4</v>
      </c>
      <c r="H251" s="116">
        <f t="shared" si="11"/>
        <v>-0.95402298850574718</v>
      </c>
      <c r="I251" s="115">
        <v>50</v>
      </c>
      <c r="J251" s="116">
        <f t="shared" si="11"/>
        <v>11.5</v>
      </c>
      <c r="K251" s="115">
        <v>36</v>
      </c>
      <c r="L251" s="116">
        <f t="shared" si="11"/>
        <v>-0.28000000000000003</v>
      </c>
      <c r="M251" s="115">
        <v>58</v>
      </c>
      <c r="N251" s="116">
        <v>0.61111111111111116</v>
      </c>
      <c r="O251" s="116">
        <v>0.61111111111111116</v>
      </c>
    </row>
    <row r="252" spans="2:16" x14ac:dyDescent="0.25">
      <c r="B252" s="114" t="s">
        <v>73</v>
      </c>
      <c r="C252" s="115">
        <v>34</v>
      </c>
      <c r="D252" s="116">
        <v>-2.8571428571428581E-2</v>
      </c>
      <c r="E252" s="115">
        <v>17</v>
      </c>
      <c r="F252" s="116">
        <f t="shared" si="11"/>
        <v>-0.5</v>
      </c>
      <c r="G252" s="115">
        <v>5</v>
      </c>
      <c r="H252" s="116">
        <f t="shared" si="11"/>
        <v>-0.70588235294117641</v>
      </c>
      <c r="I252" s="115">
        <v>65</v>
      </c>
      <c r="J252" s="116">
        <f t="shared" si="11"/>
        <v>12</v>
      </c>
      <c r="K252" s="115">
        <v>17</v>
      </c>
      <c r="L252" s="116">
        <f t="shared" si="11"/>
        <v>-0.7384615384615385</v>
      </c>
      <c r="M252" s="115">
        <v>33</v>
      </c>
      <c r="N252" s="116">
        <v>0.94117647058823528</v>
      </c>
      <c r="O252" s="116">
        <v>-2.9411764705882359E-2</v>
      </c>
    </row>
    <row r="253" spans="2:16" x14ac:dyDescent="0.25">
      <c r="B253" s="114" t="s">
        <v>75</v>
      </c>
      <c r="C253" s="115">
        <v>15</v>
      </c>
      <c r="D253" s="116">
        <v>-0.16666666666666663</v>
      </c>
      <c r="E253" s="115">
        <v>8</v>
      </c>
      <c r="F253" s="116">
        <f t="shared" si="11"/>
        <v>-0.46666666666666667</v>
      </c>
      <c r="G253" s="115">
        <v>1</v>
      </c>
      <c r="H253" s="116">
        <f t="shared" si="11"/>
        <v>-0.875</v>
      </c>
      <c r="I253" s="115">
        <v>44</v>
      </c>
      <c r="J253" s="116">
        <f t="shared" si="11"/>
        <v>43</v>
      </c>
      <c r="K253" s="115">
        <v>14</v>
      </c>
      <c r="L253" s="116">
        <f t="shared" si="11"/>
        <v>-0.68181818181818188</v>
      </c>
      <c r="M253" s="115">
        <v>13</v>
      </c>
      <c r="N253" s="116">
        <v>-7.1428571428571397E-2</v>
      </c>
      <c r="O253" s="116">
        <v>-0.1333333333333333</v>
      </c>
    </row>
    <row r="254" spans="2:16" x14ac:dyDescent="0.25">
      <c r="B254" s="114" t="s">
        <v>77</v>
      </c>
      <c r="C254" s="115">
        <v>6</v>
      </c>
      <c r="D254" s="116">
        <v>-0.66666666666666674</v>
      </c>
      <c r="E254" s="115">
        <v>0</v>
      </c>
      <c r="F254" s="116">
        <f t="shared" si="11"/>
        <v>-1</v>
      </c>
      <c r="G254" s="115">
        <v>5</v>
      </c>
      <c r="H254" s="116" t="str">
        <f t="shared" si="11"/>
        <v>-</v>
      </c>
      <c r="I254" s="115">
        <v>10</v>
      </c>
      <c r="J254" s="116">
        <f t="shared" si="11"/>
        <v>1</v>
      </c>
      <c r="K254" s="115">
        <v>16</v>
      </c>
      <c r="L254" s="116">
        <f t="shared" si="11"/>
        <v>0.60000000000000009</v>
      </c>
      <c r="M254" s="115">
        <v>0</v>
      </c>
      <c r="N254" s="116">
        <v>-1</v>
      </c>
      <c r="O254" s="116">
        <v>-1</v>
      </c>
    </row>
    <row r="255" spans="2:16" x14ac:dyDescent="0.25">
      <c r="B255" s="114" t="s">
        <v>79</v>
      </c>
      <c r="C255" s="115">
        <v>4</v>
      </c>
      <c r="D255" s="116">
        <v>0</v>
      </c>
      <c r="E255" s="115">
        <v>0</v>
      </c>
      <c r="F255" s="116">
        <f t="shared" si="11"/>
        <v>-1</v>
      </c>
      <c r="G255" s="115">
        <v>2</v>
      </c>
      <c r="H255" s="116" t="str">
        <f t="shared" si="11"/>
        <v>-</v>
      </c>
      <c r="I255" s="115">
        <v>6</v>
      </c>
      <c r="J255" s="116">
        <f t="shared" si="11"/>
        <v>2</v>
      </c>
      <c r="K255" s="115">
        <v>2</v>
      </c>
      <c r="L255" s="116">
        <f t="shared" si="11"/>
        <v>-0.66666666666666674</v>
      </c>
      <c r="M255" s="115">
        <v>0</v>
      </c>
      <c r="N255" s="116">
        <v>-1</v>
      </c>
      <c r="O255" s="116">
        <v>-1</v>
      </c>
    </row>
    <row r="256" spans="2:16" x14ac:dyDescent="0.25">
      <c r="B256" s="114" t="s">
        <v>81</v>
      </c>
      <c r="C256" s="115">
        <v>6</v>
      </c>
      <c r="D256" s="116" t="s">
        <v>229</v>
      </c>
      <c r="E256" s="115">
        <v>0</v>
      </c>
      <c r="F256" s="116">
        <f t="shared" si="11"/>
        <v>-1</v>
      </c>
      <c r="G256" s="115">
        <v>0</v>
      </c>
      <c r="H256" s="116" t="str">
        <f t="shared" si="11"/>
        <v>-</v>
      </c>
      <c r="I256" s="115">
        <v>7</v>
      </c>
      <c r="J256" s="116" t="str">
        <f t="shared" si="11"/>
        <v>-</v>
      </c>
      <c r="K256" s="115">
        <v>2</v>
      </c>
      <c r="L256" s="116">
        <f t="shared" si="11"/>
        <v>-0.7142857142857143</v>
      </c>
      <c r="M256" s="115">
        <v>47</v>
      </c>
      <c r="N256" s="116">
        <v>22.5</v>
      </c>
      <c r="O256" s="116">
        <v>6.833333333333333</v>
      </c>
    </row>
    <row r="257" spans="2:16" x14ac:dyDescent="0.25">
      <c r="B257" s="114" t="s">
        <v>83</v>
      </c>
      <c r="C257" s="115">
        <v>3</v>
      </c>
      <c r="D257" s="116">
        <v>0.5</v>
      </c>
      <c r="E257" s="115">
        <v>0</v>
      </c>
      <c r="F257" s="116">
        <f t="shared" si="11"/>
        <v>-1</v>
      </c>
      <c r="G257" s="115">
        <v>2</v>
      </c>
      <c r="H257" s="116" t="str">
        <f t="shared" si="11"/>
        <v>-</v>
      </c>
      <c r="I257" s="115">
        <v>8</v>
      </c>
      <c r="J257" s="116">
        <f t="shared" si="11"/>
        <v>3</v>
      </c>
      <c r="K257" s="115">
        <v>9</v>
      </c>
      <c r="L257" s="116">
        <f t="shared" si="11"/>
        <v>0.125</v>
      </c>
      <c r="M257" s="115">
        <v>10</v>
      </c>
      <c r="N257" s="116">
        <v>0.11111111111111116</v>
      </c>
      <c r="O257" s="116">
        <v>2.3333333333333335</v>
      </c>
    </row>
    <row r="258" spans="2:16" x14ac:dyDescent="0.25">
      <c r="B258" s="114" t="s">
        <v>85</v>
      </c>
      <c r="C258" s="115">
        <v>1</v>
      </c>
      <c r="D258" s="116" t="s">
        <v>229</v>
      </c>
      <c r="E258" s="115">
        <v>1</v>
      </c>
      <c r="F258" s="116">
        <f t="shared" si="11"/>
        <v>0</v>
      </c>
      <c r="G258" s="115">
        <v>0</v>
      </c>
      <c r="H258" s="116">
        <f t="shared" si="11"/>
        <v>-1</v>
      </c>
      <c r="I258" s="115">
        <v>27</v>
      </c>
      <c r="J258" s="116" t="str">
        <f t="shared" si="11"/>
        <v>-</v>
      </c>
      <c r="K258" s="115">
        <v>6</v>
      </c>
      <c r="L258" s="116">
        <f t="shared" si="11"/>
        <v>-0.77777777777777779</v>
      </c>
      <c r="M258" s="115">
        <v>4</v>
      </c>
      <c r="N258" s="116">
        <v>-0.33333333333333337</v>
      </c>
      <c r="O258" s="116">
        <v>3</v>
      </c>
    </row>
    <row r="259" spans="2:16" x14ac:dyDescent="0.25">
      <c r="B259" s="114" t="s">
        <v>87</v>
      </c>
      <c r="C259" s="115">
        <v>2</v>
      </c>
      <c r="D259" s="116" t="s">
        <v>229</v>
      </c>
      <c r="E259" s="115">
        <v>1</v>
      </c>
      <c r="F259" s="116">
        <f t="shared" si="11"/>
        <v>-0.5</v>
      </c>
      <c r="G259" s="115">
        <v>1</v>
      </c>
      <c r="H259" s="116">
        <f t="shared" si="11"/>
        <v>0</v>
      </c>
      <c r="I259" s="115">
        <v>5</v>
      </c>
      <c r="J259" s="116">
        <f t="shared" si="11"/>
        <v>4</v>
      </c>
      <c r="K259" s="115">
        <v>4</v>
      </c>
      <c r="L259" s="116">
        <f t="shared" si="11"/>
        <v>-0.19999999999999996</v>
      </c>
      <c r="M259" s="115">
        <v>13</v>
      </c>
      <c r="N259" s="116">
        <v>2.25</v>
      </c>
      <c r="O259" s="116">
        <v>5.5</v>
      </c>
    </row>
    <row r="260" spans="2:16" x14ac:dyDescent="0.25">
      <c r="B260" s="114" t="s">
        <v>89</v>
      </c>
      <c r="C260" s="115">
        <v>12</v>
      </c>
      <c r="D260" s="116">
        <v>0.5</v>
      </c>
      <c r="E260" s="115">
        <v>0</v>
      </c>
      <c r="F260" s="116">
        <f t="shared" si="11"/>
        <v>-1</v>
      </c>
      <c r="G260" s="115">
        <v>31</v>
      </c>
      <c r="H260" s="116" t="str">
        <f t="shared" si="11"/>
        <v>-</v>
      </c>
      <c r="I260" s="115">
        <v>14</v>
      </c>
      <c r="J260" s="116">
        <f t="shared" si="11"/>
        <v>-0.54838709677419351</v>
      </c>
      <c r="K260" s="115">
        <v>6</v>
      </c>
      <c r="L260" s="116">
        <f t="shared" si="11"/>
        <v>-0.5714285714285714</v>
      </c>
      <c r="M260" s="115"/>
      <c r="N260" s="116" t="s">
        <v>229</v>
      </c>
      <c r="O260" s="116" t="s">
        <v>229</v>
      </c>
    </row>
    <row r="261" spans="2:16" x14ac:dyDescent="0.25">
      <c r="B261" s="114" t="s">
        <v>91</v>
      </c>
      <c r="C261" s="115">
        <v>16</v>
      </c>
      <c r="D261" s="116">
        <v>-0.44827586206896552</v>
      </c>
      <c r="E261" s="115">
        <v>4</v>
      </c>
      <c r="F261" s="116">
        <f t="shared" si="11"/>
        <v>-0.75</v>
      </c>
      <c r="G261" s="115">
        <v>22</v>
      </c>
      <c r="H261" s="116">
        <f t="shared" si="11"/>
        <v>4.5</v>
      </c>
      <c r="I261" s="115">
        <v>12</v>
      </c>
      <c r="J261" s="116">
        <f t="shared" si="11"/>
        <v>-0.45454545454545459</v>
      </c>
      <c r="K261" s="115">
        <v>24</v>
      </c>
      <c r="L261" s="116">
        <f t="shared" si="11"/>
        <v>1</v>
      </c>
      <c r="M261" s="115"/>
      <c r="N261" s="116" t="s">
        <v>229</v>
      </c>
      <c r="O261" s="116" t="s">
        <v>229</v>
      </c>
    </row>
    <row r="262" spans="2:16" x14ac:dyDescent="0.25">
      <c r="B262" s="114" t="s">
        <v>93</v>
      </c>
      <c r="C262" s="115">
        <v>20</v>
      </c>
      <c r="D262" s="116">
        <v>-0.51219512195121952</v>
      </c>
      <c r="E262" s="115">
        <v>2</v>
      </c>
      <c r="F262" s="116">
        <f t="shared" si="11"/>
        <v>-0.9</v>
      </c>
      <c r="G262" s="115">
        <v>32</v>
      </c>
      <c r="H262" s="116">
        <f t="shared" si="11"/>
        <v>15</v>
      </c>
      <c r="I262" s="115">
        <v>22</v>
      </c>
      <c r="J262" s="116">
        <f t="shared" si="11"/>
        <v>-0.3125</v>
      </c>
      <c r="K262" s="115">
        <v>17</v>
      </c>
      <c r="L262" s="116">
        <f t="shared" si="11"/>
        <v>-0.22727272727272729</v>
      </c>
      <c r="M262" s="115"/>
      <c r="N262" s="116" t="s">
        <v>229</v>
      </c>
      <c r="O262" s="116" t="s">
        <v>229</v>
      </c>
    </row>
    <row r="263" spans="2:16" ht="15.75" x14ac:dyDescent="0.25">
      <c r="B263" s="117" t="s">
        <v>30</v>
      </c>
      <c r="C263" s="118">
        <v>155</v>
      </c>
      <c r="D263" s="119">
        <v>-0.11931818181818177</v>
      </c>
      <c r="E263" s="118">
        <v>124</v>
      </c>
      <c r="F263" s="119">
        <f t="shared" si="11"/>
        <v>-0.19999999999999996</v>
      </c>
      <c r="G263" s="118">
        <v>105</v>
      </c>
      <c r="H263" s="119">
        <f t="shared" si="11"/>
        <v>-0.15322580645161288</v>
      </c>
      <c r="I263" s="118">
        <v>270</v>
      </c>
      <c r="J263" s="119">
        <f t="shared" si="11"/>
        <v>1.5714285714285716</v>
      </c>
      <c r="K263" s="118">
        <v>153</v>
      </c>
      <c r="L263" s="119">
        <f t="shared" si="11"/>
        <v>-0.43333333333333335</v>
      </c>
      <c r="M263" s="118">
        <v>178</v>
      </c>
      <c r="N263" s="119">
        <v>0.679245283018868</v>
      </c>
      <c r="O263" s="119">
        <v>0.66355140186915884</v>
      </c>
    </row>
    <row r="264" spans="2:16" ht="6" customHeight="1" x14ac:dyDescent="0.25"/>
    <row r="265" spans="2:16" x14ac:dyDescent="0.25">
      <c r="B265" s="105" t="s">
        <v>55</v>
      </c>
      <c r="C265" s="105"/>
      <c r="D265" s="105"/>
      <c r="E265" s="105"/>
      <c r="F265" s="105"/>
      <c r="G265" s="105"/>
      <c r="H265" s="105"/>
      <c r="I265" s="105"/>
      <c r="J265" s="105"/>
      <c r="K265" s="105"/>
      <c r="L265" s="105"/>
      <c r="M265" s="105"/>
      <c r="N265" s="105"/>
      <c r="O265" s="105"/>
    </row>
    <row r="266" spans="2:16" x14ac:dyDescent="0.25">
      <c r="K266" s="120"/>
    </row>
    <row r="268" spans="2:16" ht="48.75" customHeight="1" thickBot="1" x14ac:dyDescent="0.3">
      <c r="B268" s="270" t="s">
        <v>247</v>
      </c>
      <c r="C268" s="270"/>
      <c r="D268" s="270"/>
      <c r="E268" s="270"/>
      <c r="F268" s="270"/>
      <c r="G268" s="270"/>
      <c r="H268" s="270"/>
      <c r="I268" s="270"/>
      <c r="J268" s="270"/>
      <c r="K268" s="270"/>
      <c r="L268" s="270"/>
      <c r="M268" s="270"/>
      <c r="N268" s="270"/>
      <c r="O268" s="270"/>
      <c r="P268" s="1" t="s">
        <v>129</v>
      </c>
    </row>
    <row r="269" spans="2:16" ht="10.5" customHeight="1" thickBot="1" x14ac:dyDescent="0.3">
      <c r="B269" s="106"/>
      <c r="C269" s="107"/>
      <c r="D269" s="106"/>
      <c r="E269" s="106"/>
      <c r="F269" s="106"/>
      <c r="G269" s="106"/>
      <c r="H269" s="106"/>
      <c r="I269" s="106"/>
      <c r="J269" s="106"/>
      <c r="K269" s="106"/>
      <c r="L269" s="106"/>
      <c r="M269" s="4"/>
      <c r="N269" s="4"/>
      <c r="P269" s="1" t="s">
        <v>130</v>
      </c>
    </row>
    <row r="270" spans="2:16" ht="22.5" thickTop="1" thickBot="1" x14ac:dyDescent="0.3">
      <c r="B270" s="121" t="str">
        <f>C270</f>
        <v>Suecia</v>
      </c>
      <c r="C270" s="292" t="s">
        <v>131</v>
      </c>
      <c r="D270" s="293"/>
      <c r="E270" s="293"/>
      <c r="F270" s="293"/>
      <c r="G270" s="293"/>
      <c r="H270" s="293"/>
      <c r="I270" s="293"/>
      <c r="J270" s="293"/>
      <c r="K270" s="293"/>
      <c r="L270" s="293"/>
      <c r="M270" s="293"/>
      <c r="N270" s="293"/>
      <c r="O270" s="294"/>
    </row>
    <row r="271" spans="2:16" ht="22.5" thickTop="1" thickBot="1" x14ac:dyDescent="0.3">
      <c r="B271" s="109"/>
      <c r="C271" s="295">
        <f>2019</f>
        <v>2019</v>
      </c>
      <c r="D271" s="296"/>
      <c r="E271" s="297">
        <v>2020</v>
      </c>
      <c r="F271" s="296"/>
      <c r="G271" s="297">
        <v>2021</v>
      </c>
      <c r="H271" s="296"/>
      <c r="I271" s="297">
        <v>2022</v>
      </c>
      <c r="J271" s="296"/>
      <c r="K271" s="297">
        <v>2023</v>
      </c>
      <c r="L271" s="296"/>
      <c r="M271" s="297">
        <v>2024</v>
      </c>
      <c r="N271" s="298"/>
      <c r="O271" s="299"/>
    </row>
    <row r="272" spans="2:16" ht="16.5" thickTop="1" thickBot="1" x14ac:dyDescent="0.3">
      <c r="B272" s="85"/>
      <c r="C272" s="111" t="s">
        <v>69</v>
      </c>
      <c r="D272" s="112" t="str">
        <f>CONCATENATE("var ",RIGHT(2019,2),"/",RIGHT(2018,2))</f>
        <v>var 19/18</v>
      </c>
      <c r="E272" s="113" t="s">
        <v>69</v>
      </c>
      <c r="F272" s="112" t="str">
        <f>CONCATENATE("var ",RIGHT(E271,2),"/",RIGHT(E271-1,2))</f>
        <v>var 20/19</v>
      </c>
      <c r="G272" s="113" t="s">
        <v>69</v>
      </c>
      <c r="H272" s="112" t="str">
        <f>CONCATENATE("var ",RIGHT(G271,2),"/",RIGHT(G271-1,2))</f>
        <v>var 21/20</v>
      </c>
      <c r="I272" s="113" t="s">
        <v>69</v>
      </c>
      <c r="J272" s="112" t="str">
        <f>CONCATENATE("var ",RIGHT(I271,2),"/",RIGHT(I271-1,2))</f>
        <v>var 22/21</v>
      </c>
      <c r="K272" s="113" t="s">
        <v>69</v>
      </c>
      <c r="L272" s="112" t="str">
        <f>CONCATENATE("var ",RIGHT(K271,2),"/",RIGHT(K271-1,2))</f>
        <v>var 23/22</v>
      </c>
      <c r="M272" s="113" t="s">
        <v>69</v>
      </c>
      <c r="N272" s="112" t="s">
        <v>273</v>
      </c>
      <c r="O272" s="112" t="s">
        <v>274</v>
      </c>
    </row>
    <row r="273" spans="2:15" x14ac:dyDescent="0.25">
      <c r="B273" s="114" t="s">
        <v>71</v>
      </c>
      <c r="C273" s="115">
        <v>16</v>
      </c>
      <c r="D273" s="116">
        <v>-0.69811320754716988</v>
      </c>
      <c r="E273" s="115">
        <v>30</v>
      </c>
      <c r="F273" s="116">
        <f t="shared" ref="F273:L285" si="12">IFERROR(E273/C273-1,"-")</f>
        <v>0.875</v>
      </c>
      <c r="G273" s="115">
        <v>7</v>
      </c>
      <c r="H273" s="116">
        <f t="shared" si="12"/>
        <v>-0.76666666666666661</v>
      </c>
      <c r="I273" s="115">
        <v>37</v>
      </c>
      <c r="J273" s="116">
        <f t="shared" si="12"/>
        <v>4.2857142857142856</v>
      </c>
      <c r="K273" s="115">
        <v>64</v>
      </c>
      <c r="L273" s="116">
        <f t="shared" si="12"/>
        <v>0.72972972972972983</v>
      </c>
      <c r="M273" s="115">
        <v>161</v>
      </c>
      <c r="N273" s="116">
        <v>1.515625</v>
      </c>
      <c r="O273" s="116">
        <v>9.0625</v>
      </c>
    </row>
    <row r="274" spans="2:15" x14ac:dyDescent="0.25">
      <c r="B274" s="114" t="s">
        <v>73</v>
      </c>
      <c r="C274" s="115">
        <v>33</v>
      </c>
      <c r="D274" s="116">
        <v>-0.44999999999999996</v>
      </c>
      <c r="E274" s="115">
        <v>26</v>
      </c>
      <c r="F274" s="116">
        <f t="shared" si="12"/>
        <v>-0.21212121212121215</v>
      </c>
      <c r="G274" s="115">
        <v>2</v>
      </c>
      <c r="H274" s="116">
        <f t="shared" si="12"/>
        <v>-0.92307692307692313</v>
      </c>
      <c r="I274" s="115">
        <v>10</v>
      </c>
      <c r="J274" s="116">
        <f t="shared" si="12"/>
        <v>4</v>
      </c>
      <c r="K274" s="115">
        <v>16</v>
      </c>
      <c r="L274" s="116">
        <f t="shared" si="12"/>
        <v>0.60000000000000009</v>
      </c>
      <c r="M274" s="115">
        <v>45</v>
      </c>
      <c r="N274" s="116">
        <v>1.8125</v>
      </c>
      <c r="O274" s="116">
        <v>0.36363636363636354</v>
      </c>
    </row>
    <row r="275" spans="2:15" x14ac:dyDescent="0.25">
      <c r="B275" s="114" t="s">
        <v>75</v>
      </c>
      <c r="C275" s="115">
        <v>38</v>
      </c>
      <c r="D275" s="116">
        <v>-0.43283582089552242</v>
      </c>
      <c r="E275" s="115">
        <v>5</v>
      </c>
      <c r="F275" s="116">
        <f t="shared" si="12"/>
        <v>-0.86842105263157898</v>
      </c>
      <c r="G275" s="115">
        <v>8</v>
      </c>
      <c r="H275" s="116">
        <f t="shared" si="12"/>
        <v>0.60000000000000009</v>
      </c>
      <c r="I275" s="115">
        <v>22</v>
      </c>
      <c r="J275" s="116">
        <f t="shared" si="12"/>
        <v>1.75</v>
      </c>
      <c r="K275" s="115">
        <v>38</v>
      </c>
      <c r="L275" s="116">
        <f t="shared" si="12"/>
        <v>0.72727272727272729</v>
      </c>
      <c r="M275" s="115">
        <v>35</v>
      </c>
      <c r="N275" s="116">
        <v>-7.8947368421052655E-2</v>
      </c>
      <c r="O275" s="116">
        <v>-7.8947368421052655E-2</v>
      </c>
    </row>
    <row r="276" spans="2:15" x14ac:dyDescent="0.25">
      <c r="B276" s="114" t="s">
        <v>77</v>
      </c>
      <c r="C276" s="115">
        <v>15</v>
      </c>
      <c r="D276" s="116">
        <v>-0.21052631578947367</v>
      </c>
      <c r="E276" s="115">
        <v>0</v>
      </c>
      <c r="F276" s="116">
        <f t="shared" si="12"/>
        <v>-1</v>
      </c>
      <c r="G276" s="115">
        <v>8</v>
      </c>
      <c r="H276" s="116" t="str">
        <f t="shared" si="12"/>
        <v>-</v>
      </c>
      <c r="I276" s="115">
        <v>2</v>
      </c>
      <c r="J276" s="116">
        <f t="shared" si="12"/>
        <v>-0.75</v>
      </c>
      <c r="K276" s="115">
        <v>22</v>
      </c>
      <c r="L276" s="116">
        <f t="shared" si="12"/>
        <v>10</v>
      </c>
      <c r="M276" s="115">
        <v>20</v>
      </c>
      <c r="N276" s="116">
        <v>-9.0909090909090939E-2</v>
      </c>
      <c r="O276" s="116">
        <v>0.33333333333333326</v>
      </c>
    </row>
    <row r="277" spans="2:15" x14ac:dyDescent="0.25">
      <c r="B277" s="114" t="s">
        <v>79</v>
      </c>
      <c r="C277" s="115">
        <v>3</v>
      </c>
      <c r="D277" s="116">
        <v>-0.76923076923076916</v>
      </c>
      <c r="E277" s="115">
        <v>0</v>
      </c>
      <c r="F277" s="116">
        <f t="shared" si="12"/>
        <v>-1</v>
      </c>
      <c r="G277" s="115">
        <v>12</v>
      </c>
      <c r="H277" s="116" t="str">
        <f t="shared" si="12"/>
        <v>-</v>
      </c>
      <c r="I277" s="115">
        <v>6</v>
      </c>
      <c r="J277" s="116">
        <f t="shared" si="12"/>
        <v>-0.5</v>
      </c>
      <c r="K277" s="115">
        <v>6</v>
      </c>
      <c r="L277" s="116">
        <f t="shared" si="12"/>
        <v>0</v>
      </c>
      <c r="M277" s="115">
        <v>4</v>
      </c>
      <c r="N277" s="116">
        <v>-0.33333333333333337</v>
      </c>
      <c r="O277" s="116">
        <v>0.33333333333333326</v>
      </c>
    </row>
    <row r="278" spans="2:15" x14ac:dyDescent="0.25">
      <c r="B278" s="114" t="s">
        <v>81</v>
      </c>
      <c r="C278" s="115">
        <v>21</v>
      </c>
      <c r="D278" s="116">
        <v>6</v>
      </c>
      <c r="E278" s="115">
        <v>0</v>
      </c>
      <c r="F278" s="116">
        <f t="shared" si="12"/>
        <v>-1</v>
      </c>
      <c r="G278" s="115">
        <v>5</v>
      </c>
      <c r="H278" s="116" t="str">
        <f t="shared" si="12"/>
        <v>-</v>
      </c>
      <c r="I278" s="115">
        <v>22</v>
      </c>
      <c r="J278" s="116">
        <f t="shared" si="12"/>
        <v>3.4000000000000004</v>
      </c>
      <c r="K278" s="115">
        <v>9</v>
      </c>
      <c r="L278" s="116">
        <f t="shared" si="12"/>
        <v>-0.59090909090909083</v>
      </c>
      <c r="M278" s="115">
        <v>0</v>
      </c>
      <c r="N278" s="116">
        <v>-1</v>
      </c>
      <c r="O278" s="116">
        <v>-1</v>
      </c>
    </row>
    <row r="279" spans="2:15" x14ac:dyDescent="0.25">
      <c r="B279" s="114" t="s">
        <v>83</v>
      </c>
      <c r="C279" s="115">
        <v>13</v>
      </c>
      <c r="D279" s="116">
        <v>8.3333333333333259E-2</v>
      </c>
      <c r="E279" s="115">
        <v>0</v>
      </c>
      <c r="F279" s="116">
        <f t="shared" si="12"/>
        <v>-1</v>
      </c>
      <c r="G279" s="115">
        <v>2</v>
      </c>
      <c r="H279" s="116" t="str">
        <f t="shared" si="12"/>
        <v>-</v>
      </c>
      <c r="I279" s="115">
        <v>4</v>
      </c>
      <c r="J279" s="116">
        <f t="shared" si="12"/>
        <v>1</v>
      </c>
      <c r="K279" s="115">
        <v>9</v>
      </c>
      <c r="L279" s="116">
        <f t="shared" si="12"/>
        <v>1.25</v>
      </c>
      <c r="M279" s="115">
        <v>2</v>
      </c>
      <c r="N279" s="116">
        <v>-0.77777777777777779</v>
      </c>
      <c r="O279" s="116">
        <v>-0.84615384615384615</v>
      </c>
    </row>
    <row r="280" spans="2:15" x14ac:dyDescent="0.25">
      <c r="B280" s="114" t="s">
        <v>85</v>
      </c>
      <c r="C280" s="115">
        <v>7</v>
      </c>
      <c r="D280" s="116">
        <v>0.39999999999999991</v>
      </c>
      <c r="E280" s="115">
        <v>3</v>
      </c>
      <c r="F280" s="116">
        <f t="shared" si="12"/>
        <v>-0.5714285714285714</v>
      </c>
      <c r="G280" s="115">
        <v>9</v>
      </c>
      <c r="H280" s="116">
        <f t="shared" si="12"/>
        <v>2</v>
      </c>
      <c r="I280" s="115">
        <v>5</v>
      </c>
      <c r="J280" s="116">
        <f t="shared" si="12"/>
        <v>-0.44444444444444442</v>
      </c>
      <c r="K280" s="115">
        <v>14</v>
      </c>
      <c r="L280" s="116">
        <f t="shared" si="12"/>
        <v>1.7999999999999998</v>
      </c>
      <c r="M280" s="115">
        <v>5</v>
      </c>
      <c r="N280" s="116">
        <v>-0.64285714285714279</v>
      </c>
      <c r="O280" s="116">
        <v>-0.2857142857142857</v>
      </c>
    </row>
    <row r="281" spans="2:15" x14ac:dyDescent="0.25">
      <c r="B281" s="114" t="s">
        <v>87</v>
      </c>
      <c r="C281" s="115">
        <v>0</v>
      </c>
      <c r="D281" s="116">
        <v>-1</v>
      </c>
      <c r="E281" s="115">
        <v>2</v>
      </c>
      <c r="F281" s="116" t="str">
        <f t="shared" si="12"/>
        <v>-</v>
      </c>
      <c r="G281" s="115">
        <v>10</v>
      </c>
      <c r="H281" s="116">
        <f t="shared" si="12"/>
        <v>4</v>
      </c>
      <c r="I281" s="115">
        <v>6</v>
      </c>
      <c r="J281" s="116">
        <f t="shared" si="12"/>
        <v>-0.4</v>
      </c>
      <c r="K281" s="115">
        <v>12</v>
      </c>
      <c r="L281" s="116">
        <f t="shared" si="12"/>
        <v>1</v>
      </c>
      <c r="M281" s="115">
        <v>10</v>
      </c>
      <c r="N281" s="116">
        <v>-0.16666666666666663</v>
      </c>
      <c r="O281" s="116" t="s">
        <v>229</v>
      </c>
    </row>
    <row r="282" spans="2:15" x14ac:dyDescent="0.25">
      <c r="B282" s="114" t="s">
        <v>89</v>
      </c>
      <c r="C282" s="115">
        <v>22</v>
      </c>
      <c r="D282" s="116">
        <v>1.75</v>
      </c>
      <c r="E282" s="115">
        <v>4</v>
      </c>
      <c r="F282" s="116">
        <f t="shared" si="12"/>
        <v>-0.81818181818181812</v>
      </c>
      <c r="G282" s="115">
        <v>4</v>
      </c>
      <c r="H282" s="116">
        <f t="shared" si="12"/>
        <v>0</v>
      </c>
      <c r="I282" s="115">
        <v>11</v>
      </c>
      <c r="J282" s="116">
        <f t="shared" si="12"/>
        <v>1.75</v>
      </c>
      <c r="K282" s="115">
        <v>16</v>
      </c>
      <c r="L282" s="116">
        <f t="shared" si="12"/>
        <v>0.45454545454545459</v>
      </c>
      <c r="M282" s="115"/>
      <c r="N282" s="116" t="s">
        <v>229</v>
      </c>
      <c r="O282" s="116" t="s">
        <v>229</v>
      </c>
    </row>
    <row r="283" spans="2:15" x14ac:dyDescent="0.25">
      <c r="B283" s="114" t="s">
        <v>91</v>
      </c>
      <c r="C283" s="115">
        <v>62</v>
      </c>
      <c r="D283" s="116">
        <v>-0.17333333333333334</v>
      </c>
      <c r="E283" s="115">
        <v>12</v>
      </c>
      <c r="F283" s="116">
        <f t="shared" si="12"/>
        <v>-0.80645161290322576</v>
      </c>
      <c r="G283" s="115">
        <v>13</v>
      </c>
      <c r="H283" s="116">
        <f t="shared" si="12"/>
        <v>8.3333333333333259E-2</v>
      </c>
      <c r="I283" s="115">
        <v>8</v>
      </c>
      <c r="J283" s="116">
        <f t="shared" si="12"/>
        <v>-0.38461538461538458</v>
      </c>
      <c r="K283" s="115">
        <v>32</v>
      </c>
      <c r="L283" s="116">
        <f t="shared" si="12"/>
        <v>3</v>
      </c>
      <c r="M283" s="115"/>
      <c r="N283" s="116" t="s">
        <v>229</v>
      </c>
      <c r="O283" s="116" t="s">
        <v>229</v>
      </c>
    </row>
    <row r="284" spans="2:15" x14ac:dyDescent="0.25">
      <c r="B284" s="114" t="s">
        <v>93</v>
      </c>
      <c r="C284" s="115">
        <v>41</v>
      </c>
      <c r="D284" s="116">
        <v>-0.32786885245901642</v>
      </c>
      <c r="E284" s="115">
        <v>5</v>
      </c>
      <c r="F284" s="116">
        <f t="shared" si="12"/>
        <v>-0.87804878048780488</v>
      </c>
      <c r="G284" s="115">
        <v>16</v>
      </c>
      <c r="H284" s="116">
        <f t="shared" si="12"/>
        <v>2.2000000000000002</v>
      </c>
      <c r="I284" s="115">
        <v>35</v>
      </c>
      <c r="J284" s="116">
        <f t="shared" si="12"/>
        <v>1.1875</v>
      </c>
      <c r="K284" s="115">
        <v>32</v>
      </c>
      <c r="L284" s="116">
        <f t="shared" si="12"/>
        <v>-8.5714285714285743E-2</v>
      </c>
      <c r="M284" s="115"/>
      <c r="N284" s="116" t="s">
        <v>229</v>
      </c>
      <c r="O284" s="116" t="s">
        <v>229</v>
      </c>
    </row>
    <row r="285" spans="2:15" ht="15.75" x14ac:dyDescent="0.25">
      <c r="B285" s="117" t="s">
        <v>30</v>
      </c>
      <c r="C285" s="118">
        <v>271</v>
      </c>
      <c r="D285" s="119">
        <v>-0.29242819843342038</v>
      </c>
      <c r="E285" s="118">
        <v>89</v>
      </c>
      <c r="F285" s="119">
        <f t="shared" si="12"/>
        <v>-0.67158671586715868</v>
      </c>
      <c r="G285" s="118">
        <v>96</v>
      </c>
      <c r="H285" s="119">
        <f t="shared" si="12"/>
        <v>7.8651685393258397E-2</v>
      </c>
      <c r="I285" s="118">
        <v>168</v>
      </c>
      <c r="J285" s="119">
        <f t="shared" si="12"/>
        <v>0.75</v>
      </c>
      <c r="K285" s="118">
        <v>270</v>
      </c>
      <c r="L285" s="119">
        <f t="shared" si="12"/>
        <v>0.60714285714285721</v>
      </c>
      <c r="M285" s="118">
        <v>282</v>
      </c>
      <c r="N285" s="119">
        <v>0.48421052631578942</v>
      </c>
      <c r="O285" s="119">
        <v>0.93150684931506844</v>
      </c>
    </row>
    <row r="286" spans="2:15" ht="6" customHeight="1" x14ac:dyDescent="0.25"/>
    <row r="287" spans="2:15" x14ac:dyDescent="0.25">
      <c r="B287" s="105" t="s">
        <v>55</v>
      </c>
      <c r="C287" s="105"/>
      <c r="D287" s="105"/>
      <c r="E287" s="105"/>
      <c r="F287" s="105"/>
      <c r="G287" s="105"/>
      <c r="H287" s="105"/>
      <c r="I287" s="105"/>
      <c r="J287" s="105"/>
      <c r="K287" s="105"/>
      <c r="L287" s="105"/>
      <c r="M287" s="105"/>
      <c r="N287" s="105"/>
      <c r="O287" s="105"/>
    </row>
    <row r="288" spans="2:15" x14ac:dyDescent="0.25">
      <c r="C288" s="120"/>
      <c r="K288" s="120"/>
      <c r="N288" s="79"/>
    </row>
    <row r="290" spans="3:13" x14ac:dyDescent="0.25">
      <c r="C290" s="79"/>
      <c r="E290" s="79"/>
      <c r="G290" s="79"/>
      <c r="I290" s="79"/>
      <c r="K290" s="79"/>
      <c r="M290" s="79"/>
    </row>
  </sheetData>
  <mergeCells count="104">
    <mergeCell ref="B4:O4"/>
    <mergeCell ref="C6:O6"/>
    <mergeCell ref="C7:D7"/>
    <mergeCell ref="E7:F7"/>
    <mergeCell ref="G7:H7"/>
    <mergeCell ref="I7:J7"/>
    <mergeCell ref="K7:L7"/>
    <mergeCell ref="M7:O7"/>
    <mergeCell ref="B48:O48"/>
    <mergeCell ref="C50:O50"/>
    <mergeCell ref="C51:D51"/>
    <mergeCell ref="E51:F51"/>
    <mergeCell ref="G51:H51"/>
    <mergeCell ref="I51:J51"/>
    <mergeCell ref="K51:L51"/>
    <mergeCell ref="M51:O51"/>
    <mergeCell ref="B26:O26"/>
    <mergeCell ref="C28:O28"/>
    <mergeCell ref="C29:D29"/>
    <mergeCell ref="E29:F29"/>
    <mergeCell ref="G29:H29"/>
    <mergeCell ref="I29:J29"/>
    <mergeCell ref="K29:L29"/>
    <mergeCell ref="M29:O29"/>
    <mergeCell ref="B92:O92"/>
    <mergeCell ref="C94:O94"/>
    <mergeCell ref="C95:D95"/>
    <mergeCell ref="E95:F95"/>
    <mergeCell ref="G95:H95"/>
    <mergeCell ref="I95:J95"/>
    <mergeCell ref="K95:L95"/>
    <mergeCell ref="M95:O95"/>
    <mergeCell ref="B70:O70"/>
    <mergeCell ref="C72:O72"/>
    <mergeCell ref="C73:D73"/>
    <mergeCell ref="E73:F73"/>
    <mergeCell ref="G73:H73"/>
    <mergeCell ref="I73:J73"/>
    <mergeCell ref="K73:L73"/>
    <mergeCell ref="M73:O73"/>
    <mergeCell ref="B136:O136"/>
    <mergeCell ref="C138:O138"/>
    <mergeCell ref="C139:D139"/>
    <mergeCell ref="E139:F139"/>
    <mergeCell ref="G139:H139"/>
    <mergeCell ref="I139:J139"/>
    <mergeCell ref="K139:L139"/>
    <mergeCell ref="M139:O139"/>
    <mergeCell ref="B114:O114"/>
    <mergeCell ref="C116:O116"/>
    <mergeCell ref="C117:D117"/>
    <mergeCell ref="E117:F117"/>
    <mergeCell ref="G117:H117"/>
    <mergeCell ref="I117:J117"/>
    <mergeCell ref="K117:L117"/>
    <mergeCell ref="M117:O117"/>
    <mergeCell ref="B180:O180"/>
    <mergeCell ref="C182:O182"/>
    <mergeCell ref="C183:D183"/>
    <mergeCell ref="E183:F183"/>
    <mergeCell ref="G183:H183"/>
    <mergeCell ref="I183:J183"/>
    <mergeCell ref="K183:L183"/>
    <mergeCell ref="M183:O183"/>
    <mergeCell ref="B158:O158"/>
    <mergeCell ref="C160:O160"/>
    <mergeCell ref="C161:D161"/>
    <mergeCell ref="E161:F161"/>
    <mergeCell ref="G161:H161"/>
    <mergeCell ref="I161:J161"/>
    <mergeCell ref="K161:L161"/>
    <mergeCell ref="M161:O161"/>
    <mergeCell ref="B224:O224"/>
    <mergeCell ref="C226:O226"/>
    <mergeCell ref="C227:D227"/>
    <mergeCell ref="E227:F227"/>
    <mergeCell ref="G227:H227"/>
    <mergeCell ref="I227:J227"/>
    <mergeCell ref="K227:L227"/>
    <mergeCell ref="M227:O227"/>
    <mergeCell ref="B202:O202"/>
    <mergeCell ref="C204:O204"/>
    <mergeCell ref="C205:D205"/>
    <mergeCell ref="E205:F205"/>
    <mergeCell ref="G205:H205"/>
    <mergeCell ref="I205:J205"/>
    <mergeCell ref="K205:L205"/>
    <mergeCell ref="M205:O205"/>
    <mergeCell ref="B268:O268"/>
    <mergeCell ref="C270:O270"/>
    <mergeCell ref="C271:D271"/>
    <mergeCell ref="E271:F271"/>
    <mergeCell ref="G271:H271"/>
    <mergeCell ref="I271:J271"/>
    <mergeCell ref="K271:L271"/>
    <mergeCell ref="M271:O271"/>
    <mergeCell ref="B246:O246"/>
    <mergeCell ref="C248:O248"/>
    <mergeCell ref="C249:D249"/>
    <mergeCell ref="E249:F249"/>
    <mergeCell ref="G249:H249"/>
    <mergeCell ref="I249:J249"/>
    <mergeCell ref="K249:L249"/>
    <mergeCell ref="M249:O249"/>
  </mergeCell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FF51B9-F9B9-4066-B076-1F581563BDB1}">
  <sheetPr>
    <tabColor theme="7" tint="0.79998168889431442"/>
  </sheetPr>
  <dimension ref="A4:T23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2" max="2" width="14.28515625" customWidth="1"/>
    <col min="18" max="18" width="13.5703125" bestFit="1" customWidth="1"/>
    <col min="19" max="19" width="11.140625" customWidth="1"/>
  </cols>
  <sheetData>
    <row r="4" spans="1:20" ht="48.75" customHeight="1" thickBot="1" x14ac:dyDescent="0.3">
      <c r="B4" s="270" t="s">
        <v>236</v>
      </c>
      <c r="C4" s="270"/>
      <c r="D4" s="270"/>
      <c r="E4" s="270"/>
      <c r="F4" s="270"/>
      <c r="G4" s="270"/>
      <c r="H4" s="270"/>
      <c r="I4" s="270"/>
      <c r="J4" s="270"/>
      <c r="K4" s="270"/>
      <c r="L4" s="270"/>
      <c r="M4" s="270"/>
      <c r="N4" s="270"/>
      <c r="O4" s="270"/>
      <c r="P4" s="270"/>
      <c r="Q4" s="270"/>
      <c r="R4" s="270"/>
      <c r="S4" s="270"/>
      <c r="T4" s="1" t="s">
        <v>66</v>
      </c>
    </row>
    <row r="5" spans="1:20" ht="10.5" customHeight="1" thickBot="1" x14ac:dyDescent="0.3">
      <c r="B5" s="106"/>
      <c r="C5" s="106"/>
      <c r="D5" s="106"/>
      <c r="E5" s="106"/>
      <c r="F5" s="106"/>
      <c r="G5" s="106"/>
      <c r="H5" s="106"/>
      <c r="I5" s="106"/>
      <c r="J5" s="107"/>
      <c r="K5" s="106"/>
      <c r="L5" s="106"/>
      <c r="M5" s="106"/>
      <c r="N5" s="106"/>
      <c r="O5" s="106"/>
      <c r="P5" s="109"/>
      <c r="Q5" s="4"/>
      <c r="R5" s="4"/>
      <c r="T5" s="1" t="s">
        <v>67</v>
      </c>
    </row>
    <row r="6" spans="1:20" ht="22.5" thickTop="1" thickBot="1" x14ac:dyDescent="0.3">
      <c r="B6" s="108" t="s">
        <v>30</v>
      </c>
      <c r="C6" s="292" t="s">
        <v>132</v>
      </c>
      <c r="D6" s="293"/>
      <c r="E6" s="293"/>
      <c r="F6" s="293"/>
      <c r="G6" s="293"/>
      <c r="H6" s="293"/>
      <c r="I6" s="293"/>
      <c r="J6" s="293"/>
      <c r="K6" s="293"/>
      <c r="L6" s="293"/>
      <c r="M6" s="293"/>
      <c r="N6" s="293"/>
      <c r="O6" s="293"/>
      <c r="P6" s="293"/>
      <c r="Q6" s="293"/>
      <c r="R6" s="293"/>
      <c r="S6" s="294"/>
    </row>
    <row r="7" spans="1:20" ht="22.5" thickTop="1" thickBot="1" x14ac:dyDescent="0.3">
      <c r="B7" s="109"/>
      <c r="C7" s="110">
        <v>2017</v>
      </c>
      <c r="D7" s="295">
        <v>2018</v>
      </c>
      <c r="E7" s="296"/>
      <c r="F7" s="295">
        <v>2019</v>
      </c>
      <c r="G7" s="296"/>
      <c r="H7" s="295">
        <v>2020</v>
      </c>
      <c r="I7" s="296"/>
      <c r="J7" s="295">
        <v>2021</v>
      </c>
      <c r="K7" s="296"/>
      <c r="L7" s="297">
        <v>2022</v>
      </c>
      <c r="M7" s="296"/>
      <c r="N7" s="297">
        <v>2023</v>
      </c>
      <c r="O7" s="298"/>
      <c r="P7" s="296"/>
      <c r="Q7" s="297">
        <v>2024</v>
      </c>
      <c r="R7" s="298"/>
      <c r="S7" s="299"/>
    </row>
    <row r="8" spans="1:20" ht="16.5" thickTop="1" thickBot="1" x14ac:dyDescent="0.3">
      <c r="B8" s="85"/>
      <c r="C8" s="111" t="s">
        <v>69</v>
      </c>
      <c r="D8" s="111" t="s">
        <v>69</v>
      </c>
      <c r="E8" s="112" t="s">
        <v>133</v>
      </c>
      <c r="F8" s="111" t="s">
        <v>69</v>
      </c>
      <c r="G8" s="112" t="s">
        <v>134</v>
      </c>
      <c r="H8" s="111" t="s">
        <v>69</v>
      </c>
      <c r="I8" s="112" t="s">
        <v>135</v>
      </c>
      <c r="J8" s="111" t="s">
        <v>69</v>
      </c>
      <c r="K8" s="112" t="s">
        <v>248</v>
      </c>
      <c r="L8" s="113" t="s">
        <v>69</v>
      </c>
      <c r="M8" s="112" t="s">
        <v>136</v>
      </c>
      <c r="N8" s="113" t="s">
        <v>69</v>
      </c>
      <c r="O8" s="112" t="s">
        <v>249</v>
      </c>
      <c r="P8" s="112" t="str">
        <f>CONCATENATE("var ",RIGHT(N7,2),"/",RIGHT(F7,2))</f>
        <v>var 23/19</v>
      </c>
      <c r="Q8" s="113" t="s">
        <v>69</v>
      </c>
      <c r="R8" s="112" t="s">
        <v>136</v>
      </c>
      <c r="S8" s="112" t="str">
        <f>CONCATENATE("var ",RIGHT(Q7,2),"/",RIGHT(F7,2))</f>
        <v>var 24/19</v>
      </c>
    </row>
    <row r="9" spans="1:20" x14ac:dyDescent="0.25">
      <c r="A9" s="1" t="s">
        <v>70</v>
      </c>
      <c r="B9" s="114" t="s">
        <v>71</v>
      </c>
      <c r="C9" s="115">
        <v>4761</v>
      </c>
      <c r="D9" s="115">
        <v>4847</v>
      </c>
      <c r="E9" s="116">
        <f t="shared" ref="E9:E21" si="0">D9/C9-1</f>
        <v>1.8063432052089823E-2</v>
      </c>
      <c r="F9" s="115">
        <v>4716</v>
      </c>
      <c r="G9" s="116">
        <f>F9/D9-1</f>
        <v>-2.7027027027026973E-2</v>
      </c>
      <c r="H9" s="115">
        <v>5197</v>
      </c>
      <c r="I9" s="116">
        <f>H9/F9-1</f>
        <v>0.10199321458863442</v>
      </c>
      <c r="J9" s="115">
        <v>1146</v>
      </c>
      <c r="K9" s="116">
        <v>-0.77948816624975947</v>
      </c>
      <c r="L9" s="115">
        <v>3527</v>
      </c>
      <c r="M9" s="116">
        <f t="shared" ref="M9:M21" si="1">IFERROR(L9/J9-1,"-")</f>
        <v>2.0776614310645725</v>
      </c>
      <c r="N9" s="115">
        <v>5390</v>
      </c>
      <c r="O9" s="116">
        <f>IFERROR(N9/L9-1,"-")</f>
        <v>0.52821094414516589</v>
      </c>
      <c r="P9" s="98">
        <f>N9/F9-1</f>
        <v>0.14291772688719262</v>
      </c>
      <c r="Q9" s="115">
        <v>5217</v>
      </c>
      <c r="R9" s="116">
        <f>IFERROR(Q9/N9-1,"-")</f>
        <v>-3.2096474953617782E-2</v>
      </c>
      <c r="S9" s="116">
        <f>IFERROR(Q9/F9-1,"-")</f>
        <v>0.10623409669211203</v>
      </c>
    </row>
    <row r="10" spans="1:20" x14ac:dyDescent="0.25">
      <c r="A10" s="1" t="s">
        <v>72</v>
      </c>
      <c r="B10" s="114" t="s">
        <v>73</v>
      </c>
      <c r="C10" s="115">
        <v>2029</v>
      </c>
      <c r="D10" s="115">
        <v>4884</v>
      </c>
      <c r="E10" s="116">
        <f t="shared" si="0"/>
        <v>1.4070970921636272</v>
      </c>
      <c r="F10" s="115">
        <v>4935</v>
      </c>
      <c r="G10" s="116">
        <f t="shared" ref="G10:I21" si="2">F10/D10-1</f>
        <v>1.0442260442260487E-2</v>
      </c>
      <c r="H10" s="115">
        <v>5359</v>
      </c>
      <c r="I10" s="116">
        <f t="shared" si="2"/>
        <v>8.5916919959473148E-2</v>
      </c>
      <c r="J10" s="115">
        <v>1385</v>
      </c>
      <c r="K10" s="116">
        <v>-0.74155626049636125</v>
      </c>
      <c r="L10" s="115">
        <v>4177</v>
      </c>
      <c r="M10" s="116">
        <f t="shared" si="1"/>
        <v>2.0158844765342958</v>
      </c>
      <c r="N10" s="115">
        <v>5270</v>
      </c>
      <c r="O10" s="116">
        <f t="shared" ref="O10:O21" si="3">IFERROR(N10/L10-1,"-")</f>
        <v>0.2616710557816615</v>
      </c>
      <c r="P10" s="98">
        <f t="shared" ref="P10:P21" si="4">N10/F10-1</f>
        <v>6.7882472137791305E-2</v>
      </c>
      <c r="Q10" s="115">
        <v>4803</v>
      </c>
      <c r="R10" s="116">
        <f t="shared" ref="R10:R19" si="5">IFERROR(Q10/N10-1,"-")</f>
        <v>-8.861480075901329E-2</v>
      </c>
      <c r="S10" s="116">
        <f t="shared" ref="S10:S20" si="6">IFERROR(Q10/F10-1,"-")</f>
        <v>-2.6747720364741601E-2</v>
      </c>
    </row>
    <row r="11" spans="1:20" x14ac:dyDescent="0.25">
      <c r="A11" s="1" t="s">
        <v>74</v>
      </c>
      <c r="B11" s="114" t="s">
        <v>75</v>
      </c>
      <c r="C11" s="115">
        <v>4617</v>
      </c>
      <c r="D11" s="115">
        <v>5201</v>
      </c>
      <c r="E11" s="116">
        <f t="shared" si="0"/>
        <v>0.12648906216157685</v>
      </c>
      <c r="F11" s="115">
        <v>5148</v>
      </c>
      <c r="G11" s="116">
        <f t="shared" si="2"/>
        <v>-1.0190348009998074E-2</v>
      </c>
      <c r="H11" s="115">
        <v>2198</v>
      </c>
      <c r="I11" s="116">
        <f t="shared" si="2"/>
        <v>-0.57303807303807308</v>
      </c>
      <c r="J11" s="115">
        <v>2288</v>
      </c>
      <c r="K11" s="116">
        <v>4.0946314831665109E-2</v>
      </c>
      <c r="L11" s="115">
        <v>4740</v>
      </c>
      <c r="M11" s="116">
        <f t="shared" si="1"/>
        <v>1.0716783216783217</v>
      </c>
      <c r="N11" s="115">
        <v>5659</v>
      </c>
      <c r="O11" s="116">
        <f t="shared" si="3"/>
        <v>0.19388185654008439</v>
      </c>
      <c r="P11" s="98">
        <f t="shared" si="4"/>
        <v>9.9261849261849333E-2</v>
      </c>
      <c r="Q11" s="115">
        <v>5168</v>
      </c>
      <c r="R11" s="116">
        <f t="shared" si="5"/>
        <v>-8.6764446015197061E-2</v>
      </c>
      <c r="S11" s="116">
        <f t="shared" si="6"/>
        <v>3.8850038850037905E-3</v>
      </c>
    </row>
    <row r="12" spans="1:20" x14ac:dyDescent="0.25">
      <c r="A12" s="1" t="s">
        <v>76</v>
      </c>
      <c r="B12" s="114" t="s">
        <v>77</v>
      </c>
      <c r="C12" s="115">
        <v>4449</v>
      </c>
      <c r="D12" s="115">
        <v>4789</v>
      </c>
      <c r="E12" s="116">
        <f t="shared" si="0"/>
        <v>7.6421667790514736E-2</v>
      </c>
      <c r="F12" s="115">
        <v>4194</v>
      </c>
      <c r="G12" s="116">
        <f t="shared" si="2"/>
        <v>-0.12424305700563787</v>
      </c>
      <c r="H12" s="115">
        <v>0</v>
      </c>
      <c r="I12" s="116">
        <f t="shared" si="2"/>
        <v>-1</v>
      </c>
      <c r="J12" s="115">
        <v>1830</v>
      </c>
      <c r="K12" s="116" t="s">
        <v>229</v>
      </c>
      <c r="L12" s="115">
        <v>4075</v>
      </c>
      <c r="M12" s="116">
        <f t="shared" si="1"/>
        <v>1.2267759562841531</v>
      </c>
      <c r="N12" s="115">
        <v>5170</v>
      </c>
      <c r="O12" s="116">
        <f t="shared" si="3"/>
        <v>0.26871165644171779</v>
      </c>
      <c r="P12" s="116">
        <f>N12/F12-1</f>
        <v>0.23271340009537433</v>
      </c>
      <c r="Q12" s="115">
        <v>5054</v>
      </c>
      <c r="R12" s="116">
        <f t="shared" si="5"/>
        <v>-2.2437137330754364E-2</v>
      </c>
      <c r="S12" s="116">
        <f t="shared" si="6"/>
        <v>0.20505484024797327</v>
      </c>
    </row>
    <row r="13" spans="1:20" x14ac:dyDescent="0.25">
      <c r="A13" s="1" t="s">
        <v>78</v>
      </c>
      <c r="B13" s="114" t="s">
        <v>79</v>
      </c>
      <c r="C13" s="115">
        <v>2892</v>
      </c>
      <c r="D13" s="115">
        <v>4097</v>
      </c>
      <c r="E13" s="116">
        <f t="shared" si="0"/>
        <v>0.41666666666666674</v>
      </c>
      <c r="F13" s="115">
        <v>4065</v>
      </c>
      <c r="G13" s="116">
        <f t="shared" si="2"/>
        <v>-7.810593116914788E-3</v>
      </c>
      <c r="H13" s="115">
        <v>0</v>
      </c>
      <c r="I13" s="116">
        <f t="shared" si="2"/>
        <v>-1</v>
      </c>
      <c r="J13" s="115">
        <v>2659</v>
      </c>
      <c r="K13" s="116" t="s">
        <v>229</v>
      </c>
      <c r="L13" s="115">
        <v>3632</v>
      </c>
      <c r="M13" s="116">
        <f t="shared" si="1"/>
        <v>0.365927040240692</v>
      </c>
      <c r="N13" s="115">
        <v>5013</v>
      </c>
      <c r="O13" s="116">
        <f t="shared" si="3"/>
        <v>0.38023127753303965</v>
      </c>
      <c r="P13" s="116">
        <f t="shared" si="4"/>
        <v>0.23321033210332098</v>
      </c>
      <c r="Q13" s="115">
        <v>4992</v>
      </c>
      <c r="R13" s="116">
        <f t="shared" si="5"/>
        <v>-4.1891083183722699E-3</v>
      </c>
      <c r="S13" s="116">
        <f t="shared" si="6"/>
        <v>0.22804428044280445</v>
      </c>
    </row>
    <row r="14" spans="1:20" x14ac:dyDescent="0.25">
      <c r="A14" s="1" t="s">
        <v>80</v>
      </c>
      <c r="B14" s="114" t="s">
        <v>81</v>
      </c>
      <c r="C14" s="115">
        <v>3376</v>
      </c>
      <c r="D14" s="115">
        <v>4053</v>
      </c>
      <c r="E14" s="116">
        <f t="shared" si="0"/>
        <v>0.20053317535545023</v>
      </c>
      <c r="F14" s="115">
        <v>3920</v>
      </c>
      <c r="G14" s="116">
        <f t="shared" si="2"/>
        <v>-3.2815198618307395E-2</v>
      </c>
      <c r="H14" s="115">
        <v>0</v>
      </c>
      <c r="I14" s="116">
        <f t="shared" si="2"/>
        <v>-1</v>
      </c>
      <c r="J14" s="115">
        <v>2494</v>
      </c>
      <c r="K14" s="116" t="s">
        <v>229</v>
      </c>
      <c r="L14" s="115">
        <v>4520</v>
      </c>
      <c r="M14" s="116">
        <f t="shared" si="1"/>
        <v>0.81234963913392133</v>
      </c>
      <c r="N14" s="115">
        <v>4181</v>
      </c>
      <c r="O14" s="116">
        <f t="shared" si="3"/>
        <v>-7.4999999999999956E-2</v>
      </c>
      <c r="P14" s="116">
        <f t="shared" si="4"/>
        <v>6.6581632653061273E-2</v>
      </c>
      <c r="Q14" s="115">
        <v>3964</v>
      </c>
      <c r="R14" s="116">
        <f t="shared" si="5"/>
        <v>-5.1901458981104986E-2</v>
      </c>
      <c r="S14" s="116">
        <f t="shared" si="6"/>
        <v>1.1224489795918391E-2</v>
      </c>
    </row>
    <row r="15" spans="1:20" x14ac:dyDescent="0.25">
      <c r="A15" s="1" t="s">
        <v>82</v>
      </c>
      <c r="B15" s="114" t="s">
        <v>83</v>
      </c>
      <c r="C15" s="115">
        <v>4614</v>
      </c>
      <c r="D15" s="115">
        <v>4147</v>
      </c>
      <c r="E15" s="116">
        <f t="shared" si="0"/>
        <v>-0.10121369744256614</v>
      </c>
      <c r="F15" s="115">
        <v>4387</v>
      </c>
      <c r="G15" s="116">
        <f t="shared" si="2"/>
        <v>5.7873161321437161E-2</v>
      </c>
      <c r="H15" s="115">
        <v>0</v>
      </c>
      <c r="I15" s="116">
        <f t="shared" si="2"/>
        <v>-1</v>
      </c>
      <c r="J15" s="115">
        <v>2428</v>
      </c>
      <c r="K15" s="116" t="s">
        <v>229</v>
      </c>
      <c r="L15" s="115">
        <v>4275</v>
      </c>
      <c r="M15" s="116">
        <f t="shared" si="1"/>
        <v>0.76070840197693568</v>
      </c>
      <c r="N15" s="115">
        <v>4340</v>
      </c>
      <c r="O15" s="116">
        <f t="shared" si="3"/>
        <v>1.5204678362572999E-2</v>
      </c>
      <c r="P15" s="116">
        <f t="shared" si="4"/>
        <v>-1.0713471620697468E-2</v>
      </c>
      <c r="Q15" s="115">
        <v>4593</v>
      </c>
      <c r="R15" s="116">
        <f t="shared" si="5"/>
        <v>5.8294930875576023E-2</v>
      </c>
      <c r="S15" s="116">
        <f t="shared" si="6"/>
        <v>4.6956918167312622E-2</v>
      </c>
    </row>
    <row r="16" spans="1:20" x14ac:dyDescent="0.25">
      <c r="A16" s="1" t="s">
        <v>84</v>
      </c>
      <c r="B16" s="114" t="s">
        <v>85</v>
      </c>
      <c r="C16" s="115">
        <v>5028</v>
      </c>
      <c r="D16" s="115">
        <v>3443</v>
      </c>
      <c r="E16" s="116">
        <f t="shared" si="0"/>
        <v>-0.31523468575974545</v>
      </c>
      <c r="F16" s="115">
        <v>4223</v>
      </c>
      <c r="G16" s="116">
        <f t="shared" si="2"/>
        <v>0.22654661632297413</v>
      </c>
      <c r="H16" s="115">
        <v>2777</v>
      </c>
      <c r="I16" s="116">
        <f t="shared" si="2"/>
        <v>-0.34241060857210515</v>
      </c>
      <c r="J16" s="115">
        <v>2929</v>
      </c>
      <c r="K16" s="116">
        <v>5.473532589124952E-2</v>
      </c>
      <c r="L16" s="115">
        <v>3932</v>
      </c>
      <c r="M16" s="116">
        <f t="shared" si="1"/>
        <v>0.34243769204506647</v>
      </c>
      <c r="N16" s="115">
        <v>4645</v>
      </c>
      <c r="O16" s="116">
        <f t="shared" si="3"/>
        <v>0.18133265513733465</v>
      </c>
      <c r="P16" s="98">
        <f t="shared" si="4"/>
        <v>9.992896045465316E-2</v>
      </c>
      <c r="Q16" s="115">
        <v>2899</v>
      </c>
      <c r="R16" s="116">
        <f t="shared" si="5"/>
        <v>-0.37588805166846073</v>
      </c>
      <c r="S16" s="116">
        <f t="shared" si="6"/>
        <v>-0.3135211934643618</v>
      </c>
    </row>
    <row r="17" spans="1:19" x14ac:dyDescent="0.25">
      <c r="A17" s="1" t="s">
        <v>86</v>
      </c>
      <c r="B17" s="114" t="s">
        <v>87</v>
      </c>
      <c r="C17" s="115">
        <v>5747</v>
      </c>
      <c r="D17" s="115">
        <v>3174</v>
      </c>
      <c r="E17" s="116">
        <f t="shared" si="0"/>
        <v>-0.44771184966069255</v>
      </c>
      <c r="F17" s="115">
        <v>3835</v>
      </c>
      <c r="G17" s="116">
        <f t="shared" si="2"/>
        <v>0.20825456836798995</v>
      </c>
      <c r="H17" s="115">
        <v>1764</v>
      </c>
      <c r="I17" s="116">
        <f t="shared" si="2"/>
        <v>-0.54002607561929594</v>
      </c>
      <c r="J17" s="115">
        <v>3914</v>
      </c>
      <c r="K17" s="116">
        <v>1.2188208616780045</v>
      </c>
      <c r="L17" s="115">
        <v>4578</v>
      </c>
      <c r="M17" s="116">
        <f t="shared" si="1"/>
        <v>0.16964741951967288</v>
      </c>
      <c r="N17" s="115">
        <v>4521</v>
      </c>
      <c r="O17" s="116">
        <f t="shared" si="3"/>
        <v>-1.2450851900393189E-2</v>
      </c>
      <c r="P17" s="98">
        <f t="shared" si="4"/>
        <v>0.17887874837027384</v>
      </c>
      <c r="Q17" s="115">
        <v>5087</v>
      </c>
      <c r="R17" s="116">
        <f t="shared" si="5"/>
        <v>0.12519354125193538</v>
      </c>
      <c r="S17" s="116">
        <f t="shared" si="6"/>
        <v>0.32646675358539756</v>
      </c>
    </row>
    <row r="18" spans="1:19" x14ac:dyDescent="0.25">
      <c r="A18" s="1" t="s">
        <v>88</v>
      </c>
      <c r="B18" s="114" t="s">
        <v>89</v>
      </c>
      <c r="C18" s="115">
        <v>5349</v>
      </c>
      <c r="D18" s="115">
        <v>4636</v>
      </c>
      <c r="E18" s="116">
        <f t="shared" si="0"/>
        <v>-0.13329594316694704</v>
      </c>
      <c r="F18" s="115">
        <v>4677</v>
      </c>
      <c r="G18" s="116">
        <f t="shared" si="2"/>
        <v>8.8438308886971129E-3</v>
      </c>
      <c r="H18" s="115">
        <v>1764</v>
      </c>
      <c r="I18" s="116">
        <f t="shared" si="2"/>
        <v>-0.62283515073765239</v>
      </c>
      <c r="J18" s="115">
        <v>3380</v>
      </c>
      <c r="K18" s="116">
        <v>0.91609977324263037</v>
      </c>
      <c r="L18" s="115">
        <v>4025</v>
      </c>
      <c r="M18" s="116">
        <f t="shared" si="1"/>
        <v>0.19082840236686383</v>
      </c>
      <c r="N18" s="115">
        <v>4419</v>
      </c>
      <c r="O18" s="116">
        <f t="shared" si="3"/>
        <v>9.7888198757764E-2</v>
      </c>
      <c r="P18" s="98">
        <f t="shared" si="4"/>
        <v>-5.5163566388710672E-2</v>
      </c>
      <c r="Q18" s="115" t="s">
        <v>229</v>
      </c>
      <c r="R18" s="116" t="str">
        <f t="shared" si="5"/>
        <v>-</v>
      </c>
      <c r="S18" s="116" t="str">
        <f t="shared" si="6"/>
        <v>-</v>
      </c>
    </row>
    <row r="19" spans="1:19" x14ac:dyDescent="0.25">
      <c r="A19" s="1" t="s">
        <v>90</v>
      </c>
      <c r="B19" s="114" t="s">
        <v>91</v>
      </c>
      <c r="C19" s="115">
        <v>7012</v>
      </c>
      <c r="D19" s="115">
        <v>5331</v>
      </c>
      <c r="E19" s="116">
        <f t="shared" si="0"/>
        <v>-0.23973188819167146</v>
      </c>
      <c r="F19" s="115">
        <v>6020</v>
      </c>
      <c r="G19" s="116">
        <f t="shared" si="2"/>
        <v>0.12924404426936786</v>
      </c>
      <c r="H19" s="115">
        <v>1763</v>
      </c>
      <c r="I19" s="116">
        <f t="shared" si="2"/>
        <v>-0.70714285714285707</v>
      </c>
      <c r="J19" s="115">
        <v>4448</v>
      </c>
      <c r="K19" s="116">
        <v>1.5229722064662505</v>
      </c>
      <c r="L19" s="115">
        <v>4838</v>
      </c>
      <c r="M19" s="116">
        <f t="shared" si="1"/>
        <v>8.7679856115107979E-2</v>
      </c>
      <c r="N19" s="115">
        <v>4964</v>
      </c>
      <c r="O19" s="116">
        <f t="shared" si="3"/>
        <v>2.6043819760231512E-2</v>
      </c>
      <c r="P19" s="98">
        <f t="shared" si="4"/>
        <v>-0.17541528239202653</v>
      </c>
      <c r="Q19" s="115" t="s">
        <v>229</v>
      </c>
      <c r="R19" s="116" t="str">
        <f t="shared" si="5"/>
        <v>-</v>
      </c>
      <c r="S19" s="116" t="str">
        <f t="shared" si="6"/>
        <v>-</v>
      </c>
    </row>
    <row r="20" spans="1:19" x14ac:dyDescent="0.25">
      <c r="A20" s="1" t="s">
        <v>92</v>
      </c>
      <c r="B20" s="114" t="s">
        <v>93</v>
      </c>
      <c r="C20" s="115">
        <v>7841</v>
      </c>
      <c r="D20" s="115">
        <v>5384</v>
      </c>
      <c r="E20" s="116">
        <f t="shared" si="0"/>
        <v>-0.31335288866216049</v>
      </c>
      <c r="F20" s="115">
        <v>5767</v>
      </c>
      <c r="G20" s="116">
        <f t="shared" si="2"/>
        <v>7.113670133729566E-2</v>
      </c>
      <c r="H20" s="115">
        <v>1794</v>
      </c>
      <c r="I20" s="116">
        <f t="shared" si="2"/>
        <v>-0.6889197156233744</v>
      </c>
      <c r="J20" s="115">
        <v>4543</v>
      </c>
      <c r="K20" s="116">
        <v>1.5323299888517279</v>
      </c>
      <c r="L20" s="115">
        <v>5166</v>
      </c>
      <c r="M20" s="116">
        <f t="shared" si="1"/>
        <v>0.13713405238828957</v>
      </c>
      <c r="N20" s="115">
        <v>4585</v>
      </c>
      <c r="O20" s="116">
        <f t="shared" si="3"/>
        <v>-0.11246612466124661</v>
      </c>
      <c r="P20" s="98">
        <f t="shared" si="4"/>
        <v>-0.20495925091035205</v>
      </c>
      <c r="Q20" s="115" t="s">
        <v>229</v>
      </c>
      <c r="R20" s="116" t="str">
        <f>IFERROR(Q20/N20-1,"-")</f>
        <v>-</v>
      </c>
      <c r="S20" s="116" t="str">
        <f t="shared" si="6"/>
        <v>-</v>
      </c>
    </row>
    <row r="21" spans="1:19" ht="15.75" x14ac:dyDescent="0.25">
      <c r="A21" s="1" t="s">
        <v>0</v>
      </c>
      <c r="B21" s="117" t="s">
        <v>30</v>
      </c>
      <c r="C21" s="118">
        <v>57715</v>
      </c>
      <c r="D21" s="118">
        <v>53986</v>
      </c>
      <c r="E21" s="119">
        <f t="shared" si="0"/>
        <v>-6.4610586502642287E-2</v>
      </c>
      <c r="F21" s="118">
        <v>55887</v>
      </c>
      <c r="G21" s="119">
        <f>F21/D21-1</f>
        <v>3.521283295669253E-2</v>
      </c>
      <c r="H21" s="118">
        <v>24221</v>
      </c>
      <c r="I21" s="119">
        <f t="shared" si="2"/>
        <v>-0.56660761894537193</v>
      </c>
      <c r="J21" s="118">
        <v>33444</v>
      </c>
      <c r="K21" s="119">
        <v>0.38078526898146237</v>
      </c>
      <c r="L21" s="118">
        <v>51485</v>
      </c>
      <c r="M21" s="119">
        <f t="shared" si="1"/>
        <v>0.53943906231312044</v>
      </c>
      <c r="N21" s="118">
        <v>58157</v>
      </c>
      <c r="O21" s="119">
        <f t="shared" si="3"/>
        <v>0.12959114305137409</v>
      </c>
      <c r="P21" s="119">
        <f t="shared" si="4"/>
        <v>4.0617674951240801E-2</v>
      </c>
      <c r="Q21" s="118">
        <v>41777</v>
      </c>
      <c r="R21" s="119">
        <v>-5.4583719930299424E-2</v>
      </c>
      <c r="S21" s="119">
        <v>5.9711336022119088E-2</v>
      </c>
    </row>
    <row r="22" spans="1:19" ht="6" customHeight="1" x14ac:dyDescent="0.25"/>
    <row r="23" spans="1:19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  <c r="O23" s="105"/>
      <c r="P23" s="125"/>
      <c r="Q23" s="115"/>
      <c r="R23" s="105"/>
      <c r="S23" s="105"/>
    </row>
  </sheetData>
  <mergeCells count="9">
    <mergeCell ref="B4:S4"/>
    <mergeCell ref="C6:S6"/>
    <mergeCell ref="D7:E7"/>
    <mergeCell ref="F7:G7"/>
    <mergeCell ref="H7:I7"/>
    <mergeCell ref="J7:K7"/>
    <mergeCell ref="L7:M7"/>
    <mergeCell ref="N7:P7"/>
    <mergeCell ref="Q7:S7"/>
  </mergeCells>
  <pageMargins left="0.7" right="0.7" top="0.75" bottom="0.75" header="0.3" footer="0.3"/>
  <pageSetup paperSize="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9b82f571-e864-4b98-84bd-930f661ed42a">
      <Terms xmlns="http://schemas.microsoft.com/office/infopath/2007/PartnerControls"/>
    </lcf76f155ced4ddcb4097134ff3c332f>
    <TaxCatchAll xmlns="8c9163ab-4d1c-46a7-8d61-b5cee27b7450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F969C42FB1FA284BA60CDF94DEB4DBF3" ma:contentTypeVersion="19" ma:contentTypeDescription="Crear nuevo documento." ma:contentTypeScope="" ma:versionID="090c0b7294b84836526f6f7c1d9c854f">
  <xsd:schema xmlns:xsd="http://www.w3.org/2001/XMLSchema" xmlns:xs="http://www.w3.org/2001/XMLSchema" xmlns:p="http://schemas.microsoft.com/office/2006/metadata/properties" xmlns:ns2="9b82f571-e864-4b98-84bd-930f661ed42a" xmlns:ns3="8c9163ab-4d1c-46a7-8d61-b5cee27b7450" targetNamespace="http://schemas.microsoft.com/office/2006/metadata/properties" ma:root="true" ma:fieldsID="c85de1f908bc78fd08d97c8a0418e287" ns2:_="" ns3:_="">
    <xsd:import namespace="9b82f571-e864-4b98-84bd-930f661ed42a"/>
    <xsd:import namespace="8c9163ab-4d1c-46a7-8d61-b5cee27b745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EventHashCode" minOccurs="0"/>
                <xsd:element ref="ns2:MediaServiceGenerationTime" minOccurs="0"/>
                <xsd:element ref="ns2:MediaServiceAutoKeyPoints" minOccurs="0"/>
                <xsd:element ref="ns2:MediaServiceKeyPoints" minOccurs="0"/>
                <xsd:element ref="ns2:MediaServiceLocation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b82f571-e864-4b98-84bd-930f661ed42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MediaServiceAutoTags" ma:internalName="MediaServiceAutoTags" ma:readOnly="true">
      <xsd:simpleType>
        <xsd:restriction base="dms:Text"/>
      </xsd:simpleType>
    </xsd:element>
    <xsd:element name="MediaServiceOCR" ma:index="12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Etiquetas de imagen" ma:readOnly="false" ma:fieldId="{5cf76f15-5ced-4ddc-b409-7134ff3c332f}" ma:taxonomyMulti="true" ma:sspId="f3325280-2aef-4f39-8940-b77a215173ca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c9163ab-4d1c-46a7-8d61-b5cee27b7450" elementFormDefault="qualified">
    <xsd:import namespace="http://schemas.microsoft.com/office/2006/documentManagement/types"/>
    <xsd:import namespace="http://schemas.microsoft.com/office/infopath/2007/PartnerControls"/>
    <xsd:element name="SharedWithUsers" ma:index="13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3db4f369-2d72-4174-95fe-41f9ef52a544}" ma:internalName="TaxCatchAll" ma:showField="CatchAllData" ma:web="8c9163ab-4d1c-46a7-8d61-b5cee27b745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0BC7D3A1-598A-435E-989A-67BD217A86B0}">
  <ds:schemaRefs>
    <ds:schemaRef ds:uri="http://schemas.microsoft.com/office/2006/metadata/properties"/>
    <ds:schemaRef ds:uri="http://schemas.microsoft.com/office/infopath/2007/PartnerControls"/>
    <ds:schemaRef ds:uri="9b82f571-e864-4b98-84bd-930f661ed42a"/>
    <ds:schemaRef ds:uri="8c9163ab-4d1c-46a7-8d61-b5cee27b7450"/>
  </ds:schemaRefs>
</ds:datastoreItem>
</file>

<file path=customXml/itemProps2.xml><?xml version="1.0" encoding="utf-8"?>
<ds:datastoreItem xmlns:ds="http://schemas.openxmlformats.org/officeDocument/2006/customXml" ds:itemID="{BF52FF54-9D5E-4D74-B335-AE75D19E9AA9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5ECA18D0-2B9B-441E-8C56-A906D061E30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b82f571-e864-4b98-84bd-930f661ed42a"/>
    <ds:schemaRef ds:uri="8c9163ab-4d1c-46a7-8d61-b5cee27b745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46</vt:i4>
      </vt:variant>
      <vt:variant>
        <vt:lpstr>Rangos con nombre</vt:lpstr>
      </vt:variant>
      <vt:variant>
        <vt:i4>17</vt:i4>
      </vt:variant>
    </vt:vector>
  </HeadingPairs>
  <TitlesOfParts>
    <vt:vector size="63" baseType="lpstr">
      <vt:lpstr>Menú principal</vt:lpstr>
      <vt:lpstr>Resumen indicadores (aloj)</vt:lpstr>
      <vt:lpstr>Resumen indicadores municipios </vt:lpstr>
      <vt:lpstr>Oferta alojativa</vt:lpstr>
      <vt:lpstr>Plazas aloj islas cat y tipolog</vt:lpstr>
      <vt:lpstr>Establecim aloj islas cat y tip</vt:lpstr>
      <vt:lpstr>viajeros entrados</vt:lpstr>
      <vt:lpstr>Viajeros entr evol mensu TF</vt:lpstr>
      <vt:lpstr>Viajeros entr evol mensu TF15-2</vt:lpstr>
      <vt:lpstr>Viajeros entr evol mensu TF cat</vt:lpstr>
      <vt:lpstr>Viajeros entr evol anual TF cat</vt:lpstr>
      <vt:lpstr>Viajeros entr ti-cat ultimo mes</vt:lpstr>
      <vt:lpstr>viaj entrados lugar resid años </vt:lpstr>
      <vt:lpstr>viaj entrados lugar residencia</vt:lpstr>
      <vt:lpstr>viaj entrados lugar residen acu</vt:lpstr>
      <vt:lpstr>viaj entrados lugar residen hot</vt:lpstr>
      <vt:lpstr>viaj entrados lugar residen apt</vt:lpstr>
      <vt:lpstr>viaj entrados lugar residen cat</vt:lpstr>
      <vt:lpstr>viaj entr lugar res año categor</vt:lpstr>
      <vt:lpstr>viajeros alojados</vt:lpstr>
      <vt:lpstr>viaj aloj lugar residen mes</vt:lpstr>
      <vt:lpstr>viaj alojados lugar residen acu</vt:lpstr>
      <vt:lpstr>Pernoctaciones</vt:lpstr>
      <vt:lpstr>Pernoctaciones evol mensu TF</vt:lpstr>
      <vt:lpstr>Pernocta evol mensu TF cat</vt:lpstr>
      <vt:lpstr>Pernoctaciones lugar reside</vt:lpstr>
      <vt:lpstr>Pernoctaciones lugar residen ac</vt:lpstr>
      <vt:lpstr>Pernoctaciones lugar reside año</vt:lpstr>
      <vt:lpstr>Estancia media</vt:lpstr>
      <vt:lpstr>EM evol menusual lugar resd</vt:lpstr>
      <vt:lpstr>EM evol mensu TF cat </vt:lpstr>
      <vt:lpstr>Tasa de ocupación</vt:lpstr>
      <vt:lpstr>tasa de ocupación evol mens</vt:lpstr>
      <vt:lpstr>indicadores rentabilidad</vt:lpstr>
      <vt:lpstr>ADR RevPAR ingresos totales ult</vt:lpstr>
      <vt:lpstr>viajeros españoles</vt:lpstr>
      <vt:lpstr>distribución españoles x Resid</vt:lpstr>
      <vt:lpstr>distribución españoles x cate</vt:lpstr>
      <vt:lpstr>distribución peninsulare x cate</vt:lpstr>
      <vt:lpstr>distribución canarios x cate</vt:lpstr>
      <vt:lpstr>distribución españoles x mun al</vt:lpstr>
      <vt:lpstr>distribución peninsula x munici</vt:lpstr>
      <vt:lpstr>distribución canarias x munici</vt:lpstr>
      <vt:lpstr>evolución anual viaj ent españo</vt:lpstr>
      <vt:lpstr>evolución anual viaj ent penins</vt:lpstr>
      <vt:lpstr>evolución anual viaj ent canari</vt:lpstr>
      <vt:lpstr>'distribución canarias x munici'!Área_de_impresión</vt:lpstr>
      <vt:lpstr>'distribución canarios x cate'!Área_de_impresión</vt:lpstr>
      <vt:lpstr>'distribución españoles x cate'!Área_de_impresión</vt:lpstr>
      <vt:lpstr>'distribución españoles x mun al'!Área_de_impresión</vt:lpstr>
      <vt:lpstr>'distribución españoles x Resid'!Área_de_impresión</vt:lpstr>
      <vt:lpstr>'distribución peninsula x munici'!Área_de_impresión</vt:lpstr>
      <vt:lpstr>'distribución peninsulare x cate'!Área_de_impresión</vt:lpstr>
      <vt:lpstr>'Pernoctaciones lugar reside'!Área_de_impresión</vt:lpstr>
      <vt:lpstr>'Pernoctaciones lugar reside año'!Área_de_impresión</vt:lpstr>
      <vt:lpstr>'Pernoctaciones lugar residen ac'!Área_de_impresión</vt:lpstr>
      <vt:lpstr>'viaj alojados lugar residen acu'!Área_de_impresión</vt:lpstr>
      <vt:lpstr>'viaj entr lugar res año categor'!Área_de_impresión</vt:lpstr>
      <vt:lpstr>'viaj entrados lugar resid años '!Área_de_impresión</vt:lpstr>
      <vt:lpstr>'viaj entrados lugar residen acu'!Área_de_impresión</vt:lpstr>
      <vt:lpstr>'viaj entrados lugar residen apt'!Área_de_impresión</vt:lpstr>
      <vt:lpstr>'viaj entrados lugar residen cat'!Área_de_impresión</vt:lpstr>
      <vt:lpstr>'viaj entrados lugar residen hot'!Área_de_impresión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Marjorie Pérez García</dc:creator>
  <cp:lastModifiedBy>Marjorie Pérez García</cp:lastModifiedBy>
  <dcterms:created xsi:type="dcterms:W3CDTF">2024-10-24T08:50:40Z</dcterms:created>
  <dcterms:modified xsi:type="dcterms:W3CDTF">2024-10-24T10:52:42Z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0x010100F969C42FB1FA284BA60CDF94DEB4DBF3</vt:lpwstr>
  </property>
  <property fmtid="{D5CDD505-2E9C-101B-9397-08002B2CF9AE}" pid="3" name="MediaServiceImageTags">
    <vt:lpwstr/>
  </property>
</Properties>
</file>