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I:\INVESTIGACION\PASAJEROS (AENA DGOPT)\2017\"/>
    </mc:Choice>
  </mc:AlternateContent>
  <bookViews>
    <workbookView xWindow="0" yWindow="0" windowWidth="28800" windowHeight="12060"/>
  </bookViews>
  <sheets>
    <sheet name="octubre 2017" sheetId="1" r:id="rId1"/>
    <sheet name="acum octubre 2017" sheetId="2" r:id="rId2"/>
  </sheets>
  <externalReferences>
    <externalReference r:id="rId3"/>
  </externalReferences>
  <definedNames>
    <definedName name="_xlnm.Print_Area" localSheetId="1">'acum octubre 2017'!$B$3:$R$61,'acum octubre 2017'!$B$67:$K$97</definedName>
    <definedName name="_xlnm.Print_Area" localSheetId="0">'octubre 2017'!$B$2:$R$60,'octubre 2017'!$B$66:$K$96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TF" localSheetId="1">#REF!</definedName>
    <definedName name="TF" localSheetId="0">#REF!</definedName>
    <definedName name="TF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2" l="1"/>
  <c r="I70" i="2"/>
  <c r="G70" i="2"/>
  <c r="F70" i="2"/>
  <c r="D70" i="2"/>
  <c r="C70" i="2"/>
  <c r="B67" i="2"/>
  <c r="N34" i="2"/>
  <c r="M34" i="2"/>
  <c r="I34" i="2"/>
  <c r="H34" i="2"/>
  <c r="D34" i="2"/>
  <c r="C34" i="2"/>
  <c r="N6" i="2"/>
  <c r="M6" i="2"/>
  <c r="I6" i="2"/>
  <c r="H6" i="2"/>
  <c r="B3" i="2"/>
  <c r="G94" i="2"/>
  <c r="C94" i="2"/>
  <c r="I92" i="2"/>
  <c r="J91" i="2"/>
  <c r="F91" i="2"/>
  <c r="G90" i="2"/>
  <c r="C90" i="2"/>
  <c r="D89" i="2"/>
  <c r="I88" i="2"/>
  <c r="J87" i="2"/>
  <c r="F87" i="2"/>
  <c r="G86" i="2"/>
  <c r="C86" i="2"/>
  <c r="D85" i="2"/>
  <c r="I84" i="2"/>
  <c r="J83" i="2"/>
  <c r="F83" i="2"/>
  <c r="D81" i="2"/>
  <c r="I80" i="2"/>
  <c r="J79" i="2"/>
  <c r="F79" i="2"/>
  <c r="G78" i="2"/>
  <c r="C78" i="2"/>
  <c r="D77" i="2"/>
  <c r="I76" i="2"/>
  <c r="J75" i="2"/>
  <c r="F75" i="2"/>
  <c r="D73" i="2"/>
  <c r="I72" i="2"/>
  <c r="J71" i="2"/>
  <c r="F71" i="2"/>
  <c r="C58" i="2"/>
  <c r="I56" i="2"/>
  <c r="H55" i="2"/>
  <c r="D55" i="2"/>
  <c r="C54" i="2"/>
  <c r="I52" i="2"/>
  <c r="H51" i="2"/>
  <c r="D51" i="2"/>
  <c r="C50" i="2"/>
  <c r="J94" i="2"/>
  <c r="F94" i="2"/>
  <c r="D92" i="2"/>
  <c r="I91" i="2"/>
  <c r="J90" i="2"/>
  <c r="F90" i="2"/>
  <c r="G89" i="2"/>
  <c r="C89" i="2"/>
  <c r="D88" i="2"/>
  <c r="I87" i="2"/>
  <c r="J86" i="2"/>
  <c r="F86" i="2"/>
  <c r="G85" i="2"/>
  <c r="C85" i="2"/>
  <c r="D84" i="2"/>
  <c r="I83" i="2"/>
  <c r="G81" i="2"/>
  <c r="C81" i="2"/>
  <c r="D80" i="2"/>
  <c r="I79" i="2"/>
  <c r="J78" i="2"/>
  <c r="F78" i="2"/>
  <c r="G77" i="2"/>
  <c r="C77" i="2"/>
  <c r="D76" i="2"/>
  <c r="I75" i="2"/>
  <c r="G73" i="2"/>
  <c r="C73" i="2"/>
  <c r="D72" i="2"/>
  <c r="I71" i="2"/>
  <c r="H56" i="2"/>
  <c r="D56" i="2"/>
  <c r="C55" i="2"/>
  <c r="I53" i="2"/>
  <c r="H52" i="2"/>
  <c r="D52" i="2"/>
  <c r="C51" i="2"/>
  <c r="I49" i="2"/>
  <c r="D94" i="2"/>
  <c r="F92" i="2"/>
  <c r="G91" i="2"/>
  <c r="I89" i="2"/>
  <c r="J88" i="2"/>
  <c r="C87" i="2"/>
  <c r="D86" i="2"/>
  <c r="F84" i="2"/>
  <c r="G83" i="2"/>
  <c r="I81" i="2"/>
  <c r="J80" i="2"/>
  <c r="C79" i="2"/>
  <c r="D78" i="2"/>
  <c r="F76" i="2"/>
  <c r="G75" i="2"/>
  <c r="I73" i="2"/>
  <c r="J72" i="2"/>
  <c r="I94" i="2"/>
  <c r="C92" i="2"/>
  <c r="D91" i="2"/>
  <c r="F89" i="2"/>
  <c r="G88" i="2"/>
  <c r="I86" i="2"/>
  <c r="J85" i="2"/>
  <c r="C84" i="2"/>
  <c r="D83" i="2"/>
  <c r="F81" i="2"/>
  <c r="G80" i="2"/>
  <c r="I78" i="2"/>
  <c r="J77" i="2"/>
  <c r="C76" i="2"/>
  <c r="D75" i="2"/>
  <c r="F73" i="2"/>
  <c r="G72" i="2"/>
  <c r="C56" i="2"/>
  <c r="I54" i="2"/>
  <c r="H53" i="2"/>
  <c r="D49" i="2"/>
  <c r="I48" i="2"/>
  <c r="H47" i="2"/>
  <c r="D47" i="2"/>
  <c r="I44" i="2"/>
  <c r="H43" i="2"/>
  <c r="D43" i="2"/>
  <c r="C42" i="2"/>
  <c r="I40" i="2"/>
  <c r="H39" i="2"/>
  <c r="D39" i="2"/>
  <c r="N37" i="2"/>
  <c r="M36" i="2"/>
  <c r="I36" i="2"/>
  <c r="H35" i="2"/>
  <c r="D35" i="2"/>
  <c r="H30" i="2"/>
  <c r="D30" i="2"/>
  <c r="N28" i="2"/>
  <c r="M27" i="2"/>
  <c r="I27" i="2"/>
  <c r="H26" i="2"/>
  <c r="D26" i="2"/>
  <c r="C25" i="2"/>
  <c r="N24" i="2"/>
  <c r="M23" i="2"/>
  <c r="I23" i="2"/>
  <c r="J92" i="2"/>
  <c r="C91" i="2"/>
  <c r="D90" i="2"/>
  <c r="F88" i="2"/>
  <c r="G87" i="2"/>
  <c r="I85" i="2"/>
  <c r="J84" i="2"/>
  <c r="C83" i="2"/>
  <c r="F80" i="2"/>
  <c r="G79" i="2"/>
  <c r="I77" i="2"/>
  <c r="J76" i="2"/>
  <c r="C75" i="2"/>
  <c r="F72" i="2"/>
  <c r="G71" i="2"/>
  <c r="D58" i="2"/>
  <c r="I55" i="2"/>
  <c r="H54" i="2"/>
  <c r="D50" i="2"/>
  <c r="C49" i="2"/>
  <c r="H48" i="2"/>
  <c r="D48" i="2"/>
  <c r="C47" i="2"/>
  <c r="I45" i="2"/>
  <c r="H44" i="2"/>
  <c r="D44" i="2"/>
  <c r="C43" i="2"/>
  <c r="I41" i="2"/>
  <c r="H40" i="2"/>
  <c r="D40" i="2"/>
  <c r="C39" i="2"/>
  <c r="M37" i="2"/>
  <c r="I37" i="2"/>
  <c r="H36" i="2"/>
  <c r="C88" i="2"/>
  <c r="G84" i="2"/>
  <c r="F77" i="2"/>
  <c r="J73" i="2"/>
  <c r="C71" i="2"/>
  <c r="I51" i="2"/>
  <c r="H50" i="2"/>
  <c r="I47" i="2"/>
  <c r="D42" i="2"/>
  <c r="C41" i="2"/>
  <c r="I39" i="2"/>
  <c r="N36" i="2"/>
  <c r="M28" i="2"/>
  <c r="H28" i="2"/>
  <c r="C28" i="2"/>
  <c r="I24" i="2"/>
  <c r="D24" i="2"/>
  <c r="N23" i="2"/>
  <c r="H23" i="2"/>
  <c r="C23" i="2"/>
  <c r="M22" i="2"/>
  <c r="I22" i="2"/>
  <c r="H21" i="2"/>
  <c r="D21" i="2"/>
  <c r="C20" i="2"/>
  <c r="N19" i="2"/>
  <c r="H17" i="2"/>
  <c r="D17" i="2"/>
  <c r="I90" i="2"/>
  <c r="D87" i="2"/>
  <c r="C80" i="2"/>
  <c r="G76" i="2"/>
  <c r="I58" i="2"/>
  <c r="D53" i="2"/>
  <c r="C52" i="2"/>
  <c r="D45" i="2"/>
  <c r="C44" i="2"/>
  <c r="I42" i="2"/>
  <c r="H41" i="2"/>
  <c r="D37" i="2"/>
  <c r="D36" i="2"/>
  <c r="N35" i="2"/>
  <c r="I35" i="2"/>
  <c r="C35" i="2"/>
  <c r="N30" i="2"/>
  <c r="I30" i="2"/>
  <c r="C30" i="2"/>
  <c r="N25" i="2"/>
  <c r="I25" i="2"/>
  <c r="D25" i="2"/>
  <c r="M24" i="2"/>
  <c r="H24" i="2"/>
  <c r="C24" i="2"/>
  <c r="H22" i="2"/>
  <c r="D22" i="2"/>
  <c r="C21" i="2"/>
  <c r="N20" i="2"/>
  <c r="M19" i="2"/>
  <c r="I19" i="2"/>
  <c r="C17" i="2"/>
  <c r="N16" i="2"/>
  <c r="M15" i="2"/>
  <c r="I15" i="2"/>
  <c r="H14" i="2"/>
  <c r="D14" i="2"/>
  <c r="J89" i="2"/>
  <c r="D79" i="2"/>
  <c r="C72" i="2"/>
  <c r="H58" i="2"/>
  <c r="D54" i="2"/>
  <c r="C53" i="2"/>
  <c r="C45" i="2"/>
  <c r="I43" i="2"/>
  <c r="H42" i="2"/>
  <c r="C37" i="2"/>
  <c r="C36" i="2"/>
  <c r="M35" i="2"/>
  <c r="M30" i="2"/>
  <c r="D27" i="2"/>
  <c r="N26" i="2"/>
  <c r="I26" i="2"/>
  <c r="C26" i="2"/>
  <c r="M25" i="2"/>
  <c r="H25" i="2"/>
  <c r="C22" i="2"/>
  <c r="N21" i="2"/>
  <c r="G92" i="2"/>
  <c r="C40" i="2"/>
  <c r="N27" i="2"/>
  <c r="D20" i="2"/>
  <c r="C19" i="2"/>
  <c r="I17" i="2"/>
  <c r="D15" i="2"/>
  <c r="N14" i="2"/>
  <c r="I14" i="2"/>
  <c r="C14" i="2"/>
  <c r="M13" i="2"/>
  <c r="I13" i="2"/>
  <c r="H12" i="2"/>
  <c r="D12" i="2"/>
  <c r="C11" i="2"/>
  <c r="M9" i="2"/>
  <c r="I9" i="2"/>
  <c r="H8" i="2"/>
  <c r="D8" i="2"/>
  <c r="C7" i="2"/>
  <c r="N11" i="2"/>
  <c r="D9" i="2"/>
  <c r="N7" i="2"/>
  <c r="M26" i="2"/>
  <c r="M20" i="2"/>
  <c r="I12" i="2"/>
  <c r="H11" i="2"/>
  <c r="M8" i="2"/>
  <c r="C48" i="2"/>
  <c r="H37" i="2"/>
  <c r="H27" i="2"/>
  <c r="D23" i="2"/>
  <c r="I20" i="2"/>
  <c r="H19" i="2"/>
  <c r="N17" i="2"/>
  <c r="I16" i="2"/>
  <c r="D16" i="2"/>
  <c r="N15" i="2"/>
  <c r="H15" i="2"/>
  <c r="C15" i="2"/>
  <c r="M14" i="2"/>
  <c r="H13" i="2"/>
  <c r="D13" i="2"/>
  <c r="C12" i="2"/>
  <c r="H9" i="2"/>
  <c r="C8" i="2"/>
  <c r="D19" i="2"/>
  <c r="M12" i="2"/>
  <c r="D11" i="2"/>
  <c r="D7" i="2"/>
  <c r="F85" i="2"/>
  <c r="D71" i="2"/>
  <c r="I50" i="2"/>
  <c r="H45" i="2"/>
  <c r="D41" i="2"/>
  <c r="I28" i="2"/>
  <c r="C27" i="2"/>
  <c r="N22" i="2"/>
  <c r="M21" i="2"/>
  <c r="H20" i="2"/>
  <c r="M17" i="2"/>
  <c r="M16" i="2"/>
  <c r="H16" i="2"/>
  <c r="C16" i="2"/>
  <c r="C13" i="2"/>
  <c r="N12" i="2"/>
  <c r="M11" i="2"/>
  <c r="I11" i="2"/>
  <c r="C9" i="2"/>
  <c r="N8" i="2"/>
  <c r="M7" i="2"/>
  <c r="I7" i="2"/>
  <c r="J81" i="2"/>
  <c r="H49" i="2"/>
  <c r="D28" i="2"/>
  <c r="I21" i="2"/>
  <c r="N13" i="2"/>
  <c r="N9" i="2"/>
  <c r="I8" i="2"/>
  <c r="H7" i="2"/>
  <c r="L8" i="2" l="1"/>
  <c r="J8" i="2"/>
  <c r="Q9" i="2"/>
  <c r="O9" i="2"/>
  <c r="O13" i="2"/>
  <c r="Q13" i="2"/>
  <c r="J21" i="2"/>
  <c r="N56" i="2"/>
  <c r="G28" i="2"/>
  <c r="E28" i="2"/>
  <c r="K81" i="2"/>
  <c r="J7" i="2"/>
  <c r="L7" i="2"/>
  <c r="O8" i="2"/>
  <c r="Q8" i="2"/>
  <c r="K11" i="2"/>
  <c r="J11" i="2"/>
  <c r="O12" i="2"/>
  <c r="M41" i="2"/>
  <c r="M44" i="2"/>
  <c r="O22" i="2"/>
  <c r="M55" i="2"/>
  <c r="J28" i="2"/>
  <c r="L28" i="2"/>
  <c r="E41" i="2"/>
  <c r="J50" i="2"/>
  <c r="E71" i="2"/>
  <c r="G7" i="2"/>
  <c r="F7" i="2"/>
  <c r="E7" i="2"/>
  <c r="N39" i="2"/>
  <c r="L11" i="2" s="1"/>
  <c r="F11" i="2"/>
  <c r="E11" i="2"/>
  <c r="N47" i="2"/>
  <c r="E19" i="2"/>
  <c r="D18" i="2"/>
  <c r="G19" i="2"/>
  <c r="M40" i="2"/>
  <c r="N41" i="2"/>
  <c r="E13" i="2"/>
  <c r="M43" i="2"/>
  <c r="O15" i="2"/>
  <c r="N44" i="2"/>
  <c r="F16" i="2"/>
  <c r="E16" i="2"/>
  <c r="J16" i="2"/>
  <c r="K16" i="2"/>
  <c r="O17" i="2"/>
  <c r="H18" i="2"/>
  <c r="J20" i="2"/>
  <c r="L20" i="2"/>
  <c r="N51" i="2"/>
  <c r="E23" i="2"/>
  <c r="G23" i="2"/>
  <c r="F23" i="2"/>
  <c r="J12" i="2"/>
  <c r="O7" i="2"/>
  <c r="Q7" i="2"/>
  <c r="E9" i="2"/>
  <c r="F9" i="2"/>
  <c r="G9" i="2"/>
  <c r="O11" i="2"/>
  <c r="Q11" i="2"/>
  <c r="G8" i="2"/>
  <c r="E8" i="2"/>
  <c r="F8" i="2"/>
  <c r="L9" i="2"/>
  <c r="J9" i="2"/>
  <c r="M39" i="2"/>
  <c r="N40" i="2"/>
  <c r="E12" i="2"/>
  <c r="L13" i="2"/>
  <c r="J13" i="2"/>
  <c r="M42" i="2"/>
  <c r="J14" i="2"/>
  <c r="O14" i="2"/>
  <c r="E15" i="2"/>
  <c r="F15" i="2"/>
  <c r="N43" i="2"/>
  <c r="J17" i="2"/>
  <c r="M47" i="2"/>
  <c r="C18" i="2"/>
  <c r="G20" i="2"/>
  <c r="F20" i="2"/>
  <c r="N48" i="2"/>
  <c r="E20" i="2"/>
  <c r="Q27" i="2"/>
  <c r="O27" i="2"/>
  <c r="H92" i="2"/>
  <c r="O21" i="2"/>
  <c r="M50" i="2"/>
  <c r="M54" i="2"/>
  <c r="J26" i="2"/>
  <c r="O26" i="2"/>
  <c r="E27" i="2"/>
  <c r="G27" i="2"/>
  <c r="F27" i="2"/>
  <c r="N55" i="2"/>
  <c r="M31" i="2"/>
  <c r="M29" i="2"/>
  <c r="M10" i="2"/>
  <c r="J43" i="2"/>
  <c r="E54" i="2"/>
  <c r="H59" i="2"/>
  <c r="H38" i="2"/>
  <c r="H57" i="2"/>
  <c r="E79" i="2"/>
  <c r="K89" i="2"/>
  <c r="N42" i="2"/>
  <c r="G14" i="2" s="1"/>
  <c r="E14" i="2"/>
  <c r="F14" i="2"/>
  <c r="J15" i="2"/>
  <c r="Q16" i="2"/>
  <c r="O16" i="2"/>
  <c r="M45" i="2"/>
  <c r="J19" i="2"/>
  <c r="I18" i="2"/>
  <c r="L19" i="2"/>
  <c r="M18" i="2"/>
  <c r="O20" i="2"/>
  <c r="Q20" i="2"/>
  <c r="M49" i="2"/>
  <c r="N50" i="2"/>
  <c r="E22" i="2"/>
  <c r="F22" i="2"/>
  <c r="M52" i="2"/>
  <c r="N53" i="2"/>
  <c r="G25" i="2" s="1"/>
  <c r="E25" i="2"/>
  <c r="F25" i="2"/>
  <c r="J25" i="2"/>
  <c r="L25" i="2"/>
  <c r="O25" i="2"/>
  <c r="M58" i="2"/>
  <c r="C29" i="2"/>
  <c r="C31" i="2"/>
  <c r="C10" i="2"/>
  <c r="I31" i="2"/>
  <c r="K8" i="2" s="1"/>
  <c r="L30" i="2"/>
  <c r="J30" i="2"/>
  <c r="I29" i="2"/>
  <c r="I10" i="2"/>
  <c r="O30" i="2"/>
  <c r="N29" i="2"/>
  <c r="N31" i="2"/>
  <c r="N10" i="2"/>
  <c r="L35" i="2"/>
  <c r="J35" i="2"/>
  <c r="O35" i="2"/>
  <c r="Q35" i="2"/>
  <c r="E36" i="2"/>
  <c r="G36" i="2"/>
  <c r="F37" i="2"/>
  <c r="E37" i="2"/>
  <c r="G37" i="2"/>
  <c r="J42" i="2"/>
  <c r="E45" i="2"/>
  <c r="E53" i="2"/>
  <c r="G53" i="2"/>
  <c r="J58" i="2"/>
  <c r="I57" i="2"/>
  <c r="L58" i="2"/>
  <c r="I59" i="2"/>
  <c r="I38" i="2"/>
  <c r="H76" i="2"/>
  <c r="E87" i="2"/>
  <c r="N45" i="2"/>
  <c r="L17" i="2" s="1"/>
  <c r="E17" i="2"/>
  <c r="Q19" i="2"/>
  <c r="O19" i="2"/>
  <c r="N18" i="2"/>
  <c r="M48" i="2"/>
  <c r="N49" i="2"/>
  <c r="L21" i="2" s="1"/>
  <c r="F21" i="2"/>
  <c r="E21" i="2"/>
  <c r="J22" i="2"/>
  <c r="M51" i="2"/>
  <c r="Q23" i="2"/>
  <c r="O23" i="2"/>
  <c r="F24" i="2"/>
  <c r="N52" i="2"/>
  <c r="G24" i="2" s="1"/>
  <c r="E24" i="2"/>
  <c r="J24" i="2"/>
  <c r="L24" i="2"/>
  <c r="M56" i="2"/>
  <c r="Q36" i="2"/>
  <c r="O36" i="2"/>
  <c r="L39" i="2"/>
  <c r="K39" i="2"/>
  <c r="J39" i="2"/>
  <c r="E42" i="2"/>
  <c r="L47" i="2"/>
  <c r="I46" i="2"/>
  <c r="J47" i="2"/>
  <c r="L51" i="2"/>
  <c r="J51" i="2"/>
  <c r="K73" i="2"/>
  <c r="H84" i="2"/>
  <c r="J37" i="2"/>
  <c r="L37" i="2"/>
  <c r="K37" i="2"/>
  <c r="E40" i="2"/>
  <c r="J41" i="2"/>
  <c r="E44" i="2"/>
  <c r="F44" i="2"/>
  <c r="J45" i="2"/>
  <c r="K45" i="2"/>
  <c r="C46" i="2"/>
  <c r="E48" i="2"/>
  <c r="G48" i="2"/>
  <c r="F48" i="2"/>
  <c r="E50" i="2"/>
  <c r="L55" i="2"/>
  <c r="J55" i="2"/>
  <c r="D59" i="2"/>
  <c r="G58" i="2"/>
  <c r="E58" i="2"/>
  <c r="D57" i="2"/>
  <c r="D38" i="2"/>
  <c r="H71" i="2"/>
  <c r="K76" i="2"/>
  <c r="H79" i="2"/>
  <c r="C82" i="2"/>
  <c r="K84" i="2"/>
  <c r="H87" i="2"/>
  <c r="E90" i="2"/>
  <c r="K92" i="2"/>
  <c r="L23" i="2"/>
  <c r="J23" i="2"/>
  <c r="O24" i="2"/>
  <c r="Q24" i="2"/>
  <c r="M53" i="2"/>
  <c r="N54" i="2"/>
  <c r="L54" i="2" s="1"/>
  <c r="E26" i="2"/>
  <c r="L27" i="2"/>
  <c r="J27" i="2"/>
  <c r="Q28" i="2"/>
  <c r="P28" i="2"/>
  <c r="O28" i="2"/>
  <c r="N58" i="2"/>
  <c r="E30" i="2"/>
  <c r="D29" i="2"/>
  <c r="D31" i="2"/>
  <c r="F12" i="2" s="1"/>
  <c r="G30" i="2"/>
  <c r="F30" i="2"/>
  <c r="D10" i="2"/>
  <c r="H29" i="2"/>
  <c r="H31" i="2"/>
  <c r="H10" i="2"/>
  <c r="E35" i="2"/>
  <c r="G35" i="2"/>
  <c r="L36" i="2"/>
  <c r="K36" i="2"/>
  <c r="J36" i="2"/>
  <c r="Q37" i="2"/>
  <c r="O37" i="2"/>
  <c r="G39" i="2"/>
  <c r="E39" i="2"/>
  <c r="L40" i="2"/>
  <c r="J40" i="2"/>
  <c r="E43" i="2"/>
  <c r="J44" i="2"/>
  <c r="G47" i="2"/>
  <c r="E47" i="2"/>
  <c r="D46" i="2"/>
  <c r="H46" i="2"/>
  <c r="L48" i="2"/>
  <c r="J48" i="2"/>
  <c r="K48" i="2"/>
  <c r="E49" i="2"/>
  <c r="G49" i="2"/>
  <c r="K54" i="2"/>
  <c r="J54" i="2"/>
  <c r="H72" i="2"/>
  <c r="E75" i="2"/>
  <c r="K77" i="2"/>
  <c r="H80" i="2"/>
  <c r="E83" i="2"/>
  <c r="D82" i="2"/>
  <c r="E82" i="2" s="1"/>
  <c r="K85" i="2"/>
  <c r="H88" i="2"/>
  <c r="E91" i="2"/>
  <c r="I95" i="2"/>
  <c r="I93" i="2"/>
  <c r="I74" i="2"/>
  <c r="K72" i="2"/>
  <c r="H75" i="2"/>
  <c r="E78" i="2"/>
  <c r="K80" i="2"/>
  <c r="G82" i="2"/>
  <c r="H83" i="2"/>
  <c r="E86" i="2"/>
  <c r="K88" i="2"/>
  <c r="H91" i="2"/>
  <c r="D93" i="2"/>
  <c r="E93" i="2" s="1"/>
  <c r="D74" i="2"/>
  <c r="D95" i="2"/>
  <c r="E94" i="2"/>
  <c r="J49" i="2"/>
  <c r="L49" i="2"/>
  <c r="E52" i="2"/>
  <c r="G52" i="2"/>
  <c r="J53" i="2"/>
  <c r="L53" i="2"/>
  <c r="E56" i="2"/>
  <c r="G56" i="2"/>
  <c r="F56" i="2"/>
  <c r="E72" i="2"/>
  <c r="H73" i="2"/>
  <c r="E76" i="2"/>
  <c r="H77" i="2"/>
  <c r="K78" i="2"/>
  <c r="E80" i="2"/>
  <c r="H81" i="2"/>
  <c r="I82" i="2"/>
  <c r="E84" i="2"/>
  <c r="H85" i="2"/>
  <c r="K86" i="2"/>
  <c r="E88" i="2"/>
  <c r="H89" i="2"/>
  <c r="K90" i="2"/>
  <c r="E92" i="2"/>
  <c r="F95" i="2"/>
  <c r="F74" i="2"/>
  <c r="F93" i="2"/>
  <c r="J95" i="2"/>
  <c r="K94" i="2"/>
  <c r="J74" i="2"/>
  <c r="K74" i="2" s="1"/>
  <c r="J93" i="2"/>
  <c r="K93" i="2" s="1"/>
  <c r="G51" i="2"/>
  <c r="F51" i="2"/>
  <c r="E51" i="2"/>
  <c r="L52" i="2"/>
  <c r="J52" i="2"/>
  <c r="G55" i="2"/>
  <c r="E55" i="2"/>
  <c r="L56" i="2"/>
  <c r="K56" i="2"/>
  <c r="J56" i="2"/>
  <c r="C59" i="2"/>
  <c r="C38" i="2"/>
  <c r="C57" i="2"/>
  <c r="K71" i="2"/>
  <c r="E73" i="2"/>
  <c r="K75" i="2"/>
  <c r="E77" i="2"/>
  <c r="H78" i="2"/>
  <c r="K79" i="2"/>
  <c r="E81" i="2"/>
  <c r="F82" i="2"/>
  <c r="J82" i="2"/>
  <c r="K83" i="2"/>
  <c r="E85" i="2"/>
  <c r="H86" i="2"/>
  <c r="K87" i="2"/>
  <c r="E89" i="2"/>
  <c r="H90" i="2"/>
  <c r="K91" i="2"/>
  <c r="C74" i="2"/>
  <c r="C93" i="2"/>
  <c r="C95" i="2"/>
  <c r="G74" i="2"/>
  <c r="H74" i="2" s="1"/>
  <c r="G93" i="2"/>
  <c r="H93" i="2" s="1"/>
  <c r="G95" i="2"/>
  <c r="H94" i="2"/>
  <c r="N57" i="2" l="1"/>
  <c r="G29" i="2"/>
  <c r="F29" i="2"/>
  <c r="E29" i="2"/>
  <c r="F38" i="2"/>
  <c r="E38" i="2"/>
  <c r="K59" i="2"/>
  <c r="J59" i="2"/>
  <c r="P31" i="2"/>
  <c r="O31" i="2"/>
  <c r="M57" i="2"/>
  <c r="O50" i="2"/>
  <c r="Q50" i="2"/>
  <c r="J18" i="2"/>
  <c r="K18" i="2"/>
  <c r="Q26" i="2"/>
  <c r="L26" i="2"/>
  <c r="P27" i="2"/>
  <c r="O43" i="2"/>
  <c r="Q43" i="2"/>
  <c r="Q14" i="2"/>
  <c r="L14" i="2"/>
  <c r="Q40" i="2"/>
  <c r="O40" i="2"/>
  <c r="Q17" i="2"/>
  <c r="Q15" i="2"/>
  <c r="N46" i="2"/>
  <c r="E18" i="2"/>
  <c r="G18" i="2"/>
  <c r="F18" i="2"/>
  <c r="L50" i="2"/>
  <c r="P22" i="2"/>
  <c r="Q12" i="2"/>
  <c r="K52" i="2"/>
  <c r="K53" i="2"/>
  <c r="H82" i="2"/>
  <c r="K44" i="2"/>
  <c r="G43" i="2"/>
  <c r="G26" i="2"/>
  <c r="F57" i="2"/>
  <c r="E57" i="2"/>
  <c r="G57" i="2"/>
  <c r="F59" i="2"/>
  <c r="E59" i="2"/>
  <c r="L45" i="2"/>
  <c r="F40" i="2"/>
  <c r="K46" i="2"/>
  <c r="J46" i="2"/>
  <c r="F42" i="2"/>
  <c r="Q18" i="2"/>
  <c r="P18" i="2"/>
  <c r="O18" i="2"/>
  <c r="O29" i="2"/>
  <c r="Q29" i="2"/>
  <c r="P29" i="2"/>
  <c r="K30" i="2"/>
  <c r="M59" i="2"/>
  <c r="M38" i="2"/>
  <c r="P16" i="2"/>
  <c r="P26" i="2"/>
  <c r="K17" i="2"/>
  <c r="P14" i="2"/>
  <c r="P11" i="2"/>
  <c r="Q44" i="2"/>
  <c r="O44" i="2"/>
  <c r="Q41" i="2"/>
  <c r="O41" i="2"/>
  <c r="F41" i="2"/>
  <c r="P12" i="2"/>
  <c r="K21" i="2"/>
  <c r="H95" i="2"/>
  <c r="K95" i="2"/>
  <c r="K49" i="2"/>
  <c r="E95" i="2"/>
  <c r="F47" i="2"/>
  <c r="L44" i="2"/>
  <c r="K40" i="2"/>
  <c r="F39" i="2"/>
  <c r="F35" i="2"/>
  <c r="O58" i="2"/>
  <c r="N59" i="2"/>
  <c r="N38" i="2"/>
  <c r="Q58" i="2"/>
  <c r="P24" i="2"/>
  <c r="K23" i="2"/>
  <c r="F50" i="2"/>
  <c r="L41" i="2"/>
  <c r="G40" i="2"/>
  <c r="K51" i="2"/>
  <c r="K47" i="2"/>
  <c r="G42" i="2"/>
  <c r="K24" i="2"/>
  <c r="P23" i="2"/>
  <c r="K22" i="2"/>
  <c r="G21" i="2"/>
  <c r="F17" i="2"/>
  <c r="J57" i="2"/>
  <c r="L57" i="2"/>
  <c r="K57" i="2"/>
  <c r="F45" i="2"/>
  <c r="F36" i="2"/>
  <c r="Q30" i="2"/>
  <c r="K29" i="2"/>
  <c r="L29" i="2"/>
  <c r="J29" i="2"/>
  <c r="Q25" i="2"/>
  <c r="G22" i="2"/>
  <c r="P20" i="2"/>
  <c r="L15" i="2"/>
  <c r="K43" i="2"/>
  <c r="M46" i="2"/>
  <c r="K14" i="2"/>
  <c r="K13" i="2"/>
  <c r="K9" i="2"/>
  <c r="K12" i="2"/>
  <c r="K20" i="2"/>
  <c r="P17" i="2"/>
  <c r="G16" i="2"/>
  <c r="P15" i="2"/>
  <c r="G13" i="2"/>
  <c r="O47" i="2"/>
  <c r="Q47" i="2"/>
  <c r="G11" i="2"/>
  <c r="K50" i="2"/>
  <c r="K28" i="2"/>
  <c r="K7" i="2"/>
  <c r="Q56" i="2"/>
  <c r="O56" i="2"/>
  <c r="G46" i="2"/>
  <c r="F46" i="2"/>
  <c r="E46" i="2"/>
  <c r="F10" i="2"/>
  <c r="E10" i="2"/>
  <c r="G10" i="2"/>
  <c r="O54" i="2"/>
  <c r="Q54" i="2"/>
  <c r="Q45" i="2"/>
  <c r="O45" i="2"/>
  <c r="K58" i="2"/>
  <c r="G45" i="2"/>
  <c r="J10" i="2"/>
  <c r="L10" i="2"/>
  <c r="K10" i="2"/>
  <c r="O42" i="2"/>
  <c r="Q42" i="2"/>
  <c r="G54" i="2"/>
  <c r="K42" i="2"/>
  <c r="K31" i="2"/>
  <c r="J31" i="2"/>
  <c r="P21" i="2"/>
  <c r="K82" i="2"/>
  <c r="F55" i="2"/>
  <c r="F52" i="2"/>
  <c r="E74" i="2"/>
  <c r="F49" i="2"/>
  <c r="F43" i="2"/>
  <c r="E31" i="2"/>
  <c r="F31" i="2"/>
  <c r="K27" i="2"/>
  <c r="F26" i="2"/>
  <c r="F58" i="2"/>
  <c r="K55" i="2"/>
  <c r="G50" i="2"/>
  <c r="G44" i="2"/>
  <c r="K41" i="2"/>
  <c r="Q52" i="2"/>
  <c r="O52" i="2"/>
  <c r="L22" i="2"/>
  <c r="Q49" i="2"/>
  <c r="O49" i="2"/>
  <c r="P19" i="2"/>
  <c r="G17" i="2"/>
  <c r="K38" i="2"/>
  <c r="J38" i="2"/>
  <c r="L38" i="2"/>
  <c r="F53" i="2"/>
  <c r="L42" i="2"/>
  <c r="K35" i="2"/>
  <c r="Q10" i="2"/>
  <c r="P10" i="2"/>
  <c r="O10" i="2"/>
  <c r="P30" i="2"/>
  <c r="P25" i="2"/>
  <c r="K25" i="2"/>
  <c r="Q53" i="2"/>
  <c r="O53" i="2"/>
  <c r="K19" i="2"/>
  <c r="K15" i="2"/>
  <c r="F54" i="2"/>
  <c r="L43" i="2"/>
  <c r="O55" i="2"/>
  <c r="Q55" i="2"/>
  <c r="K26" i="2"/>
  <c r="Q21" i="2"/>
  <c r="Q48" i="2"/>
  <c r="O48" i="2"/>
  <c r="G15" i="2"/>
  <c r="G12" i="2"/>
  <c r="P7" i="2"/>
  <c r="L12" i="2"/>
  <c r="O51" i="2"/>
  <c r="Q51" i="2"/>
  <c r="L16" i="2"/>
  <c r="F13" i="2"/>
  <c r="F19" i="2"/>
  <c r="O39" i="2"/>
  <c r="Q39" i="2"/>
  <c r="G41" i="2"/>
  <c r="Q22" i="2"/>
  <c r="P8" i="2"/>
  <c r="F28" i="2"/>
  <c r="P13" i="2"/>
  <c r="P9" i="2"/>
  <c r="P59" i="2" l="1"/>
  <c r="O59" i="2"/>
  <c r="Q59" i="2"/>
  <c r="P36" i="2"/>
  <c r="P37" i="2"/>
  <c r="P35" i="2"/>
  <c r="P43" i="2"/>
  <c r="L59" i="2"/>
  <c r="P39" i="2"/>
  <c r="P48" i="2"/>
  <c r="P53" i="2"/>
  <c r="L31" i="2"/>
  <c r="P54" i="2"/>
  <c r="Q31" i="2"/>
  <c r="P49" i="2"/>
  <c r="P52" i="2"/>
  <c r="P42" i="2"/>
  <c r="P45" i="2"/>
  <c r="P58" i="2"/>
  <c r="P44" i="2"/>
  <c r="G59" i="2"/>
  <c r="O46" i="2"/>
  <c r="P46" i="2"/>
  <c r="Q46" i="2"/>
  <c r="P40" i="2"/>
  <c r="L18" i="2"/>
  <c r="P51" i="2"/>
  <c r="P55" i="2"/>
  <c r="G31" i="2"/>
  <c r="P56" i="2"/>
  <c r="P47" i="2"/>
  <c r="O38" i="2"/>
  <c r="P38" i="2"/>
  <c r="Q38" i="2"/>
  <c r="P41" i="2"/>
  <c r="L46" i="2"/>
  <c r="P50" i="2"/>
  <c r="G38" i="2"/>
  <c r="Q57" i="2"/>
  <c r="O57" i="2"/>
  <c r="P57" i="2"/>
</calcChain>
</file>

<file path=xl/sharedStrings.xml><?xml version="1.0" encoding="utf-8"?>
<sst xmlns="http://schemas.openxmlformats.org/spreadsheetml/2006/main" count="383" uniqueCount="45">
  <si>
    <t>LLEGADA DE PASAJEROS DESDE AEROPUERTOS NACIONALES Y EXTRANJEROS 
Canarias e Islas  (octubre 2017)</t>
  </si>
  <si>
    <t>AEROPUERTO PROCEDENCIA DEL VUELO</t>
  </si>
  <si>
    <t>GRAN CANARIA</t>
  </si>
  <si>
    <t>FUERTEVENTURA</t>
  </si>
  <si>
    <t>LANZAROTE</t>
  </si>
  <si>
    <t>octubre 2016</t>
  </si>
  <si>
    <t>octubre 2017</t>
  </si>
  <si>
    <t>var. interanual</t>
  </si>
  <si>
    <t>cuota / Isla</t>
  </si>
  <si>
    <t>cuota / Canarias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</si>
  <si>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</si>
  <si>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</si>
  <si>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</si>
  <si>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</si>
  <si>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</si>
  <si>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</si>
  <si>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</si>
  <si>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</si>
  <si>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</si>
  <si>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</si>
  <si>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</si>
  <si>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</si>
  <si>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</si>
  <si>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</si>
  <si>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</si>
  <si>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</si>
  <si>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</si>
  <si>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</si>
  <si>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Federación Rusa</t>
  </si>
  <si>
    <t>-</t>
  </si>
  <si>
    <t>Republica Checa</t>
  </si>
  <si>
    <t>Polonia</t>
  </si>
  <si>
    <t>USA</t>
  </si>
  <si>
    <t>Otros países</t>
  </si>
  <si>
    <t>Total aerop. Extranjeros</t>
  </si>
  <si>
    <t>TOTAL PASAJEROS</t>
  </si>
  <si>
    <t>TENERIFE</t>
  </si>
  <si>
    <t>LA PALMA</t>
  </si>
  <si>
    <t>TOTAL CANARIAS</t>
  </si>
  <si>
    <t xml:space="preserve">FUENTE: AENA. ELABORACIÓN: Turismo de Tenerife </t>
  </si>
  <si>
    <t>LLEGADA DE PASAJEROS DESDE AEROPUERTOS NACIONALES Y EXTRANJEROS TFN, TFS Y TOTAL TENERIFE 
(octubre 2017)</t>
  </si>
  <si>
    <t>TFN</t>
  </si>
  <si>
    <t>TFS</t>
  </si>
  <si>
    <t>Acumulado octubre 2016</t>
  </si>
  <si>
    <t>Acumulado octubre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</si>
</sst>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"/>
    <numFmt numFmtId="165" formatCode="0.0%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3" fontId="0" fillId="0" borderId="0">
      <alignment vertical="center"/>
    </xf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92">
    <xf numFmtId="3" fontId="0" fillId="0" borderId="0" xfId="0">
      <alignment vertical="center"/>
    </xf>
    <xf numFmtId="3" fontId="2" fillId="0" borderId="1" xfId="1" applyFont="1" applyFill="1" applyBorder="1" applyAlignment="1">
      <alignment horizontal="left" vertical="center" wrapText="1"/>
    </xf>
    <xf numFmtId="3" fontId="2" fillId="0" borderId="0" xfId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left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1" fontId="3" fillId="3" borderId="5" xfId="1" applyNumberFormat="1" applyFont="1" applyFill="1" applyBorder="1" applyAlignment="1">
      <alignment horizontal="center" vertical="center" wrapText="1"/>
    </xf>
    <xf numFmtId="1" fontId="3" fillId="2" borderId="6" xfId="1" applyNumberFormat="1" applyFont="1" applyFill="1" applyBorder="1" applyAlignment="1">
      <alignment horizontal="left" vertical="center" wrapText="1"/>
    </xf>
    <xf numFmtId="1" fontId="3" fillId="2" borderId="7" xfId="1" applyNumberFormat="1" applyFont="1" applyFill="1" applyBorder="1" applyAlignment="1">
      <alignment horizontal="left" vertical="center" wrapText="1"/>
    </xf>
    <xf numFmtId="17" fontId="3" fillId="2" borderId="0" xfId="1" quotePrefix="1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9" xfId="1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10" xfId="1" applyNumberFormat="1" applyFont="1" applyFill="1" applyBorder="1" applyAlignment="1">
      <alignment horizontal="left" vertical="center" wrapText="1"/>
    </xf>
    <xf numFmtId="3" fontId="5" fillId="0" borderId="11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165" fontId="4" fillId="0" borderId="11" xfId="2" applyNumberFormat="1" applyFont="1" applyFill="1" applyBorder="1" applyAlignment="1">
      <alignment vertical="center" wrapText="1"/>
    </xf>
    <xf numFmtId="165" fontId="5" fillId="0" borderId="11" xfId="2" applyNumberFormat="1" applyFont="1" applyFill="1" applyBorder="1" applyAlignment="1">
      <alignment vertical="center" wrapText="1"/>
    </xf>
    <xf numFmtId="165" fontId="5" fillId="0" borderId="13" xfId="2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165" fontId="4" fillId="0" borderId="0" xfId="2" applyNumberFormat="1" applyFont="1" applyFill="1" applyBorder="1" applyAlignment="1">
      <alignment vertical="center" wrapText="1"/>
    </xf>
    <xf numFmtId="165" fontId="5" fillId="0" borderId="0" xfId="2" applyNumberFormat="1" applyFont="1" applyFill="1" applyBorder="1" applyAlignment="1">
      <alignment vertical="center" wrapText="1"/>
    </xf>
    <xf numFmtId="165" fontId="5" fillId="0" borderId="8" xfId="2" applyNumberFormat="1" applyFont="1" applyFill="1" applyBorder="1" applyAlignment="1">
      <alignment vertical="center" wrapText="1"/>
    </xf>
    <xf numFmtId="3" fontId="6" fillId="0" borderId="14" xfId="0" applyNumberFormat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 applyProtection="1">
      <alignment vertical="center"/>
      <protection hidden="1"/>
    </xf>
    <xf numFmtId="164" fontId="6" fillId="0" borderId="14" xfId="0" applyNumberFormat="1" applyFont="1" applyFill="1" applyBorder="1" applyAlignment="1" applyProtection="1">
      <alignment vertical="center"/>
      <protection hidden="1"/>
    </xf>
    <xf numFmtId="165" fontId="7" fillId="0" borderId="14" xfId="2" applyNumberFormat="1" applyFont="1" applyFill="1" applyBorder="1" applyAlignment="1">
      <alignment vertical="center" wrapText="1"/>
    </xf>
    <xf numFmtId="165" fontId="6" fillId="0" borderId="14" xfId="2" applyNumberFormat="1" applyFont="1" applyFill="1" applyBorder="1" applyAlignment="1">
      <alignment vertical="center" wrapText="1"/>
    </xf>
    <xf numFmtId="165" fontId="6" fillId="0" borderId="16" xfId="2" applyNumberFormat="1" applyFont="1" applyFill="1" applyBorder="1" applyAlignment="1">
      <alignment vertical="center" wrapText="1"/>
    </xf>
    <xf numFmtId="3" fontId="8" fillId="4" borderId="14" xfId="0" applyNumberFormat="1" applyFont="1" applyFill="1" applyBorder="1" applyAlignment="1">
      <alignment vertical="center" wrapText="1"/>
    </xf>
    <xf numFmtId="164" fontId="8" fillId="4" borderId="15" xfId="0" applyNumberFormat="1" applyFont="1" applyFill="1" applyBorder="1" applyAlignment="1" applyProtection="1">
      <alignment vertical="center"/>
      <protection hidden="1"/>
    </xf>
    <xf numFmtId="164" fontId="8" fillId="4" borderId="14" xfId="0" applyNumberFormat="1" applyFont="1" applyFill="1" applyBorder="1" applyAlignment="1" applyProtection="1">
      <alignment vertical="center"/>
      <protection hidden="1"/>
    </xf>
    <xf numFmtId="165" fontId="9" fillId="4" borderId="14" xfId="2" applyNumberFormat="1" applyFont="1" applyFill="1" applyBorder="1" applyAlignment="1">
      <alignment vertical="center" wrapText="1"/>
    </xf>
    <xf numFmtId="165" fontId="8" fillId="4" borderId="14" xfId="2" applyNumberFormat="1" applyFont="1" applyFill="1" applyBorder="1" applyAlignment="1">
      <alignment vertical="center" wrapText="1"/>
    </xf>
    <xf numFmtId="165" fontId="8" fillId="4" borderId="16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165" fontId="4" fillId="2" borderId="0" xfId="2" applyNumberFormat="1" applyFont="1" applyFill="1" applyBorder="1" applyAlignment="1">
      <alignment vertical="center" wrapText="1"/>
    </xf>
    <xf numFmtId="165" fontId="5" fillId="2" borderId="0" xfId="2" applyNumberFormat="1" applyFont="1" applyFill="1" applyBorder="1" applyAlignment="1">
      <alignment vertical="center" wrapText="1"/>
    </xf>
    <xf numFmtId="164" fontId="5" fillId="2" borderId="9" xfId="0" applyNumberFormat="1" applyFont="1" applyFill="1" applyBorder="1" applyAlignment="1" applyProtection="1">
      <alignment vertical="center"/>
      <protection hidden="1"/>
    </xf>
    <xf numFmtId="164" fontId="5" fillId="2" borderId="0" xfId="0" applyNumberFormat="1" applyFont="1" applyFill="1" applyBorder="1" applyAlignment="1" applyProtection="1">
      <alignment vertical="center"/>
      <protection hidden="1"/>
    </xf>
    <xf numFmtId="165" fontId="5" fillId="2" borderId="8" xfId="2" applyNumberFormat="1" applyFont="1" applyFill="1" applyBorder="1" applyAlignment="1">
      <alignment vertical="center" wrapText="1"/>
    </xf>
    <xf numFmtId="3" fontId="5" fillId="4" borderId="0" xfId="0" applyNumberFormat="1" applyFont="1" applyFill="1" applyBorder="1" applyAlignment="1">
      <alignment vertical="center" wrapText="1"/>
    </xf>
    <xf numFmtId="164" fontId="5" fillId="4" borderId="9" xfId="0" applyNumberFormat="1" applyFont="1" applyFill="1" applyBorder="1" applyAlignment="1" applyProtection="1">
      <alignment vertical="center"/>
      <protection hidden="1"/>
    </xf>
    <xf numFmtId="164" fontId="5" fillId="4" borderId="0" xfId="0" applyNumberFormat="1" applyFont="1" applyFill="1" applyBorder="1" applyAlignment="1" applyProtection="1">
      <alignment vertical="center"/>
      <protection hidden="1"/>
    </xf>
    <xf numFmtId="165" fontId="4" fillId="4" borderId="0" xfId="2" applyNumberFormat="1" applyFont="1" applyFill="1" applyBorder="1" applyAlignment="1">
      <alignment vertical="center" wrapText="1"/>
    </xf>
    <xf numFmtId="165" fontId="5" fillId="4" borderId="0" xfId="2" applyNumberFormat="1" applyFont="1" applyFill="1" applyBorder="1" applyAlignment="1">
      <alignment vertical="center" wrapText="1"/>
    </xf>
    <xf numFmtId="165" fontId="5" fillId="4" borderId="8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4" borderId="0" xfId="0" applyNumberFormat="1" applyFont="1" applyFill="1" applyBorder="1" applyAlignment="1">
      <alignment horizontal="right" vertical="center" wrapText="1"/>
    </xf>
    <xf numFmtId="165" fontId="5" fillId="4" borderId="8" xfId="2" applyNumberFormat="1" applyFont="1" applyFill="1" applyBorder="1" applyAlignment="1">
      <alignment horizontal="right" vertical="center" wrapText="1"/>
    </xf>
    <xf numFmtId="165" fontId="4" fillId="4" borderId="0" xfId="2" applyNumberFormat="1" applyFont="1" applyFill="1" applyBorder="1" applyAlignment="1">
      <alignment horizontal="right" vertical="center" wrapText="1"/>
    </xf>
    <xf numFmtId="164" fontId="6" fillId="0" borderId="15" xfId="0" applyNumberFormat="1" applyFont="1" applyFill="1" applyBorder="1" applyAlignment="1" applyProtection="1">
      <alignment vertical="center" wrapText="1"/>
      <protection hidden="1"/>
    </xf>
    <xf numFmtId="164" fontId="6" fillId="0" borderId="14" xfId="0" applyNumberFormat="1" applyFont="1" applyFill="1" applyBorder="1" applyAlignment="1" applyProtection="1">
      <alignment vertical="center" wrapText="1"/>
      <protection hidden="1"/>
    </xf>
    <xf numFmtId="3" fontId="10" fillId="0" borderId="14" xfId="0" applyNumberFormat="1" applyFont="1" applyFill="1" applyBorder="1" applyAlignment="1">
      <alignment vertical="center" wrapText="1"/>
    </xf>
    <xf numFmtId="164" fontId="10" fillId="0" borderId="15" xfId="0" applyNumberFormat="1" applyFont="1" applyFill="1" applyBorder="1" applyAlignment="1" applyProtection="1">
      <alignment vertical="center"/>
      <protection hidden="1"/>
    </xf>
    <xf numFmtId="164" fontId="10" fillId="0" borderId="14" xfId="0" applyNumberFormat="1" applyFont="1" applyFill="1" applyBorder="1" applyAlignment="1" applyProtection="1">
      <alignment vertical="center"/>
      <protection hidden="1"/>
    </xf>
    <xf numFmtId="165" fontId="11" fillId="0" borderId="14" xfId="2" applyNumberFormat="1" applyFont="1" applyFill="1" applyBorder="1" applyAlignment="1">
      <alignment vertical="center" wrapText="1"/>
    </xf>
    <xf numFmtId="165" fontId="10" fillId="0" borderId="14" xfId="2" applyNumberFormat="1" applyFont="1" applyFill="1" applyBorder="1" applyAlignment="1">
      <alignment vertical="center" wrapText="1"/>
    </xf>
    <xf numFmtId="165" fontId="10" fillId="0" borderId="16" xfId="2" applyNumberFormat="1" applyFont="1" applyFill="1" applyBorder="1" applyAlignment="1">
      <alignment vertical="center" wrapText="1"/>
    </xf>
    <xf numFmtId="3" fontId="2" fillId="3" borderId="0" xfId="1" applyFont="1" applyFill="1" applyBorder="1" applyAlignment="1">
      <alignment horizontal="center" vertical="center" wrapText="1"/>
    </xf>
    <xf numFmtId="165" fontId="4" fillId="0" borderId="11" xfId="2" applyNumberFormat="1" applyFont="1" applyFill="1" applyBorder="1" applyAlignment="1">
      <alignment horizontal="right" vertical="center" wrapText="1"/>
    </xf>
    <xf numFmtId="165" fontId="4" fillId="0" borderId="0" xfId="2" applyNumberFormat="1" applyFont="1" applyFill="1" applyBorder="1" applyAlignment="1">
      <alignment horizontal="right" vertical="center" wrapText="1"/>
    </xf>
    <xf numFmtId="165" fontId="4" fillId="2" borderId="0" xfId="2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vertical="center" wrapText="1"/>
    </xf>
    <xf numFmtId="164" fontId="10" fillId="0" borderId="0" xfId="0" applyNumberFormat="1" applyFont="1" applyFill="1" applyBorder="1" applyAlignment="1" applyProtection="1">
      <alignment vertical="center"/>
      <protection hidden="1"/>
    </xf>
    <xf numFmtId="165" fontId="10" fillId="0" borderId="0" xfId="2" applyNumberFormat="1" applyFont="1" applyFill="1" applyBorder="1" applyAlignment="1">
      <alignment vertical="center" wrapText="1"/>
    </xf>
    <xf numFmtId="0" fontId="5" fillId="2" borderId="11" xfId="3" applyFont="1" applyFill="1" applyBorder="1" applyAlignment="1">
      <alignment horizontal="left" vertical="center" wrapText="1"/>
    </xf>
    <xf numFmtId="3" fontId="12" fillId="0" borderId="0" xfId="0" applyFont="1">
      <alignment vertical="center"/>
    </xf>
    <xf numFmtId="3" fontId="2" fillId="0" borderId="0" xfId="1" applyFont="1" applyFill="1" applyBorder="1" applyAlignment="1">
      <alignment horizontal="left"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3" fontId="1" fillId="0" borderId="0" xfId="0" applyFont="1">
      <alignment vertical="center"/>
    </xf>
    <xf numFmtId="3" fontId="1" fillId="0" borderId="0" xfId="0" applyFont="1" applyAlignment="1">
      <alignment horizontal="center" vertical="center"/>
    </xf>
  </cellXfs>
  <cellStyles count="4">
    <cellStyle name="Normal" xfId="0" builtinId="0"/>
    <cellStyle name="Normal_CANARIAS E ISLAS 2004" xfId="3"/>
    <cellStyle name="Normal_Datos para el Boletín resumen 2004" xfId="1"/>
    <cellStyle name="Porcentual_Series anuales Estadísticas de Turismo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Legada%20Pasajeros%20Canarias%20e%20islas%20por%20mercado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"/>
      <sheetName val="Tabla dinamica islas ext"/>
      <sheetName val="Tabla dinamica islas españoles"/>
      <sheetName val="ACTUALIZACIONES"/>
      <sheetName val="Hoja4"/>
      <sheetName val="Tabla dinanica invierno"/>
      <sheetName val="Tabla pasajeros"/>
      <sheetName val="Formato de tabla invierno"/>
      <sheetName val="tabla dinamica llegadas y salid"/>
      <sheetName val="enero 2017"/>
      <sheetName val="invierno (nov-ene)"/>
      <sheetName val="febrero 2017"/>
      <sheetName val="acumulado febrero 2017"/>
      <sheetName val="invierno (nov-feb)"/>
      <sheetName val="marzo 2017"/>
      <sheetName val="I trimestre 2017"/>
      <sheetName val="invierno 16-17 final"/>
      <sheetName val="abril 2017"/>
      <sheetName val="acumulado abril 2017"/>
      <sheetName val="marzo+abril 2017"/>
      <sheetName val="mayo 2017"/>
      <sheetName val="acum mayo 2017"/>
      <sheetName val="junio 2017"/>
      <sheetName val="I semestre 2017"/>
      <sheetName val="julio 2017"/>
      <sheetName val="acumulado julio 2017"/>
      <sheetName val="agosto 2017"/>
      <sheetName val="Acum agosto 2017"/>
      <sheetName val="septiembre 2017"/>
      <sheetName val="acum septiembre 2017"/>
      <sheetName val="verano jul-sep 2017"/>
      <sheetName val="octubre 2017"/>
      <sheetName val="acum octubre 2017"/>
    </sheetNames>
    <sheetDataSet>
      <sheetData sheetId="0" refreshError="1"/>
      <sheetData sheetId="1">
        <row r="4">
          <cell r="A4" t="str">
            <v>Suma de pasajeros</v>
          </cell>
        </row>
        <row r="46">
          <cell r="A46" t="str">
            <v>Etiquetas de fila</v>
          </cell>
        </row>
      </sheetData>
      <sheetData sheetId="2">
        <row r="5">
          <cell r="A5" t="str">
            <v>Suma de pasajeros</v>
          </cell>
        </row>
        <row r="20">
          <cell r="A20" t="str">
            <v>Suma de pasajeros</v>
          </cell>
        </row>
        <row r="41">
          <cell r="A41" t="str">
            <v>Etiquetas de fila</v>
          </cell>
        </row>
        <row r="56">
          <cell r="A56" t="str">
            <v>Etiquetas de fila</v>
          </cell>
        </row>
      </sheetData>
      <sheetData sheetId="3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5"/>
  <sheetViews>
    <sheetView showGridLines="0" tabSelected="1" workbookViewId="0">
      <selection activeCell="S14" sqref="S14"/>
    </sheetView>
  </sheetViews>
  <sheetFormatPr baseColWidth="10" defaultRowHeight="12.75" x14ac:dyDescent="0.2"/>
  <cols>
    <col min="1" max="1" width="15.7109375" customWidth="1"/>
    <col min="2" max="2" width="25.140625" customWidth="1"/>
    <col min="3" max="4" width="12.28515625" customWidth="1"/>
    <col min="5" max="7" width="10.7109375" customWidth="1"/>
    <col min="8" max="8" width="12.7109375" customWidth="1"/>
    <col min="9" max="9" width="12.28515625" customWidth="1"/>
    <col min="10" max="12" width="10.7109375" customWidth="1"/>
    <col min="13" max="13" width="12.28515625" customWidth="1"/>
    <col min="14" max="14" width="12.42578125" customWidth="1"/>
    <col min="15" max="17" width="10.7109375" customWidth="1"/>
    <col min="18" max="18" width="22.28515625" customWidth="1"/>
  </cols>
  <sheetData>
    <row r="1" spans="2:18" ht="15" customHeight="1" x14ac:dyDescent="0.2"/>
    <row r="2" spans="2:18" ht="36" customHeight="1" thickBo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5.25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 ht="12.75" customHeight="1" x14ac:dyDescent="0.2">
      <c r="B4" s="3" t="s">
        <v>1</v>
      </c>
      <c r="C4" s="4" t="s">
        <v>2</v>
      </c>
      <c r="D4" s="5"/>
      <c r="E4" s="5"/>
      <c r="F4" s="5"/>
      <c r="G4" s="6"/>
      <c r="H4" s="7" t="s">
        <v>3</v>
      </c>
      <c r="I4" s="8"/>
      <c r="J4" s="8"/>
      <c r="K4" s="8"/>
      <c r="L4" s="9"/>
      <c r="M4" s="4" t="s">
        <v>4</v>
      </c>
      <c r="N4" s="5"/>
      <c r="O4" s="5"/>
      <c r="P4" s="5"/>
      <c r="Q4" s="6"/>
      <c r="R4" s="10" t="s">
        <v>1</v>
      </c>
    </row>
    <row r="5" spans="2:18" ht="25.5" x14ac:dyDescent="0.2">
      <c r="B5" s="11"/>
      <c r="C5" s="12" t="s">
        <v>5</v>
      </c>
      <c r="D5" s="12" t="s">
        <v>6</v>
      </c>
      <c r="E5" s="13" t="s">
        <v>7</v>
      </c>
      <c r="F5" s="14" t="s">
        <v>8</v>
      </c>
      <c r="G5" s="15" t="s">
        <v>9</v>
      </c>
      <c r="H5" s="16" t="s">
        <v>5</v>
      </c>
      <c r="I5" s="17" t="s">
        <v>6</v>
      </c>
      <c r="J5" s="18" t="s">
        <v>7</v>
      </c>
      <c r="K5" s="19" t="s">
        <v>8</v>
      </c>
      <c r="L5" s="20" t="s">
        <v>9</v>
      </c>
      <c r="M5" s="21" t="s">
        <v>5</v>
      </c>
      <c r="N5" s="22" t="s">
        <v>6</v>
      </c>
      <c r="O5" s="23" t="s">
        <v>7</v>
      </c>
      <c r="P5" s="24" t="s">
        <v>8</v>
      </c>
      <c r="Q5" s="25" t="s">
        <v>9</v>
      </c>
      <c r="R5" s="26"/>
    </row>
    <row r="6" spans="2:18" ht="15" customHeight="1" x14ac:dyDescent="0.2">
      <c r="B6" s="27" t="s">
        <v>10</v>
      </c>
      <c r="C6" s="28">
        <v>79324</v>
      </c>
      <c r="D6" s="29">
        <v>104661</v>
      </c>
      <c r="E6" s="30">
        <v>0.31941152740658563</v>
      </c>
      <c r="F6" s="31">
        <v>0.17334494917791951</v>
      </c>
      <c r="G6" s="32">
        <v>0.3170661512548017</v>
      </c>
      <c r="H6" s="28">
        <v>27045</v>
      </c>
      <c r="I6" s="29">
        <v>37249</v>
      </c>
      <c r="J6" s="30">
        <v>0.37729709743020901</v>
      </c>
      <c r="K6" s="31">
        <v>0.13290635648404189</v>
      </c>
      <c r="L6" s="32">
        <v>0.11284429795329787</v>
      </c>
      <c r="M6" s="28">
        <v>34064</v>
      </c>
      <c r="N6" s="29">
        <v>45561</v>
      </c>
      <c r="O6" s="30">
        <v>0.33751174260216055</v>
      </c>
      <c r="P6" s="31">
        <v>0.13708534548901025</v>
      </c>
      <c r="Q6" s="32">
        <v>0.13802515662300208</v>
      </c>
      <c r="R6" s="27" t="s">
        <v>10</v>
      </c>
    </row>
    <row r="7" spans="2:18" ht="15" customHeight="1" x14ac:dyDescent="0.2">
      <c r="B7" s="33" t="s">
        <v>11</v>
      </c>
      <c r="C7" s="34">
        <v>117046</v>
      </c>
      <c r="D7" s="35">
        <v>120398</v>
      </c>
      <c r="E7" s="36">
        <v>2.8638313141841731E-2</v>
      </c>
      <c r="F7" s="37">
        <v>0.19940938067783753</v>
      </c>
      <c r="G7" s="38">
        <v>0.34977151174107179</v>
      </c>
      <c r="H7" s="34">
        <v>21557</v>
      </c>
      <c r="I7" s="35">
        <v>21913</v>
      </c>
      <c r="J7" s="36">
        <v>1.6514357285336567E-2</v>
      </c>
      <c r="K7" s="37">
        <v>7.8186716143649762E-2</v>
      </c>
      <c r="L7" s="38">
        <v>6.3660053628649196E-2</v>
      </c>
      <c r="M7" s="34">
        <v>39156</v>
      </c>
      <c r="N7" s="35">
        <v>43970</v>
      </c>
      <c r="O7" s="36">
        <v>0.12294412095208918</v>
      </c>
      <c r="P7" s="37">
        <v>0.13229829549728453</v>
      </c>
      <c r="Q7" s="38">
        <v>0.12773844558260875</v>
      </c>
      <c r="R7" s="33" t="s">
        <v>11</v>
      </c>
    </row>
    <row r="8" spans="2:18" ht="15" customHeight="1" x14ac:dyDescent="0.2">
      <c r="B8" s="39" t="s">
        <v>12</v>
      </c>
      <c r="C8" s="40">
        <v>196370</v>
      </c>
      <c r="D8" s="41">
        <v>225059</v>
      </c>
      <c r="E8" s="42">
        <v>0.146096654275093</v>
      </c>
      <c r="F8" s="43">
        <v>0.37275432985575707</v>
      </c>
      <c r="G8" s="44">
        <v>0.33376142462454267</v>
      </c>
      <c r="H8" s="40">
        <v>48602</v>
      </c>
      <c r="I8" s="41">
        <v>59162</v>
      </c>
      <c r="J8" s="42">
        <v>0.21727500925887822</v>
      </c>
      <c r="K8" s="43">
        <v>0.21109307262769164</v>
      </c>
      <c r="L8" s="44">
        <v>8.7736964101134338E-2</v>
      </c>
      <c r="M8" s="40">
        <v>73220</v>
      </c>
      <c r="N8" s="41">
        <v>89531</v>
      </c>
      <c r="O8" s="42">
        <v>0.22276700355094237</v>
      </c>
      <c r="P8" s="43">
        <v>0.26938364098629475</v>
      </c>
      <c r="Q8" s="44">
        <v>0.13277404639698892</v>
      </c>
      <c r="R8" s="39" t="s">
        <v>12</v>
      </c>
    </row>
    <row r="9" spans="2:18" ht="30" customHeight="1" x14ac:dyDescent="0.2">
      <c r="B9" s="45" t="s">
        <v>13</v>
      </c>
      <c r="C9" s="46">
        <v>466497</v>
      </c>
      <c r="D9" s="47">
        <v>499112</v>
      </c>
      <c r="E9" s="48">
        <v>6.9914704703352815E-2</v>
      </c>
      <c r="F9" s="49">
        <v>0.82665505082208046</v>
      </c>
      <c r="G9" s="50">
        <v>0.30119642893781778</v>
      </c>
      <c r="H9" s="46">
        <v>247561</v>
      </c>
      <c r="I9" s="47">
        <v>243016</v>
      </c>
      <c r="J9" s="48">
        <v>-1.8359111491713098E-2</v>
      </c>
      <c r="K9" s="49">
        <v>0.86709364351595808</v>
      </c>
      <c r="L9" s="50">
        <v>0.1466515559128066</v>
      </c>
      <c r="M9" s="46">
        <v>271484</v>
      </c>
      <c r="N9" s="47">
        <v>286794</v>
      </c>
      <c r="O9" s="48">
        <v>5.6393746961146851E-2</v>
      </c>
      <c r="P9" s="49">
        <v>0.86291465451098981</v>
      </c>
      <c r="Q9" s="50">
        <v>0.17307002965425097</v>
      </c>
      <c r="R9" s="45" t="s">
        <v>13</v>
      </c>
    </row>
    <row r="10" spans="2:18" ht="15" customHeight="1" x14ac:dyDescent="0.2">
      <c r="B10" s="51" t="s">
        <v>14</v>
      </c>
      <c r="C10" s="52">
        <v>23676</v>
      </c>
      <c r="D10" s="53">
        <v>24085</v>
      </c>
      <c r="E10" s="54">
        <v>1.7274877513093534E-2</v>
      </c>
      <c r="F10" s="55">
        <v>3.9890819894231773E-2</v>
      </c>
      <c r="G10" s="38">
        <v>0.37667537260912404</v>
      </c>
      <c r="H10" s="56">
        <v>5088</v>
      </c>
      <c r="I10" s="57">
        <v>5602</v>
      </c>
      <c r="J10" s="54">
        <v>0.10102201257861632</v>
      </c>
      <c r="K10" s="55">
        <v>1.9988225429504219E-2</v>
      </c>
      <c r="L10" s="58">
        <v>8.7612017328474692E-2</v>
      </c>
      <c r="M10" s="52">
        <v>10331</v>
      </c>
      <c r="N10" s="53">
        <v>12760</v>
      </c>
      <c r="O10" s="54">
        <v>0.23511760720162611</v>
      </c>
      <c r="P10" s="55">
        <v>3.8392682523205608E-2</v>
      </c>
      <c r="Q10" s="38">
        <v>0.19955896842401588</v>
      </c>
      <c r="R10" s="51" t="s">
        <v>14</v>
      </c>
    </row>
    <row r="11" spans="2:18" ht="15" customHeight="1" x14ac:dyDescent="0.2">
      <c r="B11" s="59" t="s">
        <v>15</v>
      </c>
      <c r="C11" s="60">
        <v>10225</v>
      </c>
      <c r="D11" s="61">
        <v>10631</v>
      </c>
      <c r="E11" s="62">
        <v>3.9706601466992675E-2</v>
      </c>
      <c r="F11" s="63">
        <v>1.760761080737297E-2</v>
      </c>
      <c r="G11" s="64">
        <v>0.26506594858752835</v>
      </c>
      <c r="H11" s="60">
        <v>2016</v>
      </c>
      <c r="I11" s="61">
        <v>1651</v>
      </c>
      <c r="J11" s="62">
        <v>-0.18105158730158732</v>
      </c>
      <c r="K11" s="63">
        <v>5.8908532995557775E-3</v>
      </c>
      <c r="L11" s="64">
        <v>4.1164883935472608E-2</v>
      </c>
      <c r="M11" s="60">
        <v>4335</v>
      </c>
      <c r="N11" s="61">
        <v>4505</v>
      </c>
      <c r="O11" s="62">
        <v>3.9215686274509887E-2</v>
      </c>
      <c r="P11" s="63">
        <v>1.3554783288953078E-2</v>
      </c>
      <c r="Q11" s="64">
        <v>0.11232453187722842</v>
      </c>
      <c r="R11" s="59" t="s">
        <v>15</v>
      </c>
    </row>
    <row r="12" spans="2:18" ht="15" customHeight="1" x14ac:dyDescent="0.2">
      <c r="B12" s="51" t="s">
        <v>16</v>
      </c>
      <c r="C12" s="52">
        <v>87867</v>
      </c>
      <c r="D12" s="53">
        <v>97344</v>
      </c>
      <c r="E12" s="54">
        <v>0.1078561917443408</v>
      </c>
      <c r="F12" s="55">
        <v>0.16122615618783881</v>
      </c>
      <c r="G12" s="38">
        <v>0.31956194171697572</v>
      </c>
      <c r="H12" s="56">
        <v>89894</v>
      </c>
      <c r="I12" s="57">
        <v>86579</v>
      </c>
      <c r="J12" s="54">
        <v>-3.6876765968807734E-2</v>
      </c>
      <c r="K12" s="55">
        <v>0.30891834513763761</v>
      </c>
      <c r="L12" s="58">
        <v>0.28422248265855155</v>
      </c>
      <c r="M12" s="52">
        <v>30059</v>
      </c>
      <c r="N12" s="53">
        <v>37403</v>
      </c>
      <c r="O12" s="54">
        <v>0.24431950497355204</v>
      </c>
      <c r="P12" s="55">
        <v>0.11253930285387613</v>
      </c>
      <c r="Q12" s="38">
        <v>0.12278697511957638</v>
      </c>
      <c r="R12" s="51" t="s">
        <v>16</v>
      </c>
    </row>
    <row r="13" spans="2:18" ht="15" customHeight="1" x14ac:dyDescent="0.2">
      <c r="B13" s="59" t="s">
        <v>17</v>
      </c>
      <c r="C13" s="60">
        <v>4922</v>
      </c>
      <c r="D13" s="61">
        <v>6539</v>
      </c>
      <c r="E13" s="62">
        <v>0.32852498984152789</v>
      </c>
      <c r="F13" s="63">
        <v>1.0830229241784579E-2</v>
      </c>
      <c r="G13" s="64">
        <v>0.15515114127082047</v>
      </c>
      <c r="H13" s="60">
        <v>12817</v>
      </c>
      <c r="I13" s="61">
        <v>11582</v>
      </c>
      <c r="J13" s="62">
        <v>-9.6356401654053236E-2</v>
      </c>
      <c r="K13" s="63">
        <v>4.1325174388525149E-2</v>
      </c>
      <c r="L13" s="64">
        <v>0.27480662459070848</v>
      </c>
      <c r="M13" s="60">
        <v>9958</v>
      </c>
      <c r="N13" s="61">
        <v>8940</v>
      </c>
      <c r="O13" s="62">
        <v>-0.1022293633259691</v>
      </c>
      <c r="P13" s="63">
        <v>2.6898948413593898E-2</v>
      </c>
      <c r="Q13" s="64">
        <v>0.2121197741185403</v>
      </c>
      <c r="R13" s="59" t="s">
        <v>17</v>
      </c>
    </row>
    <row r="14" spans="2:18" ht="15" customHeight="1" x14ac:dyDescent="0.2">
      <c r="B14" s="51" t="s">
        <v>18</v>
      </c>
      <c r="C14" s="52">
        <v>81234</v>
      </c>
      <c r="D14" s="53">
        <v>88755</v>
      </c>
      <c r="E14" s="54">
        <v>9.2584385848290207E-2</v>
      </c>
      <c r="F14" s="55">
        <v>0.14700061115684207</v>
      </c>
      <c r="G14" s="38">
        <v>0.18197531016072385</v>
      </c>
      <c r="H14" s="56">
        <v>67964</v>
      </c>
      <c r="I14" s="57">
        <v>64949</v>
      </c>
      <c r="J14" s="54">
        <v>-4.4361720911070601E-2</v>
      </c>
      <c r="K14" s="55">
        <v>0.23174138761529267</v>
      </c>
      <c r="L14" s="58">
        <v>0.13316561793283593</v>
      </c>
      <c r="M14" s="52">
        <v>128085</v>
      </c>
      <c r="N14" s="53">
        <v>127416</v>
      </c>
      <c r="O14" s="54">
        <v>-5.2230940391146952E-3</v>
      </c>
      <c r="P14" s="55">
        <v>0.3833732003430067</v>
      </c>
      <c r="Q14" s="38">
        <v>0.26124236515620292</v>
      </c>
      <c r="R14" s="51" t="s">
        <v>18</v>
      </c>
    </row>
    <row r="15" spans="2:18" ht="15" customHeight="1" x14ac:dyDescent="0.2">
      <c r="B15" s="59" t="s">
        <v>19</v>
      </c>
      <c r="C15" s="60">
        <v>8007</v>
      </c>
      <c r="D15" s="61">
        <v>7985</v>
      </c>
      <c r="E15" s="62">
        <v>-2.7475958536280487E-3</v>
      </c>
      <c r="F15" s="63">
        <v>1.3225169061882529E-2</v>
      </c>
      <c r="G15" s="64">
        <v>0.15978948210998159</v>
      </c>
      <c r="H15" s="60">
        <v>5312</v>
      </c>
      <c r="I15" s="61">
        <v>5109</v>
      </c>
      <c r="J15" s="62">
        <v>-3.821536144578308E-2</v>
      </c>
      <c r="K15" s="63">
        <v>1.8229175958467878E-2</v>
      </c>
      <c r="L15" s="64">
        <v>0.1022372528616025</v>
      </c>
      <c r="M15" s="60">
        <v>21714</v>
      </c>
      <c r="N15" s="61">
        <v>24408</v>
      </c>
      <c r="O15" s="62">
        <v>0.12406742193976239</v>
      </c>
      <c r="P15" s="63">
        <v>7.3439545064765091E-2</v>
      </c>
      <c r="Q15" s="64">
        <v>0.48843352277275276</v>
      </c>
      <c r="R15" s="59" t="s">
        <v>19</v>
      </c>
    </row>
    <row r="16" spans="2:18" ht="15" customHeight="1" x14ac:dyDescent="0.2">
      <c r="B16" s="51" t="s">
        <v>20</v>
      </c>
      <c r="C16" s="52">
        <v>7544</v>
      </c>
      <c r="D16" s="53">
        <v>7502</v>
      </c>
      <c r="E16" s="54">
        <v>-5.5673382820784489E-3</v>
      </c>
      <c r="F16" s="55">
        <v>1.2425199536912051E-2</v>
      </c>
      <c r="G16" s="38">
        <v>0.16251462241670639</v>
      </c>
      <c r="H16" s="56">
        <v>12573</v>
      </c>
      <c r="I16" s="57">
        <v>13542</v>
      </c>
      <c r="J16" s="54">
        <v>7.7069911715581085E-2</v>
      </c>
      <c r="K16" s="55">
        <v>4.8318555652685849E-2</v>
      </c>
      <c r="L16" s="58">
        <v>0.29335817338936787</v>
      </c>
      <c r="M16" s="52">
        <v>6031</v>
      </c>
      <c r="N16" s="53">
        <v>7612</v>
      </c>
      <c r="O16" s="54">
        <v>0.26214558116398612</v>
      </c>
      <c r="P16" s="55">
        <v>2.2903220953498518E-2</v>
      </c>
      <c r="Q16" s="38">
        <v>0.16489753476885749</v>
      </c>
      <c r="R16" s="51" t="s">
        <v>20</v>
      </c>
    </row>
    <row r="17" spans="2:18" ht="15" customHeight="1" x14ac:dyDescent="0.2">
      <c r="B17" s="59" t="s">
        <v>21</v>
      </c>
      <c r="C17" s="60">
        <v>92005</v>
      </c>
      <c r="D17" s="61">
        <v>96501</v>
      </c>
      <c r="E17" s="62">
        <v>4.8866909407097481E-2</v>
      </c>
      <c r="F17" s="63">
        <v>0.15982993608525059</v>
      </c>
      <c r="G17" s="64">
        <v>0.61204802465925456</v>
      </c>
      <c r="H17" s="60">
        <v>10681</v>
      </c>
      <c r="I17" s="61">
        <v>11288</v>
      </c>
      <c r="J17" s="62">
        <v>5.6829884842243272E-2</v>
      </c>
      <c r="K17" s="63">
        <v>4.0276167198901043E-2</v>
      </c>
      <c r="L17" s="64">
        <v>7.1593020822102005E-2</v>
      </c>
      <c r="M17" s="60">
        <v>9561</v>
      </c>
      <c r="N17" s="61">
        <v>8810</v>
      </c>
      <c r="O17" s="62">
        <v>-7.8548269009517835E-2</v>
      </c>
      <c r="P17" s="63">
        <v>2.6507800394156851E-2</v>
      </c>
      <c r="Q17" s="64">
        <v>5.5876551509808525E-2</v>
      </c>
      <c r="R17" s="59" t="s">
        <v>21</v>
      </c>
    </row>
    <row r="18" spans="2:18" ht="15" customHeight="1" x14ac:dyDescent="0.2">
      <c r="B18" s="65" t="s">
        <v>22</v>
      </c>
      <c r="C18" s="52">
        <v>29432</v>
      </c>
      <c r="D18" s="53">
        <v>32222</v>
      </c>
      <c r="E18" s="54">
        <v>9.4794781190540967E-2</v>
      </c>
      <c r="F18" s="55">
        <v>5.3367739199997349E-2</v>
      </c>
      <c r="G18" s="38">
        <v>0.62792555782909476</v>
      </c>
      <c r="H18" s="56">
        <v>4210</v>
      </c>
      <c r="I18" s="57">
        <v>4500</v>
      </c>
      <c r="J18" s="54">
        <v>6.8883610451306421E-2</v>
      </c>
      <c r="K18" s="55">
        <v>1.6056232494246515E-2</v>
      </c>
      <c r="L18" s="58">
        <v>8.769365682548963E-2</v>
      </c>
      <c r="M18" s="52">
        <v>1519</v>
      </c>
      <c r="N18" s="53">
        <v>1904</v>
      </c>
      <c r="O18" s="54">
        <v>0.25345622119815658</v>
      </c>
      <c r="P18" s="55">
        <v>5.7288140692933762E-3</v>
      </c>
      <c r="Q18" s="38">
        <v>3.7104160576829387E-2</v>
      </c>
      <c r="R18" s="65" t="s">
        <v>22</v>
      </c>
    </row>
    <row r="19" spans="2:18" ht="15" customHeight="1" x14ac:dyDescent="0.2">
      <c r="B19" s="66" t="s">
        <v>23</v>
      </c>
      <c r="C19" s="60">
        <v>31130</v>
      </c>
      <c r="D19" s="61">
        <v>33648</v>
      </c>
      <c r="E19" s="62">
        <v>8.0886604561516195E-2</v>
      </c>
      <c r="F19" s="63">
        <v>5.5729553988005429E-2</v>
      </c>
      <c r="G19" s="64">
        <v>0.74463894482926507</v>
      </c>
      <c r="H19" s="60">
        <v>706</v>
      </c>
      <c r="I19" s="61">
        <v>443</v>
      </c>
      <c r="J19" s="62">
        <v>-0.37252124645892348</v>
      </c>
      <c r="K19" s="63">
        <v>1.5806468877669348E-3</v>
      </c>
      <c r="L19" s="64">
        <v>9.8037046053068358E-3</v>
      </c>
      <c r="M19" s="60">
        <v>3136</v>
      </c>
      <c r="N19" s="61">
        <v>2161</v>
      </c>
      <c r="O19" s="62">
        <v>-0.31090561224489799</v>
      </c>
      <c r="P19" s="63">
        <v>6.502083615411232E-3</v>
      </c>
      <c r="Q19" s="64">
        <v>4.7823489056587072E-2</v>
      </c>
      <c r="R19" s="66" t="s">
        <v>23</v>
      </c>
    </row>
    <row r="20" spans="2:18" ht="15" customHeight="1" x14ac:dyDescent="0.2">
      <c r="B20" s="65" t="s">
        <v>24</v>
      </c>
      <c r="C20" s="52">
        <v>17349</v>
      </c>
      <c r="D20" s="53">
        <v>18099</v>
      </c>
      <c r="E20" s="54">
        <v>4.3230157357772692E-2</v>
      </c>
      <c r="F20" s="55">
        <v>2.9976497789732232E-2</v>
      </c>
      <c r="G20" s="38">
        <v>0.50909960338668392</v>
      </c>
      <c r="H20" s="56">
        <v>4136</v>
      </c>
      <c r="I20" s="57">
        <v>4249</v>
      </c>
      <c r="J20" s="54">
        <v>2.7321083172147098E-2</v>
      </c>
      <c r="K20" s="55">
        <v>1.51606515262341E-2</v>
      </c>
      <c r="L20" s="58">
        <v>0.11951843829990717</v>
      </c>
      <c r="M20" s="52">
        <v>3260</v>
      </c>
      <c r="N20" s="53">
        <v>3518</v>
      </c>
      <c r="O20" s="54">
        <v>7.9141104294478515E-2</v>
      </c>
      <c r="P20" s="55">
        <v>1.0585067172150261E-2</v>
      </c>
      <c r="Q20" s="38">
        <v>9.895642879243903E-2</v>
      </c>
      <c r="R20" s="65" t="s">
        <v>24</v>
      </c>
    </row>
    <row r="21" spans="2:18" ht="15" customHeight="1" x14ac:dyDescent="0.2">
      <c r="B21" s="66" t="s">
        <v>25</v>
      </c>
      <c r="C21" s="60">
        <v>14094</v>
      </c>
      <c r="D21" s="61">
        <v>12532</v>
      </c>
      <c r="E21" s="62">
        <v>-0.11082730239818361</v>
      </c>
      <c r="F21" s="63">
        <v>2.0756145107515573E-2</v>
      </c>
      <c r="G21" s="64">
        <v>0.4892254840724547</v>
      </c>
      <c r="H21" s="60">
        <v>1629</v>
      </c>
      <c r="I21" s="61">
        <v>2096</v>
      </c>
      <c r="J21" s="62">
        <v>0.28667894413750772</v>
      </c>
      <c r="K21" s="63">
        <v>7.4786362906534886E-3</v>
      </c>
      <c r="L21" s="67">
        <v>8.1823860087445341E-2</v>
      </c>
      <c r="M21" s="60">
        <v>1646</v>
      </c>
      <c r="N21" s="61">
        <v>1227</v>
      </c>
      <c r="O21" s="62">
        <v>-0.25455650060753343</v>
      </c>
      <c r="P21" s="63">
        <v>3.6918355373019812E-3</v>
      </c>
      <c r="Q21" s="64">
        <v>4.7899750156152401E-2</v>
      </c>
      <c r="R21" s="66" t="s">
        <v>25</v>
      </c>
    </row>
    <row r="22" spans="2:18" ht="15" customHeight="1" x14ac:dyDescent="0.2">
      <c r="B22" s="51" t="s">
        <v>26</v>
      </c>
      <c r="C22" s="52">
        <v>12002</v>
      </c>
      <c r="D22" s="53">
        <v>11270</v>
      </c>
      <c r="E22" s="54">
        <v>-6.0989835027495443E-2</v>
      </c>
      <c r="F22" s="55">
        <v>1.8665955582644472E-2</v>
      </c>
      <c r="G22" s="38">
        <v>0.32520559803780119</v>
      </c>
      <c r="H22" s="56">
        <v>7841</v>
      </c>
      <c r="I22" s="57">
        <v>7838</v>
      </c>
      <c r="J22" s="54">
        <v>-3.8260425966074596E-4</v>
      </c>
      <c r="K22" s="55">
        <v>2.7966388953312046E-2</v>
      </c>
      <c r="L22" s="58">
        <v>0.22617226951377867</v>
      </c>
      <c r="M22" s="52">
        <v>5920</v>
      </c>
      <c r="N22" s="53">
        <v>4456</v>
      </c>
      <c r="O22" s="54">
        <v>-0.24729729729729732</v>
      </c>
      <c r="P22" s="55">
        <v>1.3407350573934497E-2</v>
      </c>
      <c r="Q22" s="38">
        <v>0.12858173423748376</v>
      </c>
      <c r="R22" s="51" t="s">
        <v>26</v>
      </c>
    </row>
    <row r="23" spans="2:18" ht="15" customHeight="1" x14ac:dyDescent="0.2">
      <c r="B23" s="59" t="s">
        <v>27</v>
      </c>
      <c r="C23" s="60">
        <v>2596</v>
      </c>
      <c r="D23" s="61">
        <v>2770</v>
      </c>
      <c r="E23" s="62">
        <v>6.7026194144838236E-2</v>
      </c>
      <c r="F23" s="63">
        <v>4.5878169444476648E-3</v>
      </c>
      <c r="G23" s="64">
        <v>0.41293977340488969</v>
      </c>
      <c r="H23" s="60">
        <v>447</v>
      </c>
      <c r="I23" s="61">
        <v>1031</v>
      </c>
      <c r="J23" s="62">
        <v>1.3064876957494409</v>
      </c>
      <c r="K23" s="63">
        <v>3.6786612670151463E-3</v>
      </c>
      <c r="L23" s="64">
        <v>0.15369707811568276</v>
      </c>
      <c r="M23" s="60">
        <v>495</v>
      </c>
      <c r="N23" s="61">
        <v>0</v>
      </c>
      <c r="O23" s="62">
        <v>-1</v>
      </c>
      <c r="P23" s="63">
        <v>0</v>
      </c>
      <c r="Q23" s="64">
        <v>0</v>
      </c>
      <c r="R23" s="59" t="s">
        <v>27</v>
      </c>
    </row>
    <row r="24" spans="2:18" ht="15" customHeight="1" x14ac:dyDescent="0.2">
      <c r="B24" s="51" t="s">
        <v>28</v>
      </c>
      <c r="C24" s="52">
        <v>0</v>
      </c>
      <c r="D24" s="53">
        <v>0</v>
      </c>
      <c r="E24" s="54" t="s">
        <v>29</v>
      </c>
      <c r="F24" s="55">
        <v>0</v>
      </c>
      <c r="G24" s="38">
        <v>0</v>
      </c>
      <c r="H24" s="56">
        <v>0</v>
      </c>
      <c r="I24" s="57">
        <v>0</v>
      </c>
      <c r="J24" s="54" t="s">
        <v>29</v>
      </c>
      <c r="K24" s="55">
        <v>0</v>
      </c>
      <c r="L24" s="58">
        <v>0</v>
      </c>
      <c r="M24" s="52">
        <v>0</v>
      </c>
      <c r="N24" s="53">
        <v>0</v>
      </c>
      <c r="O24" s="54" t="s">
        <v>29</v>
      </c>
      <c r="P24" s="55">
        <v>0</v>
      </c>
      <c r="Q24" s="38">
        <v>0</v>
      </c>
      <c r="R24" s="51" t="s">
        <v>28</v>
      </c>
    </row>
    <row r="25" spans="2:18" ht="15" customHeight="1" x14ac:dyDescent="0.2">
      <c r="B25" s="59" t="s">
        <v>30</v>
      </c>
      <c r="C25" s="60">
        <v>1746</v>
      </c>
      <c r="D25" s="61">
        <v>1449</v>
      </c>
      <c r="E25" s="62">
        <v>-0.17010309278350511</v>
      </c>
      <c r="F25" s="63">
        <v>2.3999085749114319E-3</v>
      </c>
      <c r="G25" s="64">
        <v>0.24935467217346413</v>
      </c>
      <c r="H25" s="60">
        <v>812</v>
      </c>
      <c r="I25" s="61">
        <v>1355</v>
      </c>
      <c r="J25" s="62">
        <v>0.66871921182266014</v>
      </c>
      <c r="K25" s="63">
        <v>4.8347100066008959E-3</v>
      </c>
      <c r="L25" s="64">
        <v>0.23317845465496473</v>
      </c>
      <c r="M25" s="60">
        <v>635</v>
      </c>
      <c r="N25" s="61">
        <v>342</v>
      </c>
      <c r="O25" s="62">
        <v>-0.46141732283464565</v>
      </c>
      <c r="P25" s="63">
        <v>1.0290201742113102E-3</v>
      </c>
      <c r="Q25" s="64">
        <v>5.885389778007228E-2</v>
      </c>
      <c r="R25" s="59" t="s">
        <v>30</v>
      </c>
    </row>
    <row r="26" spans="2:18" ht="15" customHeight="1" x14ac:dyDescent="0.2">
      <c r="B26" s="51" t="s">
        <v>31</v>
      </c>
      <c r="C26" s="52">
        <v>5329</v>
      </c>
      <c r="D26" s="53">
        <v>7804</v>
      </c>
      <c r="E26" s="54">
        <v>0.46443985738412463</v>
      </c>
      <c r="F26" s="55">
        <v>1.2925387521469161E-2</v>
      </c>
      <c r="G26" s="38">
        <v>0.24878857434327978</v>
      </c>
      <c r="H26" s="56">
        <v>7962</v>
      </c>
      <c r="I26" s="57">
        <v>7577</v>
      </c>
      <c r="J26" s="54">
        <v>-4.8354684752574761E-2</v>
      </c>
      <c r="K26" s="55">
        <v>2.7035127468645746E-2</v>
      </c>
      <c r="L26" s="58">
        <v>0.2415519000255037</v>
      </c>
      <c r="M26" s="52">
        <v>3330</v>
      </c>
      <c r="N26" s="53">
        <v>3660</v>
      </c>
      <c r="O26" s="54">
        <v>9.9099099099099197E-2</v>
      </c>
      <c r="P26" s="55">
        <v>1.1012321162612268E-2</v>
      </c>
      <c r="Q26" s="38">
        <v>0.11667941851568478</v>
      </c>
      <c r="R26" s="51" t="s">
        <v>31</v>
      </c>
    </row>
    <row r="27" spans="2:18" ht="15" customHeight="1" x14ac:dyDescent="0.2">
      <c r="B27" s="59" t="s">
        <v>32</v>
      </c>
      <c r="C27" s="60">
        <v>0</v>
      </c>
      <c r="D27" s="61">
        <v>0</v>
      </c>
      <c r="E27" s="62" t="s">
        <v>29</v>
      </c>
      <c r="F27" s="63">
        <v>0</v>
      </c>
      <c r="G27" s="67">
        <v>0</v>
      </c>
      <c r="H27" s="60">
        <v>0</v>
      </c>
      <c r="I27" s="61">
        <v>0</v>
      </c>
      <c r="J27" s="62" t="s">
        <v>29</v>
      </c>
      <c r="K27" s="63">
        <v>0</v>
      </c>
      <c r="L27" s="67">
        <v>0</v>
      </c>
      <c r="M27" s="60">
        <v>0</v>
      </c>
      <c r="N27" s="61">
        <v>0</v>
      </c>
      <c r="O27" s="68" t="s">
        <v>29</v>
      </c>
      <c r="P27" s="63">
        <v>0</v>
      </c>
      <c r="Q27" s="67">
        <v>0</v>
      </c>
      <c r="R27" s="59" t="s">
        <v>32</v>
      </c>
    </row>
    <row r="28" spans="2:18" ht="15" customHeight="1" x14ac:dyDescent="0.2">
      <c r="B28" s="51" t="s">
        <v>33</v>
      </c>
      <c r="C28" s="52">
        <v>12298</v>
      </c>
      <c r="D28" s="53">
        <v>16079</v>
      </c>
      <c r="E28" s="54">
        <v>0.30744836558790056</v>
      </c>
      <c r="F28" s="55">
        <v>2.6630869548654876E-2</v>
      </c>
      <c r="G28" s="38">
        <v>0.45053097593095914</v>
      </c>
      <c r="H28" s="56">
        <v>2597</v>
      </c>
      <c r="I28" s="57">
        <v>3000</v>
      </c>
      <c r="J28" s="54">
        <v>0.15517905275317667</v>
      </c>
      <c r="K28" s="55">
        <v>1.0704154996164344E-2</v>
      </c>
      <c r="L28" s="58">
        <v>8.405951413600829E-2</v>
      </c>
      <c r="M28" s="52">
        <v>1874</v>
      </c>
      <c r="N28" s="53">
        <v>2512</v>
      </c>
      <c r="O28" s="54">
        <v>0.34044823906083255</v>
      </c>
      <c r="P28" s="55">
        <v>7.5581832678912608E-3</v>
      </c>
      <c r="Q28" s="38">
        <v>7.0385833169884282E-2</v>
      </c>
      <c r="R28" s="51" t="s">
        <v>33</v>
      </c>
    </row>
    <row r="29" spans="2:18" ht="15" x14ac:dyDescent="0.2">
      <c r="B29" s="39" t="s">
        <v>34</v>
      </c>
      <c r="C29" s="69">
        <v>349451</v>
      </c>
      <c r="D29" s="70">
        <v>378714</v>
      </c>
      <c r="E29" s="42">
        <v>8.3739923479972944E-2</v>
      </c>
      <c r="F29" s="43">
        <v>0.62724567014424293</v>
      </c>
      <c r="G29" s="44">
        <v>0.28846070353779746</v>
      </c>
      <c r="H29" s="69">
        <v>226004</v>
      </c>
      <c r="I29" s="70">
        <v>221103</v>
      </c>
      <c r="J29" s="43">
        <v>-2.1685456894568245E-2</v>
      </c>
      <c r="K29" s="43">
        <v>0.78890692737230839</v>
      </c>
      <c r="L29" s="44">
        <v>0.16841079794863045</v>
      </c>
      <c r="M29" s="69">
        <v>232328</v>
      </c>
      <c r="N29" s="70">
        <v>242824</v>
      </c>
      <c r="O29" s="42">
        <v>4.5177507661581906E-2</v>
      </c>
      <c r="P29" s="43">
        <v>0.73061635901370525</v>
      </c>
      <c r="Q29" s="44">
        <v>0.18495535384448986</v>
      </c>
      <c r="R29" s="39" t="s">
        <v>34</v>
      </c>
    </row>
    <row r="30" spans="2:18" ht="15" customHeight="1" x14ac:dyDescent="0.2">
      <c r="B30" s="71" t="s">
        <v>35</v>
      </c>
      <c r="C30" s="72">
        <v>545821</v>
      </c>
      <c r="D30" s="73">
        <v>603773</v>
      </c>
      <c r="E30" s="74">
        <v>0.10617400209958938</v>
      </c>
      <c r="F30" s="75">
        <v>1</v>
      </c>
      <c r="G30" s="76">
        <v>0.30383254746652311</v>
      </c>
      <c r="H30" s="72">
        <v>274606</v>
      </c>
      <c r="I30" s="73">
        <v>280265</v>
      </c>
      <c r="J30" s="75">
        <v>2.0607707042089363E-2</v>
      </c>
      <c r="K30" s="75">
        <v>1</v>
      </c>
      <c r="L30" s="76">
        <v>0.14103583452010124</v>
      </c>
      <c r="M30" s="72">
        <v>305548</v>
      </c>
      <c r="N30" s="73">
        <v>332355</v>
      </c>
      <c r="O30" s="75">
        <v>8.7734169426734843E-2</v>
      </c>
      <c r="P30" s="75">
        <v>1</v>
      </c>
      <c r="Q30" s="76">
        <v>0.16724872810350294</v>
      </c>
      <c r="R30" s="71" t="s">
        <v>35</v>
      </c>
    </row>
    <row r="31" spans="2:18" ht="5.25" customHeight="1" thickBot="1" x14ac:dyDescent="0.25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</row>
    <row r="32" spans="2:18" ht="15" customHeight="1" x14ac:dyDescent="0.2">
      <c r="B32" s="3" t="s">
        <v>1</v>
      </c>
      <c r="C32" s="4" t="s">
        <v>36</v>
      </c>
      <c r="D32" s="5"/>
      <c r="E32" s="5"/>
      <c r="F32" s="5"/>
      <c r="G32" s="6"/>
      <c r="H32" s="7" t="s">
        <v>37</v>
      </c>
      <c r="I32" s="8"/>
      <c r="J32" s="8"/>
      <c r="K32" s="8"/>
      <c r="L32" s="9"/>
      <c r="M32" s="4" t="s">
        <v>38</v>
      </c>
      <c r="N32" s="5"/>
      <c r="O32" s="5"/>
      <c r="P32" s="5"/>
      <c r="Q32" s="6"/>
      <c r="R32" s="10" t="s">
        <v>1</v>
      </c>
    </row>
    <row r="33" spans="2:18" ht="36.75" customHeight="1" x14ac:dyDescent="0.2">
      <c r="B33" s="11"/>
      <c r="C33" s="21" t="s">
        <v>5</v>
      </c>
      <c r="D33" s="22" t="s">
        <v>6</v>
      </c>
      <c r="E33" s="13" t="s">
        <v>7</v>
      </c>
      <c r="F33" s="14" t="s">
        <v>8</v>
      </c>
      <c r="G33" s="15" t="s">
        <v>9</v>
      </c>
      <c r="H33" s="16" t="s">
        <v>5</v>
      </c>
      <c r="I33" s="17" t="s">
        <v>6</v>
      </c>
      <c r="J33" s="18" t="s">
        <v>7</v>
      </c>
      <c r="K33" s="19" t="s">
        <v>8</v>
      </c>
      <c r="L33" s="20" t="s">
        <v>9</v>
      </c>
      <c r="M33" s="21" t="s">
        <v>5</v>
      </c>
      <c r="N33" s="22" t="s">
        <v>6</v>
      </c>
      <c r="O33" s="23" t="s">
        <v>7</v>
      </c>
      <c r="P33" s="24" t="s">
        <v>8</v>
      </c>
      <c r="Q33" s="25" t="s">
        <v>9</v>
      </c>
      <c r="R33" s="26"/>
    </row>
    <row r="34" spans="2:18" ht="15" customHeight="1" x14ac:dyDescent="0.2">
      <c r="B34" s="27" t="s">
        <v>10</v>
      </c>
      <c r="C34" s="28">
        <v>78246</v>
      </c>
      <c r="D34" s="29">
        <v>108311</v>
      </c>
      <c r="E34" s="30">
        <v>0.38423689389872973</v>
      </c>
      <c r="F34" s="31">
        <v>0.15147141704390826</v>
      </c>
      <c r="G34" s="32">
        <v>0.32812367461192637</v>
      </c>
      <c r="H34" s="28">
        <v>25550</v>
      </c>
      <c r="I34" s="29">
        <v>34310</v>
      </c>
      <c r="J34" s="78">
        <v>0.34285714285714275</v>
      </c>
      <c r="K34" s="31">
        <v>0.61555850586673366</v>
      </c>
      <c r="L34" s="32">
        <v>0.103940719556972</v>
      </c>
      <c r="M34" s="28">
        <v>244229</v>
      </c>
      <c r="N34" s="29">
        <v>330092</v>
      </c>
      <c r="O34" s="30">
        <v>0.35156758615889183</v>
      </c>
      <c r="P34" s="31">
        <v>0.16610993412809041</v>
      </c>
      <c r="Q34" s="32">
        <v>1</v>
      </c>
      <c r="R34" s="27" t="s">
        <v>10</v>
      </c>
    </row>
    <row r="35" spans="2:18" ht="15" customHeight="1" x14ac:dyDescent="0.2">
      <c r="B35" s="33" t="s">
        <v>11</v>
      </c>
      <c r="C35" s="34">
        <v>140851</v>
      </c>
      <c r="D35" s="35">
        <v>151224</v>
      </c>
      <c r="E35" s="36">
        <v>7.3645199537099471E-2</v>
      </c>
      <c r="F35" s="37">
        <v>0.21148464672145934</v>
      </c>
      <c r="G35" s="38">
        <v>0.43932496463007564</v>
      </c>
      <c r="H35" s="34">
        <v>6481</v>
      </c>
      <c r="I35" s="35">
        <v>6714</v>
      </c>
      <c r="J35" s="79">
        <v>3.5951242092269631E-2</v>
      </c>
      <c r="K35" s="37">
        <v>0.12045642111306469</v>
      </c>
      <c r="L35" s="38">
        <v>1.9505024417594614E-2</v>
      </c>
      <c r="M35" s="34">
        <v>325091</v>
      </c>
      <c r="N35" s="35">
        <v>344219</v>
      </c>
      <c r="O35" s="36">
        <v>5.8838909720662746E-2</v>
      </c>
      <c r="P35" s="37">
        <v>0.17321896748675264</v>
      </c>
      <c r="Q35" s="38">
        <v>1</v>
      </c>
      <c r="R35" s="33" t="s">
        <v>11</v>
      </c>
    </row>
    <row r="36" spans="2:18" ht="15" x14ac:dyDescent="0.2">
      <c r="B36" s="39" t="s">
        <v>12</v>
      </c>
      <c r="C36" s="40">
        <v>219097</v>
      </c>
      <c r="D36" s="41">
        <v>259535</v>
      </c>
      <c r="E36" s="42">
        <v>0.18456665312624088</v>
      </c>
      <c r="F36" s="43">
        <v>0.3629560637653676</v>
      </c>
      <c r="G36" s="44">
        <v>0.3848891683511021</v>
      </c>
      <c r="H36" s="40">
        <v>32031</v>
      </c>
      <c r="I36" s="41">
        <v>41024</v>
      </c>
      <c r="J36" s="42">
        <v>0.28075926446255184</v>
      </c>
      <c r="K36" s="43">
        <v>0.73601492697979831</v>
      </c>
      <c r="L36" s="44">
        <v>6.0838396526231964E-2</v>
      </c>
      <c r="M36" s="40">
        <v>569320</v>
      </c>
      <c r="N36" s="41">
        <v>674311</v>
      </c>
      <c r="O36" s="42">
        <v>0.18441474039204664</v>
      </c>
      <c r="P36" s="43">
        <v>0.33932890161484308</v>
      </c>
      <c r="Q36" s="44">
        <v>1</v>
      </c>
      <c r="R36" s="39" t="s">
        <v>12</v>
      </c>
    </row>
    <row r="37" spans="2:18" ht="30" customHeight="1" x14ac:dyDescent="0.2">
      <c r="B37" s="45" t="s">
        <v>13</v>
      </c>
      <c r="C37" s="46">
        <v>583450</v>
      </c>
      <c r="D37" s="47">
        <v>606748</v>
      </c>
      <c r="E37" s="48">
        <v>3.9931442282971963E-2</v>
      </c>
      <c r="F37" s="49">
        <v>0.84852858295609168</v>
      </c>
      <c r="G37" s="50">
        <v>0.36615094581008484</v>
      </c>
      <c r="H37" s="46">
        <v>20932</v>
      </c>
      <c r="I37" s="47">
        <v>21428</v>
      </c>
      <c r="J37" s="48">
        <v>2.3695776801070156E-2</v>
      </c>
      <c r="K37" s="49">
        <v>0.38444149413326634</v>
      </c>
      <c r="L37" s="50">
        <v>1.2931039685039751E-2</v>
      </c>
      <c r="M37" s="46">
        <v>1589924</v>
      </c>
      <c r="N37" s="47">
        <v>1657098</v>
      </c>
      <c r="O37" s="48">
        <v>4.2249818230305269E-2</v>
      </c>
      <c r="P37" s="49">
        <v>0.83389006587190961</v>
      </c>
      <c r="Q37" s="50">
        <v>1</v>
      </c>
      <c r="R37" s="45" t="s">
        <v>13</v>
      </c>
    </row>
    <row r="38" spans="2:18" ht="15" customHeight="1" x14ac:dyDescent="0.2">
      <c r="B38" s="51" t="s">
        <v>14</v>
      </c>
      <c r="C38" s="52">
        <v>15445</v>
      </c>
      <c r="D38" s="53">
        <v>19252</v>
      </c>
      <c r="E38" s="54">
        <v>0.24648753641955334</v>
      </c>
      <c r="F38" s="55">
        <v>2.6923652453853458E-2</v>
      </c>
      <c r="G38" s="58">
        <v>0.30109006740588978</v>
      </c>
      <c r="H38" s="56">
        <v>2103</v>
      </c>
      <c r="I38" s="57">
        <v>2242</v>
      </c>
      <c r="J38" s="80">
        <v>6.6096053257251652E-2</v>
      </c>
      <c r="K38" s="55">
        <v>4.0223904696975135E-2</v>
      </c>
      <c r="L38" s="58">
        <v>3.5063574232495578E-2</v>
      </c>
      <c r="M38" s="52">
        <v>56643</v>
      </c>
      <c r="N38" s="53">
        <v>63941</v>
      </c>
      <c r="O38" s="54">
        <v>0.12884204579559699</v>
      </c>
      <c r="P38" s="55">
        <v>3.2176591065776299E-2</v>
      </c>
      <c r="Q38" s="38">
        <v>1</v>
      </c>
      <c r="R38" s="51" t="s">
        <v>14</v>
      </c>
    </row>
    <row r="39" spans="2:18" ht="15" customHeight="1" x14ac:dyDescent="0.2">
      <c r="B39" s="59" t="s">
        <v>15</v>
      </c>
      <c r="C39" s="60">
        <v>23312</v>
      </c>
      <c r="D39" s="61">
        <v>22969</v>
      </c>
      <c r="E39" s="62">
        <v>-1.4713452299245033E-2</v>
      </c>
      <c r="F39" s="63">
        <v>3.212182491234989E-2</v>
      </c>
      <c r="G39" s="64">
        <v>0.57269304610167804</v>
      </c>
      <c r="H39" s="60">
        <v>586</v>
      </c>
      <c r="I39" s="61">
        <v>351</v>
      </c>
      <c r="J39" s="68">
        <v>-0.40102389078498291</v>
      </c>
      <c r="K39" s="63">
        <v>6.2973196024256346E-3</v>
      </c>
      <c r="L39" s="64">
        <v>8.7515894980926025E-3</v>
      </c>
      <c r="M39" s="60">
        <v>40474</v>
      </c>
      <c r="N39" s="61">
        <v>40107</v>
      </c>
      <c r="O39" s="62">
        <v>-9.0675495379749504E-3</v>
      </c>
      <c r="P39" s="63">
        <v>2.0182770645987551E-2</v>
      </c>
      <c r="Q39" s="64">
        <v>1</v>
      </c>
      <c r="R39" s="59" t="s">
        <v>15</v>
      </c>
    </row>
    <row r="40" spans="2:18" ht="15" customHeight="1" x14ac:dyDescent="0.2">
      <c r="B40" s="51" t="s">
        <v>16</v>
      </c>
      <c r="C40" s="52">
        <v>75666</v>
      </c>
      <c r="D40" s="53">
        <v>77483</v>
      </c>
      <c r="E40" s="54">
        <v>2.4013427431078593E-2</v>
      </c>
      <c r="F40" s="55">
        <v>0.10835889066496611</v>
      </c>
      <c r="G40" s="58">
        <v>0.25436203494880455</v>
      </c>
      <c r="H40" s="56">
        <v>6328</v>
      </c>
      <c r="I40" s="57">
        <v>5808</v>
      </c>
      <c r="J40" s="80">
        <v>-8.2174462705436158E-2</v>
      </c>
      <c r="K40" s="55">
        <v>0.10420180128458144</v>
      </c>
      <c r="L40" s="58">
        <v>1.906656555609175E-2</v>
      </c>
      <c r="M40" s="52">
        <v>289814</v>
      </c>
      <c r="N40" s="53">
        <v>304617</v>
      </c>
      <c r="O40" s="54">
        <v>5.1077587694176252E-2</v>
      </c>
      <c r="P40" s="55">
        <v>0.15329032452860572</v>
      </c>
      <c r="Q40" s="38">
        <v>1</v>
      </c>
      <c r="R40" s="51" t="s">
        <v>16</v>
      </c>
    </row>
    <row r="41" spans="2:18" ht="15" customHeight="1" x14ac:dyDescent="0.2">
      <c r="B41" s="59" t="s">
        <v>17</v>
      </c>
      <c r="C41" s="60">
        <v>10164</v>
      </c>
      <c r="D41" s="61">
        <v>13996</v>
      </c>
      <c r="E41" s="62">
        <v>0.3770169224714679</v>
      </c>
      <c r="F41" s="63">
        <v>1.9573210042807657E-2</v>
      </c>
      <c r="G41" s="64">
        <v>0.33208370901153134</v>
      </c>
      <c r="H41" s="60">
        <v>732</v>
      </c>
      <c r="I41" s="61">
        <v>1089</v>
      </c>
      <c r="J41" s="68">
        <v>0.48770491803278682</v>
      </c>
      <c r="K41" s="63">
        <v>1.9537837740859019E-2</v>
      </c>
      <c r="L41" s="64">
        <v>2.5838751008399375E-2</v>
      </c>
      <c r="M41" s="60">
        <v>38593</v>
      </c>
      <c r="N41" s="61">
        <v>42146</v>
      </c>
      <c r="O41" s="62">
        <v>9.2063327546446194E-2</v>
      </c>
      <c r="P41" s="63">
        <v>2.1208842637090566E-2</v>
      </c>
      <c r="Q41" s="64">
        <v>1</v>
      </c>
      <c r="R41" s="59" t="s">
        <v>17</v>
      </c>
    </row>
    <row r="42" spans="2:18" ht="15" customHeight="1" x14ac:dyDescent="0.2">
      <c r="B42" s="51" t="s">
        <v>18</v>
      </c>
      <c r="C42" s="52">
        <v>211640</v>
      </c>
      <c r="D42" s="53">
        <v>203643</v>
      </c>
      <c r="E42" s="54">
        <v>-3.7785862785862823E-2</v>
      </c>
      <c r="F42" s="55">
        <v>0.28479188430605029</v>
      </c>
      <c r="G42" s="58">
        <v>0.4175313851282777</v>
      </c>
      <c r="H42" s="56">
        <v>2880</v>
      </c>
      <c r="I42" s="57">
        <v>2968</v>
      </c>
      <c r="J42" s="80">
        <v>3.0555555555555447E-2</v>
      </c>
      <c r="K42" s="55">
        <v>5.324912985754781E-2</v>
      </c>
      <c r="L42" s="58">
        <v>6.0853216219596456E-3</v>
      </c>
      <c r="M42" s="52">
        <v>491803</v>
      </c>
      <c r="N42" s="53">
        <v>487731</v>
      </c>
      <c r="O42" s="54">
        <v>-8.2797380251848907E-3</v>
      </c>
      <c r="P42" s="55">
        <v>0.24543752736275848</v>
      </c>
      <c r="Q42" s="38">
        <v>1</v>
      </c>
      <c r="R42" s="51" t="s">
        <v>18</v>
      </c>
    </row>
    <row r="43" spans="2:18" ht="15" customHeight="1" x14ac:dyDescent="0.2">
      <c r="B43" s="59" t="s">
        <v>19</v>
      </c>
      <c r="C43" s="60">
        <v>10680</v>
      </c>
      <c r="D43" s="61">
        <v>12470</v>
      </c>
      <c r="E43" s="62">
        <v>0.16760299625468167</v>
      </c>
      <c r="F43" s="63">
        <v>1.7439120408246033E-2</v>
      </c>
      <c r="G43" s="64">
        <v>0.24953974225566317</v>
      </c>
      <c r="H43" s="60">
        <v>0</v>
      </c>
      <c r="I43" s="61">
        <v>0</v>
      </c>
      <c r="J43" s="68" t="s">
        <v>29</v>
      </c>
      <c r="K43" s="63">
        <v>0</v>
      </c>
      <c r="L43" s="64">
        <v>0</v>
      </c>
      <c r="M43" s="60">
        <v>45713</v>
      </c>
      <c r="N43" s="61">
        <v>49972</v>
      </c>
      <c r="O43" s="62">
        <v>9.3168245356900714E-2</v>
      </c>
      <c r="P43" s="63">
        <v>2.5147066963903803E-2</v>
      </c>
      <c r="Q43" s="64">
        <v>1</v>
      </c>
      <c r="R43" s="59" t="s">
        <v>19</v>
      </c>
    </row>
    <row r="44" spans="2:18" ht="15" customHeight="1" x14ac:dyDescent="0.2">
      <c r="B44" s="51" t="s">
        <v>20</v>
      </c>
      <c r="C44" s="52">
        <v>15691</v>
      </c>
      <c r="D44" s="53">
        <v>17506</v>
      </c>
      <c r="E44" s="54">
        <v>0.11567140398954812</v>
      </c>
      <c r="F44" s="55">
        <v>2.4481895899499201E-2</v>
      </c>
      <c r="G44" s="58">
        <v>0.37922966942506825</v>
      </c>
      <c r="H44" s="56">
        <v>0</v>
      </c>
      <c r="I44" s="57">
        <v>0</v>
      </c>
      <c r="J44" s="80" t="s">
        <v>29</v>
      </c>
      <c r="K44" s="55">
        <v>0</v>
      </c>
      <c r="L44" s="58">
        <v>0</v>
      </c>
      <c r="M44" s="52">
        <v>41839</v>
      </c>
      <c r="N44" s="53">
        <v>46162</v>
      </c>
      <c r="O44" s="54">
        <v>0.10332464925069917</v>
      </c>
      <c r="P44" s="55">
        <v>2.3229786784353786E-2</v>
      </c>
      <c r="Q44" s="38">
        <v>1</v>
      </c>
      <c r="R44" s="51" t="s">
        <v>20</v>
      </c>
    </row>
    <row r="45" spans="2:18" ht="15" customHeight="1" x14ac:dyDescent="0.2">
      <c r="B45" s="59" t="s">
        <v>21</v>
      </c>
      <c r="C45" s="60">
        <v>35996</v>
      </c>
      <c r="D45" s="61">
        <v>38994</v>
      </c>
      <c r="E45" s="62">
        <v>8.3287031892432584E-2</v>
      </c>
      <c r="F45" s="63">
        <v>5.4532563047245054E-2</v>
      </c>
      <c r="G45" s="64">
        <v>0.24731557883921379</v>
      </c>
      <c r="H45" s="60">
        <v>987</v>
      </c>
      <c r="I45" s="61">
        <v>2076</v>
      </c>
      <c r="J45" s="68">
        <v>1.1033434650455929</v>
      </c>
      <c r="K45" s="63">
        <v>3.7245685169902044E-2</v>
      </c>
      <c r="L45" s="64">
        <v>1.3166824169621168E-2</v>
      </c>
      <c r="M45" s="60">
        <v>149230</v>
      </c>
      <c r="N45" s="61">
        <v>157669</v>
      </c>
      <c r="O45" s="62">
        <v>5.6550291496347826E-2</v>
      </c>
      <c r="P45" s="63">
        <v>7.9342689928995208E-2</v>
      </c>
      <c r="Q45" s="64">
        <v>1</v>
      </c>
      <c r="R45" s="59" t="s">
        <v>21</v>
      </c>
    </row>
    <row r="46" spans="2:18" ht="15" customHeight="1" x14ac:dyDescent="0.2">
      <c r="B46" s="65" t="s">
        <v>22</v>
      </c>
      <c r="C46" s="52">
        <v>10401</v>
      </c>
      <c r="D46" s="53">
        <v>12193</v>
      </c>
      <c r="E46" s="54">
        <v>0.17229112585328332</v>
      </c>
      <c r="F46" s="55">
        <v>1.7051739786507127E-2</v>
      </c>
      <c r="G46" s="58">
        <v>0.23761083503848776</v>
      </c>
      <c r="H46" s="56">
        <v>663</v>
      </c>
      <c r="I46" s="57">
        <v>496</v>
      </c>
      <c r="J46" s="80">
        <v>-0.25188536953242835</v>
      </c>
      <c r="K46" s="55">
        <v>8.8987764182424916E-3</v>
      </c>
      <c r="L46" s="58">
        <v>9.6657897300984116E-3</v>
      </c>
      <c r="M46" s="52">
        <v>46225</v>
      </c>
      <c r="N46" s="53">
        <v>51315</v>
      </c>
      <c r="O46" s="54">
        <v>0.11011357490535434</v>
      </c>
      <c r="P46" s="55">
        <v>2.5822895646616578E-2</v>
      </c>
      <c r="Q46" s="38">
        <v>1</v>
      </c>
      <c r="R46" s="65" t="s">
        <v>22</v>
      </c>
    </row>
    <row r="47" spans="2:18" ht="15" customHeight="1" x14ac:dyDescent="0.2">
      <c r="B47" s="66" t="s">
        <v>23</v>
      </c>
      <c r="C47" s="60">
        <v>9340</v>
      </c>
      <c r="D47" s="61">
        <v>8226</v>
      </c>
      <c r="E47" s="62">
        <v>-0.11927194860813706</v>
      </c>
      <c r="F47" s="63">
        <v>1.1503945828246341E-2</v>
      </c>
      <c r="G47" s="64">
        <v>0.18204350808860956</v>
      </c>
      <c r="H47" s="60">
        <v>0</v>
      </c>
      <c r="I47" s="61">
        <v>709</v>
      </c>
      <c r="J47" s="68" t="s">
        <v>29</v>
      </c>
      <c r="K47" s="63">
        <v>1.2720226775270013E-2</v>
      </c>
      <c r="L47" s="64">
        <v>1.5690353420231482E-2</v>
      </c>
      <c r="M47" s="60">
        <v>44312</v>
      </c>
      <c r="N47" s="61">
        <v>45187</v>
      </c>
      <c r="O47" s="62">
        <v>1.9746344105434188E-2</v>
      </c>
      <c r="P47" s="63">
        <v>2.2739144218720909E-2</v>
      </c>
      <c r="Q47" s="64">
        <v>1</v>
      </c>
      <c r="R47" s="66" t="s">
        <v>23</v>
      </c>
    </row>
    <row r="48" spans="2:18" ht="15" customHeight="1" x14ac:dyDescent="0.2">
      <c r="B48" s="65" t="s">
        <v>24</v>
      </c>
      <c r="C48" s="52">
        <v>8177</v>
      </c>
      <c r="D48" s="53">
        <v>8963</v>
      </c>
      <c r="E48" s="54">
        <v>9.6123272593860776E-2</v>
      </c>
      <c r="F48" s="55">
        <v>1.253463000955166E-2</v>
      </c>
      <c r="G48" s="58">
        <v>0.25211667744929817</v>
      </c>
      <c r="H48" s="56">
        <v>324</v>
      </c>
      <c r="I48" s="57">
        <v>722</v>
      </c>
      <c r="J48" s="80">
        <v>1.2283950617283952</v>
      </c>
      <c r="K48" s="55">
        <v>1.2953460834619112E-2</v>
      </c>
      <c r="L48" s="58">
        <v>2.0308852071671681E-2</v>
      </c>
      <c r="M48" s="52">
        <v>33246</v>
      </c>
      <c r="N48" s="53">
        <v>35551</v>
      </c>
      <c r="O48" s="54">
        <v>6.9331648920170741E-2</v>
      </c>
      <c r="P48" s="55">
        <v>1.7890086000835352E-2</v>
      </c>
      <c r="Q48" s="38">
        <v>1</v>
      </c>
      <c r="R48" s="65" t="s">
        <v>24</v>
      </c>
    </row>
    <row r="49" spans="2:18" ht="15" customHeight="1" x14ac:dyDescent="0.2">
      <c r="B49" s="66" t="s">
        <v>25</v>
      </c>
      <c r="C49" s="60">
        <v>8078</v>
      </c>
      <c r="D49" s="61">
        <v>9612</v>
      </c>
      <c r="E49" s="62">
        <v>0.18989848972517942</v>
      </c>
      <c r="F49" s="63">
        <v>1.3442247422939925E-2</v>
      </c>
      <c r="G49" s="67">
        <v>0.37523422860712052</v>
      </c>
      <c r="H49" s="60">
        <v>0</v>
      </c>
      <c r="I49" s="61">
        <v>149</v>
      </c>
      <c r="J49" s="68" t="s">
        <v>29</v>
      </c>
      <c r="K49" s="63">
        <v>2.6732211417704261E-3</v>
      </c>
      <c r="L49" s="67">
        <v>5.8166770768269833E-3</v>
      </c>
      <c r="M49" s="60">
        <v>25447</v>
      </c>
      <c r="N49" s="61">
        <v>25616</v>
      </c>
      <c r="O49" s="62">
        <v>6.6412543718317174E-3</v>
      </c>
      <c r="P49" s="63">
        <v>1.2890564062822378E-2</v>
      </c>
      <c r="Q49" s="64">
        <v>1</v>
      </c>
      <c r="R49" s="66" t="s">
        <v>25</v>
      </c>
    </row>
    <row r="50" spans="2:18" ht="15" customHeight="1" x14ac:dyDescent="0.2">
      <c r="B50" s="51" t="s">
        <v>26</v>
      </c>
      <c r="C50" s="52">
        <v>10928</v>
      </c>
      <c r="D50" s="53">
        <v>11091</v>
      </c>
      <c r="E50" s="54">
        <v>1.4915812591508093E-2</v>
      </c>
      <c r="F50" s="55">
        <v>1.5510608215545851E-2</v>
      </c>
      <c r="G50" s="58">
        <v>0.32004039821093638</v>
      </c>
      <c r="H50" s="56">
        <v>835</v>
      </c>
      <c r="I50" s="57">
        <v>0</v>
      </c>
      <c r="J50" s="80">
        <v>-1</v>
      </c>
      <c r="K50" s="55">
        <v>0</v>
      </c>
      <c r="L50" s="58">
        <v>0</v>
      </c>
      <c r="M50" s="52">
        <v>37526</v>
      </c>
      <c r="N50" s="53">
        <v>34655</v>
      </c>
      <c r="O50" s="54">
        <v>-7.6506955177743419E-2</v>
      </c>
      <c r="P50" s="55">
        <v>1.7439198063597342E-2</v>
      </c>
      <c r="Q50" s="38">
        <v>1</v>
      </c>
      <c r="R50" s="51" t="s">
        <v>26</v>
      </c>
    </row>
    <row r="51" spans="2:18" ht="15" customHeight="1" x14ac:dyDescent="0.2">
      <c r="B51" s="59" t="s">
        <v>27</v>
      </c>
      <c r="C51" s="60">
        <v>3389</v>
      </c>
      <c r="D51" s="61">
        <v>2907</v>
      </c>
      <c r="E51" s="62">
        <v>-0.14222484508704636</v>
      </c>
      <c r="F51" s="63">
        <v>4.0653987992599208E-3</v>
      </c>
      <c r="G51" s="64">
        <v>0.43336314847942753</v>
      </c>
      <c r="H51" s="60">
        <v>0</v>
      </c>
      <c r="I51" s="61">
        <v>0</v>
      </c>
      <c r="J51" s="68" t="s">
        <v>29</v>
      </c>
      <c r="K51" s="63">
        <v>0</v>
      </c>
      <c r="L51" s="64">
        <v>0</v>
      </c>
      <c r="M51" s="60">
        <v>6927</v>
      </c>
      <c r="N51" s="61">
        <v>6708</v>
      </c>
      <c r="O51" s="62">
        <v>-3.1615417929839795E-2</v>
      </c>
      <c r="P51" s="63">
        <v>3.3756208515542045E-3</v>
      </c>
      <c r="Q51" s="64">
        <v>1</v>
      </c>
      <c r="R51" s="59" t="s">
        <v>27</v>
      </c>
    </row>
    <row r="52" spans="2:18" ht="15" customHeight="1" x14ac:dyDescent="0.2">
      <c r="B52" s="51" t="s">
        <v>28</v>
      </c>
      <c r="C52" s="52">
        <v>6452</v>
      </c>
      <c r="D52" s="53">
        <v>6285</v>
      </c>
      <c r="E52" s="54">
        <v>-2.5883446993180459E-2</v>
      </c>
      <c r="F52" s="55">
        <v>8.7894845040758871E-3</v>
      </c>
      <c r="G52" s="58">
        <v>1</v>
      </c>
      <c r="H52" s="56">
        <v>0</v>
      </c>
      <c r="I52" s="57">
        <v>0</v>
      </c>
      <c r="J52" s="80" t="s">
        <v>29</v>
      </c>
      <c r="K52" s="55">
        <v>0</v>
      </c>
      <c r="L52" s="58">
        <v>0</v>
      </c>
      <c r="M52" s="52">
        <v>6452</v>
      </c>
      <c r="N52" s="53">
        <v>6285</v>
      </c>
      <c r="O52" s="54">
        <v>-2.5883446993180459E-2</v>
      </c>
      <c r="P52" s="55">
        <v>3.1627574615411711E-3</v>
      </c>
      <c r="Q52" s="38">
        <v>1</v>
      </c>
      <c r="R52" s="51" t="s">
        <v>28</v>
      </c>
    </row>
    <row r="53" spans="2:18" ht="15" customHeight="1" x14ac:dyDescent="0.2">
      <c r="B53" s="59" t="s">
        <v>30</v>
      </c>
      <c r="C53" s="60">
        <v>2753</v>
      </c>
      <c r="D53" s="61">
        <v>2665</v>
      </c>
      <c r="E53" s="62">
        <v>-3.1965128950236066E-2</v>
      </c>
      <c r="F53" s="63">
        <v>3.7269651874880256E-3</v>
      </c>
      <c r="G53" s="64">
        <v>0.45861297539149887</v>
      </c>
      <c r="H53" s="60">
        <v>0</v>
      </c>
      <c r="I53" s="61">
        <v>0</v>
      </c>
      <c r="J53" s="68" t="s">
        <v>29</v>
      </c>
      <c r="K53" s="63">
        <v>0</v>
      </c>
      <c r="L53" s="64">
        <v>0</v>
      </c>
      <c r="M53" s="60">
        <v>5946</v>
      </c>
      <c r="N53" s="61">
        <v>5811</v>
      </c>
      <c r="O53" s="62">
        <v>-2.2704339051463185E-2</v>
      </c>
      <c r="P53" s="63">
        <v>2.9242296911719565E-3</v>
      </c>
      <c r="Q53" s="64">
        <v>1</v>
      </c>
      <c r="R53" s="59" t="s">
        <v>30</v>
      </c>
    </row>
    <row r="54" spans="2:18" ht="15" customHeight="1" x14ac:dyDescent="0.2">
      <c r="B54" s="51" t="s">
        <v>31</v>
      </c>
      <c r="C54" s="52">
        <v>9885</v>
      </c>
      <c r="D54" s="53">
        <v>12149</v>
      </c>
      <c r="E54" s="54">
        <v>0.22903388973191707</v>
      </c>
      <c r="F54" s="55">
        <v>1.6990206402548599E-2</v>
      </c>
      <c r="G54" s="58">
        <v>0.38730553430247389</v>
      </c>
      <c r="H54" s="56">
        <v>0</v>
      </c>
      <c r="I54" s="57">
        <v>178</v>
      </c>
      <c r="J54" s="80" t="s">
        <v>29</v>
      </c>
      <c r="K54" s="55">
        <v>3.1935125049337974E-3</v>
      </c>
      <c r="L54" s="58">
        <v>5.6745728130578937E-3</v>
      </c>
      <c r="M54" s="52">
        <v>26506</v>
      </c>
      <c r="N54" s="53">
        <v>31368</v>
      </c>
      <c r="O54" s="54">
        <v>0.18343016675469714</v>
      </c>
      <c r="P54" s="55">
        <v>1.5785103588484242E-2</v>
      </c>
      <c r="Q54" s="38">
        <v>1</v>
      </c>
      <c r="R54" s="51" t="s">
        <v>31</v>
      </c>
    </row>
    <row r="55" spans="2:18" ht="15" customHeight="1" x14ac:dyDescent="0.2">
      <c r="B55" s="59" t="s">
        <v>32</v>
      </c>
      <c r="C55" s="60">
        <v>0</v>
      </c>
      <c r="D55" s="61">
        <v>18</v>
      </c>
      <c r="E55" s="62" t="s">
        <v>29</v>
      </c>
      <c r="F55" s="63">
        <v>2.5172747983033569E-5</v>
      </c>
      <c r="G55" s="67">
        <v>0.9</v>
      </c>
      <c r="H55" s="60">
        <v>0</v>
      </c>
      <c r="I55" s="61">
        <v>2</v>
      </c>
      <c r="J55" s="68" t="s">
        <v>29</v>
      </c>
      <c r="K55" s="63">
        <v>3.5882162976784242E-5</v>
      </c>
      <c r="L55" s="67">
        <v>0.1</v>
      </c>
      <c r="M55" s="60">
        <v>0</v>
      </c>
      <c r="N55" s="61">
        <v>20</v>
      </c>
      <c r="O55" s="68" t="s">
        <v>29</v>
      </c>
      <c r="P55" s="63">
        <v>1.0064462884776997E-5</v>
      </c>
      <c r="Q55" s="67">
        <v>1</v>
      </c>
      <c r="R55" s="59" t="s">
        <v>32</v>
      </c>
    </row>
    <row r="56" spans="2:18" ht="15" customHeight="1" x14ac:dyDescent="0.2">
      <c r="B56" s="51" t="s">
        <v>33</v>
      </c>
      <c r="C56" s="52">
        <v>10598</v>
      </c>
      <c r="D56" s="53">
        <v>14096</v>
      </c>
      <c r="E56" s="54">
        <v>0.33006227590111337</v>
      </c>
      <c r="F56" s="55">
        <v>1.9713058642713398E-2</v>
      </c>
      <c r="G56" s="58">
        <v>0.39496763708705762</v>
      </c>
      <c r="H56" s="56">
        <v>0</v>
      </c>
      <c r="I56" s="57">
        <v>2</v>
      </c>
      <c r="J56" s="80" t="s">
        <v>29</v>
      </c>
      <c r="K56" s="55">
        <v>3.5882162976784242E-5</v>
      </c>
      <c r="L56" s="58">
        <v>5.6039676090672193E-5</v>
      </c>
      <c r="M56" s="52">
        <v>27367</v>
      </c>
      <c r="N56" s="53">
        <v>35689</v>
      </c>
      <c r="O56" s="54">
        <v>0.30408886615266573</v>
      </c>
      <c r="P56" s="55">
        <v>1.7959530794740313E-2</v>
      </c>
      <c r="Q56" s="38">
        <v>1</v>
      </c>
      <c r="R56" s="51" t="s">
        <v>33</v>
      </c>
    </row>
    <row r="57" spans="2:18" ht="15" customHeight="1" x14ac:dyDescent="0.2">
      <c r="B57" s="39" t="s">
        <v>34</v>
      </c>
      <c r="C57" s="69">
        <v>442599</v>
      </c>
      <c r="D57" s="70">
        <v>455524</v>
      </c>
      <c r="E57" s="42">
        <v>2.9202506105978632E-2</v>
      </c>
      <c r="F57" s="43">
        <v>0.6370439362346324</v>
      </c>
      <c r="G57" s="44">
        <v>0.3469657142813618</v>
      </c>
      <c r="H57" s="69">
        <v>14451</v>
      </c>
      <c r="I57" s="70">
        <v>14714</v>
      </c>
      <c r="J57" s="42">
        <v>1.8199432565220386E-2</v>
      </c>
      <c r="K57" s="43">
        <v>0.26398507302020163</v>
      </c>
      <c r="L57" s="44">
        <v>1.1207430387720423E-2</v>
      </c>
      <c r="M57" s="69">
        <v>1264833</v>
      </c>
      <c r="N57" s="70">
        <v>1312879</v>
      </c>
      <c r="O57" s="42">
        <v>3.7986042426154221E-2</v>
      </c>
      <c r="P57" s="43">
        <v>0.66067109838515692</v>
      </c>
      <c r="Q57" s="44">
        <v>1</v>
      </c>
      <c r="R57" s="39" t="s">
        <v>34</v>
      </c>
    </row>
    <row r="58" spans="2:18" ht="15" customHeight="1" x14ac:dyDescent="0.2">
      <c r="B58" s="71" t="s">
        <v>35</v>
      </c>
      <c r="C58" s="72">
        <v>661696</v>
      </c>
      <c r="D58" s="73">
        <v>715059</v>
      </c>
      <c r="E58" s="74">
        <v>8.0645795047876945E-2</v>
      </c>
      <c r="F58" s="75">
        <v>1</v>
      </c>
      <c r="G58" s="76">
        <v>0.35983423829628775</v>
      </c>
      <c r="H58" s="72">
        <v>46482</v>
      </c>
      <c r="I58" s="73">
        <v>55738</v>
      </c>
      <c r="J58" s="74">
        <v>0.19913084634912437</v>
      </c>
      <c r="K58" s="75">
        <v>1</v>
      </c>
      <c r="L58" s="76">
        <v>2.8048651613585013E-2</v>
      </c>
      <c r="M58" s="72">
        <v>1834153</v>
      </c>
      <c r="N58" s="73">
        <v>1987190</v>
      </c>
      <c r="O58" s="74">
        <v>8.3437423159354651E-2</v>
      </c>
      <c r="P58" s="75">
        <v>1</v>
      </c>
      <c r="Q58" s="76">
        <v>1</v>
      </c>
      <c r="R58" s="71" t="s">
        <v>35</v>
      </c>
    </row>
    <row r="59" spans="2:18" ht="4.5" customHeight="1" x14ac:dyDescent="0.2">
      <c r="B59" s="81"/>
      <c r="C59" s="82"/>
      <c r="D59" s="82"/>
      <c r="E59" s="83"/>
      <c r="F59" s="83"/>
      <c r="G59" s="83"/>
      <c r="H59" s="82"/>
      <c r="I59" s="82"/>
      <c r="J59" s="83"/>
      <c r="K59" s="83"/>
      <c r="L59" s="83"/>
      <c r="M59" s="82"/>
      <c r="N59" s="82"/>
      <c r="O59" s="83"/>
      <c r="P59" s="83"/>
      <c r="Q59" s="83"/>
      <c r="R59" s="81"/>
    </row>
    <row r="60" spans="2:18" ht="15" customHeight="1" x14ac:dyDescent="0.2">
      <c r="B60" s="84" t="s">
        <v>39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2:18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</row>
    <row r="62" spans="2:18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</row>
    <row r="63" spans="2:18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</row>
    <row r="64" spans="2:18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</row>
    <row r="65" spans="2:18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2:18" ht="41.25" customHeight="1" thickBot="1" x14ac:dyDescent="0.25">
      <c r="B66" s="1" t="s">
        <v>40</v>
      </c>
      <c r="C66" s="1"/>
      <c r="D66" s="1"/>
      <c r="E66" s="1"/>
      <c r="F66" s="1"/>
      <c r="G66" s="1"/>
      <c r="H66" s="1"/>
      <c r="I66" s="1"/>
      <c r="J66" s="1"/>
      <c r="K66" s="1"/>
      <c r="L66" s="85"/>
      <c r="M66" s="85"/>
      <c r="N66" s="85"/>
      <c r="O66" s="85"/>
      <c r="P66" s="85"/>
      <c r="Q66" s="85"/>
      <c r="R66" s="85"/>
    </row>
    <row r="67" spans="2:18" ht="5.25" customHeight="1" thickBot="1" x14ac:dyDescent="0.25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5"/>
      <c r="M67" s="85"/>
      <c r="N67" s="85"/>
      <c r="O67" s="85"/>
      <c r="P67" s="85"/>
      <c r="Q67" s="85"/>
      <c r="R67" s="85"/>
    </row>
    <row r="68" spans="2:18" ht="12.75" customHeight="1" x14ac:dyDescent="0.2">
      <c r="B68" s="3" t="s">
        <v>1</v>
      </c>
      <c r="C68" s="4" t="s">
        <v>41</v>
      </c>
      <c r="D68" s="5"/>
      <c r="E68" s="5"/>
      <c r="F68" s="87" t="s">
        <v>42</v>
      </c>
      <c r="G68" s="88"/>
      <c r="H68" s="89"/>
      <c r="I68" s="5" t="s">
        <v>36</v>
      </c>
      <c r="J68" s="5"/>
      <c r="K68" s="5"/>
      <c r="L68" s="85"/>
      <c r="M68" s="85"/>
      <c r="N68" s="85"/>
      <c r="O68" s="85"/>
      <c r="P68" s="85"/>
      <c r="Q68" s="85"/>
      <c r="R68" s="85"/>
    </row>
    <row r="69" spans="2:18" ht="41.25" customHeight="1" x14ac:dyDescent="0.2">
      <c r="B69" s="11"/>
      <c r="C69" s="21" t="s">
        <v>5</v>
      </c>
      <c r="D69" s="22" t="s">
        <v>6</v>
      </c>
      <c r="E69" s="13" t="s">
        <v>7</v>
      </c>
      <c r="F69" s="16" t="s">
        <v>5</v>
      </c>
      <c r="G69" s="17" t="s">
        <v>6</v>
      </c>
      <c r="H69" s="18" t="s">
        <v>7</v>
      </c>
      <c r="I69" s="21" t="s">
        <v>5</v>
      </c>
      <c r="J69" s="22" t="s">
        <v>6</v>
      </c>
      <c r="K69" s="23" t="s">
        <v>7</v>
      </c>
      <c r="L69" s="85"/>
      <c r="M69" s="85"/>
      <c r="N69" s="85"/>
      <c r="O69" s="85"/>
      <c r="P69" s="85"/>
      <c r="Q69" s="85"/>
      <c r="R69" s="85"/>
    </row>
    <row r="70" spans="2:18" ht="15" customHeight="1" x14ac:dyDescent="0.2">
      <c r="B70" s="27" t="s">
        <v>10</v>
      </c>
      <c r="C70" s="28">
        <v>76307</v>
      </c>
      <c r="D70" s="29">
        <v>106300</v>
      </c>
      <c r="E70" s="78">
        <v>0.39305699346062606</v>
      </c>
      <c r="F70" s="28">
        <v>1939</v>
      </c>
      <c r="G70" s="29">
        <v>2011</v>
      </c>
      <c r="H70" s="30">
        <v>3.7132542547704928E-2</v>
      </c>
      <c r="I70" s="28">
        <v>78246</v>
      </c>
      <c r="J70" s="29">
        <v>108311</v>
      </c>
      <c r="K70" s="30">
        <v>0.38423689389872973</v>
      </c>
      <c r="L70" s="85"/>
      <c r="M70" s="85"/>
      <c r="N70" s="85"/>
      <c r="O70" s="85"/>
      <c r="P70" s="85"/>
      <c r="Q70" s="85"/>
      <c r="R70" s="85"/>
    </row>
    <row r="71" spans="2:18" ht="15" customHeight="1" x14ac:dyDescent="0.2">
      <c r="B71" s="33" t="s">
        <v>11</v>
      </c>
      <c r="C71" s="34">
        <v>107407</v>
      </c>
      <c r="D71" s="35">
        <v>113418</v>
      </c>
      <c r="E71" s="79">
        <v>5.5964695038498435E-2</v>
      </c>
      <c r="F71" s="34">
        <v>33444</v>
      </c>
      <c r="G71" s="35">
        <v>37806</v>
      </c>
      <c r="H71" s="36">
        <v>0.13042698241837103</v>
      </c>
      <c r="I71" s="34">
        <v>140851</v>
      </c>
      <c r="J71" s="35">
        <v>151224</v>
      </c>
      <c r="K71" s="36">
        <v>7.3645199537099471E-2</v>
      </c>
      <c r="L71" s="85"/>
      <c r="M71" s="85"/>
      <c r="N71" s="85"/>
      <c r="O71" s="85"/>
      <c r="P71" s="85"/>
      <c r="Q71" s="85"/>
      <c r="R71" s="85"/>
    </row>
    <row r="72" spans="2:18" ht="15" customHeight="1" x14ac:dyDescent="0.2">
      <c r="B72" s="39" t="s">
        <v>12</v>
      </c>
      <c r="C72" s="40">
        <v>183714</v>
      </c>
      <c r="D72" s="41">
        <v>219718</v>
      </c>
      <c r="E72" s="43">
        <v>0.19597853184841663</v>
      </c>
      <c r="F72" s="40">
        <v>35383</v>
      </c>
      <c r="G72" s="41">
        <v>39817</v>
      </c>
      <c r="H72" s="43">
        <v>0.12531441652771114</v>
      </c>
      <c r="I72" s="40">
        <v>219097</v>
      </c>
      <c r="J72" s="41">
        <v>259535</v>
      </c>
      <c r="K72" s="43">
        <v>0.18456665312624088</v>
      </c>
      <c r="L72" s="85"/>
      <c r="M72" s="85"/>
      <c r="N72" s="85"/>
      <c r="O72" s="85"/>
      <c r="P72" s="85"/>
      <c r="Q72" s="85"/>
      <c r="R72" s="85"/>
    </row>
    <row r="73" spans="2:18" ht="30" customHeight="1" x14ac:dyDescent="0.2">
      <c r="B73" s="45" t="s">
        <v>13</v>
      </c>
      <c r="C73" s="46">
        <v>109473</v>
      </c>
      <c r="D73" s="47">
        <v>114828</v>
      </c>
      <c r="E73" s="49">
        <v>4.8916171110684914E-2</v>
      </c>
      <c r="F73" s="46">
        <v>473977</v>
      </c>
      <c r="G73" s="47">
        <v>491920</v>
      </c>
      <c r="H73" s="49">
        <v>3.7856267287231127E-2</v>
      </c>
      <c r="I73" s="46">
        <v>583450</v>
      </c>
      <c r="J73" s="47">
        <v>606748</v>
      </c>
      <c r="K73" s="49">
        <v>3.9931442282971963E-2</v>
      </c>
      <c r="L73" s="85"/>
      <c r="M73" s="85"/>
      <c r="N73" s="85"/>
      <c r="O73" s="85"/>
      <c r="P73" s="85"/>
      <c r="Q73" s="85"/>
      <c r="R73" s="85"/>
    </row>
    <row r="74" spans="2:18" ht="15" customHeight="1" x14ac:dyDescent="0.2">
      <c r="B74" s="51" t="s">
        <v>14</v>
      </c>
      <c r="C74" s="52">
        <v>0</v>
      </c>
      <c r="D74" s="53">
        <v>6</v>
      </c>
      <c r="E74" s="80" t="s">
        <v>29</v>
      </c>
      <c r="F74" s="56">
        <v>15445</v>
      </c>
      <c r="G74" s="57">
        <v>19246</v>
      </c>
      <c r="H74" s="54">
        <v>0.24609906118484948</v>
      </c>
      <c r="I74" s="52">
        <v>15445</v>
      </c>
      <c r="J74" s="53">
        <v>19252</v>
      </c>
      <c r="K74" s="54">
        <v>0.24648753641955334</v>
      </c>
      <c r="L74" s="85"/>
      <c r="M74" s="85"/>
      <c r="N74" s="85"/>
      <c r="O74" s="85"/>
      <c r="P74" s="85"/>
      <c r="Q74" s="85"/>
      <c r="R74" s="85"/>
    </row>
    <row r="75" spans="2:18" ht="15" customHeight="1" x14ac:dyDescent="0.2">
      <c r="B75" s="59" t="s">
        <v>15</v>
      </c>
      <c r="C75" s="60">
        <v>0</v>
      </c>
      <c r="D75" s="61">
        <v>0</v>
      </c>
      <c r="E75" s="68" t="s">
        <v>29</v>
      </c>
      <c r="F75" s="60">
        <v>23312</v>
      </c>
      <c r="G75" s="61">
        <v>22969</v>
      </c>
      <c r="H75" s="62">
        <v>-1.4713452299245033E-2</v>
      </c>
      <c r="I75" s="60">
        <v>23312</v>
      </c>
      <c r="J75" s="61">
        <v>22969</v>
      </c>
      <c r="K75" s="62">
        <v>-1.4713452299245033E-2</v>
      </c>
      <c r="L75" s="85"/>
      <c r="M75" s="85"/>
      <c r="N75" s="85"/>
      <c r="O75" s="85"/>
      <c r="P75" s="85"/>
      <c r="Q75" s="85"/>
      <c r="R75" s="85"/>
    </row>
    <row r="76" spans="2:18" ht="15" customHeight="1" x14ac:dyDescent="0.2">
      <c r="B76" s="51" t="s">
        <v>16</v>
      </c>
      <c r="C76" s="52">
        <v>0</v>
      </c>
      <c r="D76" s="53">
        <v>0</v>
      </c>
      <c r="E76" s="80" t="s">
        <v>29</v>
      </c>
      <c r="F76" s="56">
        <v>75666</v>
      </c>
      <c r="G76" s="57">
        <v>77483</v>
      </c>
      <c r="H76" s="54">
        <v>2.4013427431078593E-2</v>
      </c>
      <c r="I76" s="52">
        <v>75666</v>
      </c>
      <c r="J76" s="53">
        <v>77483</v>
      </c>
      <c r="K76" s="54">
        <v>2.4013427431078593E-2</v>
      </c>
      <c r="L76" s="85"/>
      <c r="M76" s="85"/>
      <c r="N76" s="85"/>
      <c r="O76" s="85"/>
      <c r="P76" s="85"/>
      <c r="Q76" s="85"/>
      <c r="R76" s="85"/>
    </row>
    <row r="77" spans="2:18" ht="15" customHeight="1" x14ac:dyDescent="0.2">
      <c r="B77" s="59" t="s">
        <v>17</v>
      </c>
      <c r="C77" s="60">
        <v>0</v>
      </c>
      <c r="D77" s="61">
        <v>0</v>
      </c>
      <c r="E77" s="68" t="s">
        <v>29</v>
      </c>
      <c r="F77" s="60">
        <v>10164</v>
      </c>
      <c r="G77" s="61">
        <v>13996</v>
      </c>
      <c r="H77" s="62">
        <v>0.3770169224714679</v>
      </c>
      <c r="I77" s="60">
        <v>10164</v>
      </c>
      <c r="J77" s="61">
        <v>13996</v>
      </c>
      <c r="K77" s="62">
        <v>0.3770169224714679</v>
      </c>
      <c r="L77" s="85"/>
      <c r="M77" s="85"/>
      <c r="N77" s="85"/>
      <c r="O77" s="85"/>
      <c r="P77" s="85"/>
      <c r="Q77" s="85"/>
      <c r="R77" s="85"/>
    </row>
    <row r="78" spans="2:18" ht="15" customHeight="1" x14ac:dyDescent="0.2">
      <c r="B78" s="51" t="s">
        <v>18</v>
      </c>
      <c r="C78" s="52">
        <v>1550</v>
      </c>
      <c r="D78" s="53">
        <v>0</v>
      </c>
      <c r="E78" s="80">
        <v>-1</v>
      </c>
      <c r="F78" s="56">
        <v>210090</v>
      </c>
      <c r="G78" s="57">
        <v>203643</v>
      </c>
      <c r="H78" s="54">
        <v>-3.0686848493502783E-2</v>
      </c>
      <c r="I78" s="52">
        <v>211640</v>
      </c>
      <c r="J78" s="53">
        <v>203643</v>
      </c>
      <c r="K78" s="54">
        <v>-3.7785862785862823E-2</v>
      </c>
      <c r="L78" s="85"/>
      <c r="M78" s="85"/>
      <c r="N78" s="85"/>
      <c r="O78" s="85"/>
      <c r="P78" s="85"/>
      <c r="Q78" s="85"/>
      <c r="R78" s="85"/>
    </row>
    <row r="79" spans="2:18" ht="15" customHeight="1" x14ac:dyDescent="0.2">
      <c r="B79" s="59" t="s">
        <v>19</v>
      </c>
      <c r="C79" s="60">
        <v>0</v>
      </c>
      <c r="D79" s="61">
        <v>0</v>
      </c>
      <c r="E79" s="68" t="s">
        <v>29</v>
      </c>
      <c r="F79" s="60">
        <v>10680</v>
      </c>
      <c r="G79" s="61">
        <v>12470</v>
      </c>
      <c r="H79" s="62">
        <v>0.16760299625468167</v>
      </c>
      <c r="I79" s="60">
        <v>10680</v>
      </c>
      <c r="J79" s="61">
        <v>12470</v>
      </c>
      <c r="K79" s="62">
        <v>0.16760299625468167</v>
      </c>
      <c r="L79" s="85"/>
      <c r="M79" s="85"/>
      <c r="N79" s="85"/>
      <c r="O79" s="85"/>
      <c r="P79" s="85"/>
      <c r="Q79" s="85"/>
      <c r="R79" s="85"/>
    </row>
    <row r="80" spans="2:18" ht="15" customHeight="1" x14ac:dyDescent="0.2">
      <c r="B80" s="51" t="s">
        <v>20</v>
      </c>
      <c r="C80" s="52">
        <v>0</v>
      </c>
      <c r="D80" s="53">
        <v>161</v>
      </c>
      <c r="E80" s="80" t="s">
        <v>29</v>
      </c>
      <c r="F80" s="56">
        <v>15691</v>
      </c>
      <c r="G80" s="57">
        <v>17345</v>
      </c>
      <c r="H80" s="54">
        <v>0.1054107450130648</v>
      </c>
      <c r="I80" s="52">
        <v>15691</v>
      </c>
      <c r="J80" s="53">
        <v>17506</v>
      </c>
      <c r="K80" s="54">
        <v>0.11567140398954812</v>
      </c>
      <c r="L80" s="85"/>
      <c r="M80" s="85"/>
      <c r="N80" s="85"/>
      <c r="O80" s="85"/>
      <c r="P80" s="85"/>
      <c r="Q80" s="85"/>
      <c r="R80" s="85"/>
    </row>
    <row r="81" spans="2:18" ht="15" customHeight="1" x14ac:dyDescent="0.2">
      <c r="B81" s="59" t="s">
        <v>21</v>
      </c>
      <c r="C81" s="60">
        <v>0</v>
      </c>
      <c r="D81" s="61">
        <v>348</v>
      </c>
      <c r="E81" s="68" t="s">
        <v>29</v>
      </c>
      <c r="F81" s="60">
        <v>35996</v>
      </c>
      <c r="G81" s="61">
        <v>38646</v>
      </c>
      <c r="H81" s="62">
        <v>7.3619291032336998E-2</v>
      </c>
      <c r="I81" s="60">
        <v>35996</v>
      </c>
      <c r="J81" s="61">
        <v>38994</v>
      </c>
      <c r="K81" s="62">
        <v>8.3287031892432584E-2</v>
      </c>
      <c r="L81" s="85"/>
      <c r="M81" s="85"/>
      <c r="N81" s="85"/>
      <c r="O81" s="85"/>
      <c r="P81" s="85"/>
      <c r="Q81" s="85"/>
      <c r="R81" s="85"/>
    </row>
    <row r="82" spans="2:18" ht="15" customHeight="1" x14ac:dyDescent="0.2">
      <c r="B82" s="65" t="s">
        <v>22</v>
      </c>
      <c r="C82" s="52">
        <v>0</v>
      </c>
      <c r="D82" s="53">
        <v>0</v>
      </c>
      <c r="E82" s="80" t="s">
        <v>29</v>
      </c>
      <c r="F82" s="56">
        <v>10401</v>
      </c>
      <c r="G82" s="57">
        <v>12193</v>
      </c>
      <c r="H82" s="54">
        <v>0.17229112585328332</v>
      </c>
      <c r="I82" s="52">
        <v>10401</v>
      </c>
      <c r="J82" s="53">
        <v>12193</v>
      </c>
      <c r="K82" s="54">
        <v>0.17229112585328332</v>
      </c>
      <c r="L82" s="85"/>
      <c r="M82" s="85"/>
      <c r="N82" s="85"/>
      <c r="O82" s="85"/>
      <c r="P82" s="85"/>
      <c r="Q82" s="85"/>
      <c r="R82" s="85"/>
    </row>
    <row r="83" spans="2:18" ht="15" customHeight="1" x14ac:dyDescent="0.2">
      <c r="B83" s="66" t="s">
        <v>23</v>
      </c>
      <c r="C83" s="60">
        <v>0</v>
      </c>
      <c r="D83" s="61">
        <v>0</v>
      </c>
      <c r="E83" s="68" t="s">
        <v>29</v>
      </c>
      <c r="F83" s="60">
        <v>9340</v>
      </c>
      <c r="G83" s="61">
        <v>8226</v>
      </c>
      <c r="H83" s="62">
        <v>-0.11927194860813706</v>
      </c>
      <c r="I83" s="60">
        <v>9340</v>
      </c>
      <c r="J83" s="61">
        <v>8226</v>
      </c>
      <c r="K83" s="62">
        <v>-0.11927194860813706</v>
      </c>
      <c r="L83" s="85"/>
      <c r="M83" s="85"/>
      <c r="N83" s="85"/>
      <c r="O83" s="85"/>
      <c r="P83" s="85"/>
      <c r="Q83" s="85"/>
      <c r="R83" s="85"/>
    </row>
    <row r="84" spans="2:18" ht="15" customHeight="1" x14ac:dyDescent="0.2">
      <c r="B84" s="65" t="s">
        <v>24</v>
      </c>
      <c r="C84" s="52">
        <v>0</v>
      </c>
      <c r="D84" s="53">
        <v>0</v>
      </c>
      <c r="E84" s="80" t="s">
        <v>29</v>
      </c>
      <c r="F84" s="56">
        <v>8177</v>
      </c>
      <c r="G84" s="57">
        <v>8963</v>
      </c>
      <c r="H84" s="54">
        <v>9.6123272593860776E-2</v>
      </c>
      <c r="I84" s="52">
        <v>8177</v>
      </c>
      <c r="J84" s="53">
        <v>8963</v>
      </c>
      <c r="K84" s="54">
        <v>9.6123272593860776E-2</v>
      </c>
      <c r="L84" s="85"/>
      <c r="M84" s="85"/>
      <c r="N84" s="85"/>
      <c r="O84" s="85"/>
      <c r="P84" s="85"/>
      <c r="Q84" s="85"/>
      <c r="R84" s="85"/>
    </row>
    <row r="85" spans="2:18" ht="15" customHeight="1" x14ac:dyDescent="0.2">
      <c r="B85" s="66" t="s">
        <v>25</v>
      </c>
      <c r="C85" s="60">
        <v>0</v>
      </c>
      <c r="D85" s="61">
        <v>348</v>
      </c>
      <c r="E85" s="68" t="s">
        <v>29</v>
      </c>
      <c r="F85" s="60">
        <v>8078</v>
      </c>
      <c r="G85" s="61">
        <v>9264</v>
      </c>
      <c r="H85" s="62">
        <v>0.14681851943550384</v>
      </c>
      <c r="I85" s="60">
        <v>8078</v>
      </c>
      <c r="J85" s="61">
        <v>9612</v>
      </c>
      <c r="K85" s="62">
        <v>0.18989848972517942</v>
      </c>
      <c r="L85" s="85"/>
      <c r="M85" s="85"/>
      <c r="N85" s="85"/>
      <c r="O85" s="85"/>
      <c r="P85" s="85"/>
      <c r="Q85" s="85"/>
      <c r="R85" s="85"/>
    </row>
    <row r="86" spans="2:18" ht="15" customHeight="1" x14ac:dyDescent="0.2">
      <c r="B86" s="51" t="s">
        <v>26</v>
      </c>
      <c r="C86" s="52">
        <v>0</v>
      </c>
      <c r="D86" s="53">
        <v>0</v>
      </c>
      <c r="E86" s="80" t="s">
        <v>29</v>
      </c>
      <c r="F86" s="56">
        <v>10928</v>
      </c>
      <c r="G86" s="57">
        <v>11091</v>
      </c>
      <c r="H86" s="54">
        <v>1.4915812591508093E-2</v>
      </c>
      <c r="I86" s="52">
        <v>10928</v>
      </c>
      <c r="J86" s="53">
        <v>11091</v>
      </c>
      <c r="K86" s="54">
        <v>1.4915812591508093E-2</v>
      </c>
      <c r="L86" s="85"/>
      <c r="M86" s="85"/>
      <c r="N86" s="85"/>
      <c r="O86" s="85"/>
      <c r="P86" s="85"/>
      <c r="Q86" s="85"/>
      <c r="R86" s="85"/>
    </row>
    <row r="87" spans="2:18" ht="15" customHeight="1" x14ac:dyDescent="0.2">
      <c r="B87" s="59" t="s">
        <v>27</v>
      </c>
      <c r="C87" s="60">
        <v>0</v>
      </c>
      <c r="D87" s="61">
        <v>0</v>
      </c>
      <c r="E87" s="68" t="s">
        <v>29</v>
      </c>
      <c r="F87" s="60">
        <v>3389</v>
      </c>
      <c r="G87" s="61">
        <v>2907</v>
      </c>
      <c r="H87" s="62">
        <v>-0.14222484508704636</v>
      </c>
      <c r="I87" s="60">
        <v>3389</v>
      </c>
      <c r="J87" s="61">
        <v>2907</v>
      </c>
      <c r="K87" s="62">
        <v>-0.14222484508704636</v>
      </c>
      <c r="L87" s="85"/>
      <c r="M87" s="85"/>
      <c r="N87" s="85"/>
      <c r="O87" s="85"/>
      <c r="P87" s="85"/>
      <c r="Q87" s="85"/>
      <c r="R87" s="85"/>
    </row>
    <row r="88" spans="2:18" ht="15" customHeight="1" x14ac:dyDescent="0.2">
      <c r="B88" s="51" t="s">
        <v>28</v>
      </c>
      <c r="C88" s="52">
        <v>0</v>
      </c>
      <c r="D88" s="53">
        <v>0</v>
      </c>
      <c r="E88" s="80" t="s">
        <v>29</v>
      </c>
      <c r="F88" s="56">
        <v>6452</v>
      </c>
      <c r="G88" s="57">
        <v>6285</v>
      </c>
      <c r="H88" s="54">
        <v>-2.5883446993180459E-2</v>
      </c>
      <c r="I88" s="52">
        <v>6452</v>
      </c>
      <c r="J88" s="53">
        <v>6285</v>
      </c>
      <c r="K88" s="54">
        <v>-2.5883446993180459E-2</v>
      </c>
      <c r="L88" s="85"/>
      <c r="M88" s="85"/>
      <c r="N88" s="85"/>
      <c r="O88" s="85"/>
      <c r="P88" s="85"/>
      <c r="Q88" s="85"/>
      <c r="R88" s="85"/>
    </row>
    <row r="89" spans="2:18" ht="15" customHeight="1" x14ac:dyDescent="0.2">
      <c r="B89" s="59" t="s">
        <v>30</v>
      </c>
      <c r="C89" s="60">
        <v>0</v>
      </c>
      <c r="D89" s="61">
        <v>0</v>
      </c>
      <c r="E89" s="68" t="s">
        <v>29</v>
      </c>
      <c r="F89" s="60">
        <v>2753</v>
      </c>
      <c r="G89" s="61">
        <v>2665</v>
      </c>
      <c r="H89" s="62">
        <v>-3.1965128950236066E-2</v>
      </c>
      <c r="I89" s="60">
        <v>2753</v>
      </c>
      <c r="J89" s="61">
        <v>2665</v>
      </c>
      <c r="K89" s="62">
        <v>-3.1965128950236066E-2</v>
      </c>
      <c r="L89" s="85"/>
      <c r="M89" s="85"/>
      <c r="N89" s="85"/>
      <c r="O89" s="85"/>
      <c r="P89" s="85"/>
      <c r="Q89" s="85"/>
      <c r="R89" s="85"/>
    </row>
    <row r="90" spans="2:18" ht="15" customHeight="1" x14ac:dyDescent="0.2">
      <c r="B90" s="51" t="s">
        <v>31</v>
      </c>
      <c r="C90" s="52">
        <v>0</v>
      </c>
      <c r="D90" s="53">
        <v>0</v>
      </c>
      <c r="E90" s="80" t="s">
        <v>29</v>
      </c>
      <c r="F90" s="56">
        <v>9885</v>
      </c>
      <c r="G90" s="57">
        <v>12149</v>
      </c>
      <c r="H90" s="54">
        <v>0.22903388973191707</v>
      </c>
      <c r="I90" s="52">
        <v>9885</v>
      </c>
      <c r="J90" s="53">
        <v>12149</v>
      </c>
      <c r="K90" s="54">
        <v>0.22903388973191707</v>
      </c>
      <c r="L90" s="85"/>
      <c r="M90" s="85"/>
      <c r="N90" s="85"/>
      <c r="O90" s="85"/>
      <c r="P90" s="85"/>
      <c r="Q90" s="85"/>
      <c r="R90" s="85"/>
    </row>
    <row r="91" spans="2:18" ht="15" customHeight="1" x14ac:dyDescent="0.2">
      <c r="B91" s="59" t="s">
        <v>32</v>
      </c>
      <c r="C91" s="60">
        <v>0</v>
      </c>
      <c r="D91" s="61">
        <v>0</v>
      </c>
      <c r="E91" s="68" t="s">
        <v>29</v>
      </c>
      <c r="F91" s="60">
        <v>0</v>
      </c>
      <c r="G91" s="61">
        <v>18</v>
      </c>
      <c r="H91" s="62" t="s">
        <v>29</v>
      </c>
      <c r="I91" s="60">
        <v>0</v>
      </c>
      <c r="J91" s="61">
        <v>18</v>
      </c>
      <c r="K91" s="68" t="s">
        <v>29</v>
      </c>
      <c r="L91" s="85"/>
      <c r="M91" s="85"/>
      <c r="N91" s="85"/>
      <c r="O91" s="85"/>
      <c r="P91" s="85"/>
      <c r="Q91" s="85"/>
      <c r="R91" s="85"/>
    </row>
    <row r="92" spans="2:18" ht="15" customHeight="1" x14ac:dyDescent="0.2">
      <c r="B92" s="51" t="s">
        <v>33</v>
      </c>
      <c r="C92" s="52">
        <v>516</v>
      </c>
      <c r="D92" s="53">
        <v>895</v>
      </c>
      <c r="E92" s="80">
        <v>0.73449612403100772</v>
      </c>
      <c r="F92" s="56">
        <v>10082</v>
      </c>
      <c r="G92" s="57">
        <v>13201</v>
      </c>
      <c r="H92" s="54">
        <v>0.30936322158301932</v>
      </c>
      <c r="I92" s="52">
        <v>10598</v>
      </c>
      <c r="J92" s="53">
        <v>14096</v>
      </c>
      <c r="K92" s="54">
        <v>0.33006227590111337</v>
      </c>
      <c r="L92" s="85"/>
      <c r="M92" s="85"/>
      <c r="N92" s="85"/>
      <c r="O92" s="85"/>
      <c r="P92" s="85"/>
      <c r="Q92" s="85"/>
      <c r="R92" s="85"/>
    </row>
    <row r="93" spans="2:18" ht="15" customHeight="1" x14ac:dyDescent="0.2">
      <c r="B93" s="39" t="s">
        <v>34</v>
      </c>
      <c r="C93" s="69">
        <v>2066</v>
      </c>
      <c r="D93" s="70">
        <v>1410</v>
      </c>
      <c r="E93" s="42">
        <v>-0.31752178121974828</v>
      </c>
      <c r="F93" s="69">
        <v>440533</v>
      </c>
      <c r="G93" s="70">
        <v>454114</v>
      </c>
      <c r="H93" s="42">
        <v>3.0828564488925903E-2</v>
      </c>
      <c r="I93" s="69">
        <v>442599</v>
      </c>
      <c r="J93" s="70">
        <v>455524</v>
      </c>
      <c r="K93" s="42">
        <v>2.9202506105978632E-2</v>
      </c>
      <c r="L93" s="85"/>
      <c r="M93" s="85"/>
      <c r="N93" s="85"/>
      <c r="O93" s="85"/>
      <c r="P93" s="85"/>
      <c r="Q93" s="85"/>
      <c r="R93" s="85"/>
    </row>
    <row r="94" spans="2:18" ht="15" customHeight="1" x14ac:dyDescent="0.2">
      <c r="B94" s="71" t="s">
        <v>35</v>
      </c>
      <c r="C94" s="72">
        <v>185780</v>
      </c>
      <c r="D94" s="73">
        <v>221128</v>
      </c>
      <c r="E94" s="75">
        <v>0.1902680589945096</v>
      </c>
      <c r="F94" s="72">
        <v>475916</v>
      </c>
      <c r="G94" s="73">
        <v>493931</v>
      </c>
      <c r="H94" s="75">
        <v>3.7853318652871559E-2</v>
      </c>
      <c r="I94" s="72">
        <v>661696</v>
      </c>
      <c r="J94" s="73">
        <v>715059</v>
      </c>
      <c r="K94" s="75">
        <v>8.0645795047876945E-2</v>
      </c>
      <c r="L94" s="85"/>
      <c r="M94" s="85"/>
      <c r="N94" s="85"/>
      <c r="O94" s="85"/>
      <c r="P94" s="85"/>
      <c r="Q94" s="85"/>
      <c r="R94" s="85"/>
    </row>
    <row r="95" spans="2:18" ht="5.25" customHeight="1" x14ac:dyDescent="0.2">
      <c r="B95" s="81"/>
      <c r="C95" s="82"/>
      <c r="D95" s="82"/>
      <c r="E95" s="83"/>
      <c r="F95" s="82"/>
      <c r="G95" s="82"/>
      <c r="H95" s="83"/>
      <c r="I95" s="82"/>
      <c r="J95" s="82"/>
      <c r="K95" s="83"/>
      <c r="L95" s="85"/>
      <c r="M95" s="85"/>
      <c r="N95" s="85"/>
      <c r="O95" s="85"/>
      <c r="P95" s="85"/>
      <c r="Q95" s="85"/>
      <c r="R95" s="85"/>
    </row>
    <row r="96" spans="2:18" ht="12.75" customHeight="1" x14ac:dyDescent="0.2">
      <c r="B96" s="84" t="s">
        <v>39</v>
      </c>
      <c r="C96" s="84"/>
      <c r="D96" s="84"/>
      <c r="E96" s="84"/>
      <c r="F96" s="84"/>
      <c r="G96" s="84"/>
      <c r="H96" s="84"/>
      <c r="I96" s="84"/>
      <c r="J96" s="84"/>
      <c r="K96" s="84"/>
      <c r="L96" s="85"/>
      <c r="M96" s="85"/>
      <c r="N96" s="85"/>
      <c r="O96" s="85"/>
      <c r="P96" s="85"/>
      <c r="Q96" s="85"/>
      <c r="R96" s="85"/>
    </row>
    <row r="101" spans="2:3" x14ac:dyDescent="0.2">
      <c r="B101" s="90"/>
    </row>
    <row r="106" spans="2:3" x14ac:dyDescent="0.2">
      <c r="C106" s="91"/>
    </row>
    <row r="107" spans="2:3" x14ac:dyDescent="0.2">
      <c r="C107" s="91"/>
    </row>
    <row r="108" spans="2:3" x14ac:dyDescent="0.2">
      <c r="C108" s="91"/>
    </row>
    <row r="109" spans="2:3" x14ac:dyDescent="0.2">
      <c r="C109" s="91"/>
    </row>
    <row r="110" spans="2:3" x14ac:dyDescent="0.2">
      <c r="C110" s="91"/>
    </row>
    <row r="111" spans="2:3" x14ac:dyDescent="0.2">
      <c r="C111" s="91"/>
    </row>
    <row r="112" spans="2:3" x14ac:dyDescent="0.2">
      <c r="C112" s="91"/>
    </row>
    <row r="113" spans="1:3" x14ac:dyDescent="0.2">
      <c r="C113" s="91"/>
    </row>
    <row r="114" spans="1:3" x14ac:dyDescent="0.2">
      <c r="C114" s="91"/>
    </row>
    <row r="115" spans="1:3" x14ac:dyDescent="0.2">
      <c r="C115" s="91"/>
    </row>
    <row r="116" spans="1:3" x14ac:dyDescent="0.2">
      <c r="C116" s="91"/>
    </row>
    <row r="117" spans="1:3" x14ac:dyDescent="0.2">
      <c r="C117" s="91"/>
    </row>
    <row r="118" spans="1:3" x14ac:dyDescent="0.2">
      <c r="C118" s="91"/>
    </row>
    <row r="119" spans="1:3" x14ac:dyDescent="0.2">
      <c r="C119" s="91"/>
    </row>
    <row r="120" spans="1:3" x14ac:dyDescent="0.2">
      <c r="C120" s="91"/>
    </row>
    <row r="121" spans="1:3" x14ac:dyDescent="0.2">
      <c r="C121" s="91"/>
    </row>
    <row r="122" spans="1:3" x14ac:dyDescent="0.2">
      <c r="C122" s="91"/>
    </row>
    <row r="123" spans="1:3" x14ac:dyDescent="0.2">
      <c r="C123" s="91"/>
    </row>
    <row r="124" spans="1:3" x14ac:dyDescent="0.2">
      <c r="A124" s="90"/>
    </row>
    <row r="125" spans="1:3" x14ac:dyDescent="0.2">
      <c r="A125" s="90"/>
    </row>
  </sheetData>
  <mergeCells count="24">
    <mergeCell ref="C106:C108"/>
    <mergeCell ref="C109:C111"/>
    <mergeCell ref="C112:C114"/>
    <mergeCell ref="C115:C117"/>
    <mergeCell ref="C118:C120"/>
    <mergeCell ref="C121:C123"/>
    <mergeCell ref="B66:K66"/>
    <mergeCell ref="B68:B69"/>
    <mergeCell ref="C68:E68"/>
    <mergeCell ref="F68:H68"/>
    <mergeCell ref="I68:K68"/>
    <mergeCell ref="B96:K96"/>
    <mergeCell ref="B32:B33"/>
    <mergeCell ref="C32:G32"/>
    <mergeCell ref="H32:L32"/>
    <mergeCell ref="M32:Q32"/>
    <mergeCell ref="R32:R33"/>
    <mergeCell ref="B60:R60"/>
    <mergeCell ref="B2:R2"/>
    <mergeCell ref="B4:B5"/>
    <mergeCell ref="C4:G4"/>
    <mergeCell ref="H4:L4"/>
    <mergeCell ref="M4:Q4"/>
    <mergeCell ref="R4:R5"/>
  </mergeCells>
  <conditionalFormatting sqref="C106 C109 C112 C115 C118 C121">
    <cfRule type="cellIs" dxfId="1" priority="1" operator="notEqual">
      <formula>0</formula>
    </cfRule>
  </conditionalFormatting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6"/>
  <sheetViews>
    <sheetView showGridLines="0" workbookViewId="0">
      <selection activeCell="B3" sqref="B3:R3"/>
    </sheetView>
  </sheetViews>
  <sheetFormatPr baseColWidth="10" defaultRowHeight="12.75" x14ac:dyDescent="0.2"/>
  <cols>
    <col min="1" max="1" width="15.7109375" customWidth="1"/>
    <col min="2" max="2" width="25.140625" customWidth="1"/>
    <col min="3" max="4" width="12.28515625" customWidth="1"/>
    <col min="5" max="7" width="10.7109375" customWidth="1"/>
    <col min="8" max="8" width="12.7109375" customWidth="1"/>
    <col min="9" max="9" width="12.28515625" customWidth="1"/>
    <col min="10" max="12" width="10.7109375" customWidth="1"/>
    <col min="13" max="13" width="12.28515625" customWidth="1"/>
    <col min="14" max="14" width="12.42578125" customWidth="1"/>
    <col min="15" max="17" width="10.7109375" customWidth="1"/>
    <col min="18" max="18" width="22.28515625" customWidth="1"/>
  </cols>
  <sheetData>
    <row r="1" spans="2:18" ht="15" customHeight="1" x14ac:dyDescent="0.2"/>
    <row r="2" spans="2:18" ht="15" customHeight="1" x14ac:dyDescent="0.2"/>
    <row r="3" spans="2:18" ht="36" customHeight="1" thickBot="1" x14ac:dyDescent="0.25">
      <c r="B3" s="1" t="str">
        <f>CONCATENATE("LLEGADA DE PASAJEROS DESDE AEROPUERTOS NACIONALES Y EXTRANJEROS 
Canarias e Islas  (",D6,")")</f>
        <v>LLEGADA DE PASAJEROS DESDE AEROPUERTOS NACIONALES Y EXTRANJEROS 
Canarias e Islas  (Acumulado octubre 2017)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5.2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12.75" customHeight="1" x14ac:dyDescent="0.2">
      <c r="B5" s="3" t="s">
        <v>1</v>
      </c>
      <c r="C5" s="4" t="s">
        <v>2</v>
      </c>
      <c r="D5" s="5"/>
      <c r="E5" s="5"/>
      <c r="F5" s="5"/>
      <c r="G5" s="6"/>
      <c r="H5" s="7" t="s">
        <v>3</v>
      </c>
      <c r="I5" s="8"/>
      <c r="J5" s="8"/>
      <c r="K5" s="8"/>
      <c r="L5" s="9"/>
      <c r="M5" s="4" t="s">
        <v>4</v>
      </c>
      <c r="N5" s="5"/>
      <c r="O5" s="5"/>
      <c r="P5" s="5"/>
      <c r="Q5" s="6"/>
      <c r="R5" s="10" t="s">
        <v>1</v>
      </c>
    </row>
    <row r="6" spans="2:18" ht="25.5" x14ac:dyDescent="0.2">
      <c r="B6" s="11"/>
      <c r="C6" s="12" t="s">
        <v>43</v>
      </c>
      <c r="D6" s="12" t="s">
        <v>44</v>
      </c>
      <c r="E6" s="13" t="s">
        <v>7</v>
      </c>
      <c r="F6" s="14" t="s">
        <v>8</v>
      </c>
      <c r="G6" s="15" t="s">
        <v>9</v>
      </c>
      <c r="H6" s="16" t="str">
        <f>C6</f>
        <v>Acumulado octubre 2016</v>
      </c>
      <c r="I6" s="17" t="str">
        <f>$D$6</f>
        <v>Acumulado octubre 2017</v>
      </c>
      <c r="J6" s="18" t="s">
        <v>7</v>
      </c>
      <c r="K6" s="19" t="s">
        <v>8</v>
      </c>
      <c r="L6" s="20" t="s">
        <v>9</v>
      </c>
      <c r="M6" s="21" t="str">
        <f>$C$6</f>
        <v>Acumulado octubre 2016</v>
      </c>
      <c r="N6" s="22" t="str">
        <f>$D$6</f>
        <v>Acumulado octubre 2017</v>
      </c>
      <c r="O6" s="23" t="s">
        <v>7</v>
      </c>
      <c r="P6" s="24" t="s">
        <v>8</v>
      </c>
      <c r="Q6" s="25" t="s">
        <v>9</v>
      </c>
      <c r="R6" s="26"/>
    </row>
    <row r="7" spans="2:18" ht="15" customHeight="1" x14ac:dyDescent="0.2">
      <c r="B7" s="27" t="s">
        <v>10</v>
      </c>
      <c r="C7" s="28">
        <f>GETPIVOTDATA("pasajeros",'[1]Tabla dinamica islas españoles'!$A$20,"isla","Gran Canaria","año",2016)</f>
        <v>781800</v>
      </c>
      <c r="D7" s="29">
        <f>GETPIVOTDATA("pasajeros",'[1]Tabla dinamica islas españoles'!$A$20,"isla","Gran Canaria","año",2017)</f>
        <v>888148</v>
      </c>
      <c r="E7" s="30">
        <f>IFERROR(D7/C7-1,"-")</f>
        <v>0.13602967510872355</v>
      </c>
      <c r="F7" s="31">
        <f>D7/$D$31</f>
        <v>0.16893453926407792</v>
      </c>
      <c r="G7" s="32">
        <f>D7/$N$35</f>
        <v>0.31445479155617145</v>
      </c>
      <c r="H7" s="28">
        <f>GETPIVOTDATA("pasajeros",'[1]Tabla dinamica islas españoles'!$A$20,"isla","fuerteventura","año",2016)</f>
        <v>278953</v>
      </c>
      <c r="I7" s="29">
        <f>GETPIVOTDATA("pasajeros",'[1]Tabla dinamica islas españoles'!$A$20,"isla","fuerteventura","año",2017)</f>
        <v>320219</v>
      </c>
      <c r="J7" s="30">
        <f>IFERROR(I7/H7-1,"-")</f>
        <v>0.14793173043487617</v>
      </c>
      <c r="K7" s="31">
        <f>I7/$I$31</f>
        <v>0.12886496501495623</v>
      </c>
      <c r="L7" s="32">
        <f>I7/$N$35</f>
        <v>0.11337569740327701</v>
      </c>
      <c r="M7" s="28">
        <f>GETPIVOTDATA("pasajeros",'[1]Tabla dinamica islas españoles'!$A$20,"isla","lanzarote","año",2016)</f>
        <v>341286</v>
      </c>
      <c r="N7" s="29">
        <f>GETPIVOTDATA("pasajeros",'[1]Tabla dinamica islas españoles'!$A$20,"isla","lanzarote","año",2017)</f>
        <v>404191</v>
      </c>
      <c r="O7" s="30">
        <f>IFERROR(N7/M7-1,"-")</f>
        <v>0.18431755184801024</v>
      </c>
      <c r="P7" s="31">
        <f>N7/$N$31</f>
        <v>0.13217041272291175</v>
      </c>
      <c r="Q7" s="32">
        <f>N7/$N$35</f>
        <v>0.14310655054549523</v>
      </c>
      <c r="R7" s="27" t="s">
        <v>10</v>
      </c>
    </row>
    <row r="8" spans="2:18" ht="15" customHeight="1" x14ac:dyDescent="0.2">
      <c r="B8" s="33" t="s">
        <v>11</v>
      </c>
      <c r="C8" s="34">
        <f>GETPIVOTDATA("pasajeros",'[1]Tabla dinamica islas españoles'!$A$5,"isla","Gran Canaria","año",2016)</f>
        <v>1079139</v>
      </c>
      <c r="D8" s="35">
        <f>GETPIVOTDATA("pasajeros",'[1]Tabla dinamica islas españoles'!$A$5,"isla","Gran Canaria","año",2017)</f>
        <v>1082804</v>
      </c>
      <c r="E8" s="36">
        <f>IFERROR(D8/C8-1,"-")</f>
        <v>3.3962260654094578E-3</v>
      </c>
      <c r="F8" s="37">
        <f t="shared" ref="F8:F29" si="0">D8/$D$31</f>
        <v>0.20596003690071996</v>
      </c>
      <c r="G8" s="38">
        <f>D8/$N$36</f>
        <v>0.3421139518344008</v>
      </c>
      <c r="H8" s="34">
        <f>GETPIVOTDATA("pasajeros",'[1]Tabla dinamica islas españoles'!$A$5,"isla","fuerteventura","año",2016)</f>
        <v>217557</v>
      </c>
      <c r="I8" s="35">
        <f>GETPIVOTDATA("pasajeros",'[1]Tabla dinamica islas españoles'!$A$5,"isla","fuerteventura","año",2017)</f>
        <v>223268</v>
      </c>
      <c r="J8" s="36">
        <f>IFERROR(I8/H8-1,"-")</f>
        <v>2.6250591798930856E-2</v>
      </c>
      <c r="K8" s="37">
        <f t="shared" ref="K8:K29" si="1">I8/$I$31</f>
        <v>8.9849206352400221E-2</v>
      </c>
      <c r="L8" s="38">
        <f>I8/$N$36</f>
        <v>7.0541942769109633E-2</v>
      </c>
      <c r="M8" s="34">
        <f>GETPIVOTDATA("pasajeros",'[1]Tabla dinamica islas españoles'!$A$5,"isla","lanzarote","año",2016)</f>
        <v>401888</v>
      </c>
      <c r="N8" s="35">
        <f>GETPIVOTDATA("pasajeros",'[1]Tabla dinamica islas españoles'!$A$5,"isla","lanzarote","año",2017)</f>
        <v>420626</v>
      </c>
      <c r="O8" s="36">
        <f>IFERROR(N8/M8-1,"-")</f>
        <v>4.6624930328847736E-2</v>
      </c>
      <c r="P8" s="37">
        <f t="shared" ref="P8:P30" si="2">N8/$N$31</f>
        <v>0.13754465592254025</v>
      </c>
      <c r="Q8" s="38">
        <f>N8/$N$36</f>
        <v>0.13289757251016496</v>
      </c>
      <c r="R8" s="33" t="s">
        <v>11</v>
      </c>
    </row>
    <row r="9" spans="2:18" ht="15" customHeight="1" x14ac:dyDescent="0.2">
      <c r="B9" s="39" t="s">
        <v>12</v>
      </c>
      <c r="C9" s="40">
        <f>GETPIVOTDATA("pasajeros",'[1]Tabla dinamica islas ext'!$A$3,"País","españa","isla","gran canaria","año",2016)</f>
        <v>1860939</v>
      </c>
      <c r="D9" s="41">
        <f>GETPIVOTDATA("pasajeros",'[1]Tabla dinamica islas ext'!$A$3,"País","españa","isla","gran canaria","año",2017)</f>
        <v>1970952</v>
      </c>
      <c r="E9" s="42">
        <f>IFERROR(D9/C9-1,"-")</f>
        <v>5.9116929679049024E-2</v>
      </c>
      <c r="F9" s="43">
        <f t="shared" si="0"/>
        <v>0.37489457616479788</v>
      </c>
      <c r="G9" s="44">
        <f>D9/$N$37</f>
        <v>0.32907089054161109</v>
      </c>
      <c r="H9" s="40">
        <f>GETPIVOTDATA("pasajeros",'[1]Tabla dinamica islas ext'!$A$3,"País","españa","isla","fuerteventura","año",2016)</f>
        <v>496510</v>
      </c>
      <c r="I9" s="41">
        <f>GETPIVOTDATA("pasajeros",'[1]Tabla dinamica islas ext'!$A$3,"País","españa","isla","fuerteventura","año",2017)</f>
        <v>543487</v>
      </c>
      <c r="J9" s="42">
        <f>IFERROR(I9/H9-1,"-")</f>
        <v>9.4614408571831454E-2</v>
      </c>
      <c r="K9" s="43">
        <f t="shared" si="1"/>
        <v>0.21871417136735644</v>
      </c>
      <c r="L9" s="44">
        <f>I9/$N$37</f>
        <v>9.0740794848270578E-2</v>
      </c>
      <c r="M9" s="40">
        <f>GETPIVOTDATA("pasajeros",'[1]Tabla dinamica islas ext'!$A$3,"País","españa","isla","lanzarote","año",2016)</f>
        <v>743174</v>
      </c>
      <c r="N9" s="41">
        <f>GETPIVOTDATA("pasajeros",'[1]Tabla dinamica islas ext'!$A$3,"País","españa","isla","lanzarote","año",2017)</f>
        <v>824817</v>
      </c>
      <c r="O9" s="42">
        <f>IFERROR(N9/M9-1,"-")</f>
        <v>0.10985718014892876</v>
      </c>
      <c r="P9" s="43">
        <f t="shared" si="2"/>
        <v>0.26971506864545203</v>
      </c>
      <c r="Q9" s="44">
        <f>N9/$N$37</f>
        <v>0.13771175793416585</v>
      </c>
      <c r="R9" s="39" t="s">
        <v>12</v>
      </c>
    </row>
    <row r="10" spans="2:18" ht="30" customHeight="1" x14ac:dyDescent="0.2">
      <c r="B10" s="45" t="s">
        <v>13</v>
      </c>
      <c r="C10" s="46">
        <f>C30+C8</f>
        <v>4082889</v>
      </c>
      <c r="D10" s="47">
        <f>D30+D8</f>
        <v>4369202</v>
      </c>
      <c r="E10" s="48">
        <f>IFERROR(D10/C10-1,"-")</f>
        <v>7.0125100143550334E-2</v>
      </c>
      <c r="F10" s="49">
        <f t="shared" si="0"/>
        <v>0.83106546073592213</v>
      </c>
      <c r="G10" s="50">
        <f t="shared" ref="G10:G30" si="3">D10/$N38</f>
        <v>0.29112174369664612</v>
      </c>
      <c r="H10" s="46">
        <f>H30+H8</f>
        <v>2068637</v>
      </c>
      <c r="I10" s="47">
        <f>I30+I8</f>
        <v>2164700</v>
      </c>
      <c r="J10" s="48">
        <f>IFERROR(I10/H10-1,"-")</f>
        <v>4.6437823552416324E-2</v>
      </c>
      <c r="K10" s="49">
        <f t="shared" si="1"/>
        <v>0.87113503498504374</v>
      </c>
      <c r="L10" s="50">
        <f t="shared" ref="L10:L30" si="4">I10/$N38</f>
        <v>0.14423485995386109</v>
      </c>
      <c r="M10" s="46">
        <f>M30+M8</f>
        <v>2411521</v>
      </c>
      <c r="N10" s="47">
        <f>N30+N8</f>
        <v>2653914</v>
      </c>
      <c r="O10" s="48">
        <f>IFERROR(N10/M10-1,"-")</f>
        <v>0.10051457150901855</v>
      </c>
      <c r="P10" s="49">
        <f t="shared" si="2"/>
        <v>0.86782958727708825</v>
      </c>
      <c r="Q10" s="50">
        <f t="shared" ref="Q10:Q30" si="5">N10/$N38</f>
        <v>0.17683139193402841</v>
      </c>
      <c r="R10" s="45" t="s">
        <v>13</v>
      </c>
    </row>
    <row r="11" spans="2:18" ht="15" customHeight="1" x14ac:dyDescent="0.2">
      <c r="B11" s="51" t="s">
        <v>14</v>
      </c>
      <c r="C11" s="52">
        <f>GETPIVOTDATA("pasajeros",'[1]Tabla dinamica islas ext'!$A$3,"País","HOLANDA","isla","Gran Canaria","año",2016)</f>
        <v>193260</v>
      </c>
      <c r="D11" s="53">
        <f>GETPIVOTDATA("pasajeros",'[1]Tabla dinamica islas ext'!$A$3,"País","HOLANDA","isla","Gran Canaria","año",2017)</f>
        <v>207964</v>
      </c>
      <c r="E11" s="54">
        <f t="shared" ref="E11:E29" si="6">IFERROR(D11/C11-1,"-")</f>
        <v>7.608403187415913E-2</v>
      </c>
      <c r="F11" s="55">
        <f t="shared" si="0"/>
        <v>3.9556810940873252E-2</v>
      </c>
      <c r="G11" s="38">
        <f t="shared" ref="G11:G21" si="7">IFERROR(D11/$N39,"-")</f>
        <v>0.38213222593803975</v>
      </c>
      <c r="H11" s="56">
        <f>GETPIVOTDATA("pasajeros",'[1]Tabla dinamica islas ext'!$A$3,"País","HOLANDA","isla","fuerteventura","año",2016)</f>
        <v>54211</v>
      </c>
      <c r="I11" s="57">
        <f>GETPIVOTDATA("pasajeros",'[1]Tabla dinamica islas ext'!$A$3,"País","HOLANDA","isla","fuerteventura","año",2017)</f>
        <v>53391</v>
      </c>
      <c r="J11" s="54">
        <f t="shared" ref="J11:J30" si="8">IFERROR(I11/H11-1,"-")</f>
        <v>-1.5126081422589532E-2</v>
      </c>
      <c r="K11" s="55">
        <f>I11/$I$31</f>
        <v>2.1486012220116632E-2</v>
      </c>
      <c r="L11" s="58">
        <f>IFERROR(I11/$N39,"-")</f>
        <v>9.8105545551431403E-2</v>
      </c>
      <c r="M11" s="52">
        <f>GETPIVOTDATA("pasajeros",'[1]Tabla dinamica islas ext'!$A$3,"País","HOLANDA","isla","lanzarote","año",2016)</f>
        <v>84956</v>
      </c>
      <c r="N11" s="53">
        <f>GETPIVOTDATA("pasajeros",'[1]Tabla dinamica islas ext'!$A$3,"País","HOLANDA","isla","lanzarote","año",2017)</f>
        <v>100042</v>
      </c>
      <c r="O11" s="54">
        <f t="shared" ref="O11:O30" si="9">IFERROR(N11/M11-1,"-")</f>
        <v>0.17757427374170165</v>
      </c>
      <c r="P11" s="55">
        <f t="shared" si="2"/>
        <v>3.2713723040902781E-2</v>
      </c>
      <c r="Q11" s="38">
        <f t="shared" ref="Q11:Q21" si="10">IFERROR(N11/$N39,"-")</f>
        <v>0.18382639373782661</v>
      </c>
      <c r="R11" s="51" t="s">
        <v>14</v>
      </c>
    </row>
    <row r="12" spans="2:18" ht="15" customHeight="1" x14ac:dyDescent="0.2">
      <c r="B12" s="59" t="s">
        <v>15</v>
      </c>
      <c r="C12" s="60">
        <f>GETPIVOTDATA("pasajeros",'[1]Tabla dinamica islas ext'!$A$3,"País","BELGICA","isla","Gran Canaria","año",2016)</f>
        <v>100923</v>
      </c>
      <c r="D12" s="61">
        <f>GETPIVOTDATA("pasajeros",'[1]Tabla dinamica islas ext'!$A$3,"País","BELGICA","isla","Gran Canaria","año",2017)</f>
        <v>102258</v>
      </c>
      <c r="E12" s="62">
        <f t="shared" si="6"/>
        <v>1.3227906423709079E-2</v>
      </c>
      <c r="F12" s="63">
        <f>D12/$D$31</f>
        <v>1.945048360866216E-2</v>
      </c>
      <c r="G12" s="64">
        <f t="shared" si="7"/>
        <v>0.27034429519023084</v>
      </c>
      <c r="H12" s="60">
        <f>GETPIVOTDATA("pasajeros",'[1]Tabla dinamica islas ext'!$A$3,"País","BELGICA","isla","fuerteventura","año",2016)</f>
        <v>18495</v>
      </c>
      <c r="I12" s="61">
        <f>GETPIVOTDATA("pasajeros",'[1]Tabla dinamica islas ext'!$A$3,"País","BELGICA","isla","fuerteventura","año",2017)</f>
        <v>17722</v>
      </c>
      <c r="J12" s="62">
        <f t="shared" si="8"/>
        <v>-4.1795079751284159E-2</v>
      </c>
      <c r="K12" s="63">
        <f>I12/$I$31</f>
        <v>7.1318220030512063E-3</v>
      </c>
      <c r="L12" s="64">
        <f t="shared" ref="L12:L21" si="11">IFERROR(I12/$N40,"-")</f>
        <v>4.6852486840748601E-2</v>
      </c>
      <c r="M12" s="60">
        <f>GETPIVOTDATA("pasajeros",'[1]Tabla dinamica islas ext'!$A$3,"País","BELGICA","isla","lanzarote","año",2016)</f>
        <v>37821</v>
      </c>
      <c r="N12" s="61">
        <f>GETPIVOTDATA("pasajeros",'[1]Tabla dinamica islas ext'!$A$3,"País","BELGICA","isla","lanzarote","año",2017)</f>
        <v>42929</v>
      </c>
      <c r="O12" s="62">
        <f t="shared" si="9"/>
        <v>0.1350572433304249</v>
      </c>
      <c r="P12" s="63">
        <f t="shared" si="2"/>
        <v>1.403777829734427E-2</v>
      </c>
      <c r="Q12" s="64">
        <f t="shared" si="10"/>
        <v>0.1134934210352385</v>
      </c>
      <c r="R12" s="59" t="s">
        <v>15</v>
      </c>
    </row>
    <row r="13" spans="2:18" ht="15" customHeight="1" x14ac:dyDescent="0.2">
      <c r="B13" s="51" t="s">
        <v>16</v>
      </c>
      <c r="C13" s="52">
        <f>GETPIVOTDATA("pasajeros",'[1]Tabla dinamica islas ext'!$A$3,"País","ALEMANIA","isla","Gran Canaria","año",2016)</f>
        <v>822974</v>
      </c>
      <c r="D13" s="53">
        <f>GETPIVOTDATA("pasajeros",'[1]Tabla dinamica islas ext'!$A$3,"País","ALEMANIA","isla","Gran Canaria","año",2017)</f>
        <v>844875</v>
      </c>
      <c r="E13" s="54">
        <f t="shared" si="6"/>
        <v>2.66120193347541E-2</v>
      </c>
      <c r="F13" s="55">
        <f t="shared" si="0"/>
        <v>0.1607035864076008</v>
      </c>
      <c r="G13" s="38">
        <f t="shared" si="7"/>
        <v>0.32126124913446258</v>
      </c>
      <c r="H13" s="56">
        <f>GETPIVOTDATA("pasajeros",'[1]Tabla dinamica islas ext'!$A$3,"País","ALEMANIA","isla","fuerteventura","año",2016)</f>
        <v>721596</v>
      </c>
      <c r="I13" s="57">
        <f>GETPIVOTDATA("pasajeros",'[1]Tabla dinamica islas ext'!$A$3,"País","ALEMANIA","isla","fuerteventura","año",2017)</f>
        <v>721884</v>
      </c>
      <c r="J13" s="54">
        <f t="shared" si="8"/>
        <v>3.9911529443070748E-4</v>
      </c>
      <c r="K13" s="55">
        <f t="shared" si="1"/>
        <v>0.29050604868810614</v>
      </c>
      <c r="L13" s="58">
        <f t="shared" si="11"/>
        <v>0.2744942808938392</v>
      </c>
      <c r="M13" s="52">
        <f>GETPIVOTDATA("pasajeros",'[1]Tabla dinamica islas ext'!$A$3,"País","ALEMANIA","isla","lanzarote","año",2016)</f>
        <v>266912</v>
      </c>
      <c r="N13" s="53">
        <f>GETPIVOTDATA("pasajeros",'[1]Tabla dinamica islas ext'!$A$3,"País","ALEMANIA","isla","lanzarote","año",2017)</f>
        <v>300408</v>
      </c>
      <c r="O13" s="54">
        <f t="shared" si="9"/>
        <v>0.12549454501858293</v>
      </c>
      <c r="P13" s="55">
        <f t="shared" si="2"/>
        <v>9.8233383091816659E-2</v>
      </c>
      <c r="Q13" s="38">
        <f t="shared" si="10"/>
        <v>0.11422926389109116</v>
      </c>
      <c r="R13" s="51" t="s">
        <v>16</v>
      </c>
    </row>
    <row r="14" spans="2:18" ht="15" customHeight="1" x14ac:dyDescent="0.2">
      <c r="B14" s="59" t="s">
        <v>17</v>
      </c>
      <c r="C14" s="60">
        <f>GETPIVOTDATA("pasajeros",'[1]Tabla dinamica islas ext'!$A$3,"País","FRANCIA","isla","Gran Canaria","año",2016)</f>
        <v>54295</v>
      </c>
      <c r="D14" s="61">
        <f>GETPIVOTDATA("pasajeros",'[1]Tabla dinamica islas ext'!$A$3,"País","FRANCIA","isla","Gran Canaria","año",2017)</f>
        <v>63177</v>
      </c>
      <c r="E14" s="62">
        <f t="shared" si="6"/>
        <v>0.1635878073487429</v>
      </c>
      <c r="F14" s="63">
        <f t="shared" si="0"/>
        <v>1.2016890638819938E-2</v>
      </c>
      <c r="G14" s="64">
        <f t="shared" si="7"/>
        <v>0.15728896435311282</v>
      </c>
      <c r="H14" s="60">
        <f>GETPIVOTDATA("pasajeros",'[1]Tabla dinamica islas ext'!$A$3,"País","FRANCIA","isla","fuerteventura","año",2016)</f>
        <v>130627</v>
      </c>
      <c r="I14" s="61">
        <f>GETPIVOTDATA("pasajeros",'[1]Tabla dinamica islas ext'!$A$3,"País","FRANCIA","isla","fuerteventura","año",2017)</f>
        <v>112710</v>
      </c>
      <c r="J14" s="62">
        <f t="shared" si="8"/>
        <v>-0.13716153628269812</v>
      </c>
      <c r="K14" s="63">
        <f t="shared" si="1"/>
        <v>4.5357615278405455E-2</v>
      </c>
      <c r="L14" s="64">
        <f t="shared" si="11"/>
        <v>0.28060906931698792</v>
      </c>
      <c r="M14" s="60">
        <f>GETPIVOTDATA("pasajeros",'[1]Tabla dinamica islas ext'!$A$3,"País","FRANCIA","isla","lanzarote","año",2016)</f>
        <v>100733</v>
      </c>
      <c r="N14" s="61">
        <f>GETPIVOTDATA("pasajeros",'[1]Tabla dinamica islas ext'!$A$3,"País","FRANCIA","isla","lanzarote","año",2017)</f>
        <v>85934</v>
      </c>
      <c r="O14" s="62">
        <f t="shared" si="9"/>
        <v>-0.14691312678069746</v>
      </c>
      <c r="P14" s="63">
        <f t="shared" si="2"/>
        <v>2.8100408586363125E-2</v>
      </c>
      <c r="Q14" s="64">
        <f t="shared" si="10"/>
        <v>0.2139460541450274</v>
      </c>
      <c r="R14" s="59" t="s">
        <v>17</v>
      </c>
    </row>
    <row r="15" spans="2:18" ht="15" customHeight="1" x14ac:dyDescent="0.2">
      <c r="B15" s="51" t="s">
        <v>18</v>
      </c>
      <c r="C15" s="52">
        <f>GETPIVOTDATA("pasajeros",'[1]Tabla dinamica islas ext'!$A$3,"País","REINO UNIDO","isla","Gran Canaria","año",2016)</f>
        <v>695586</v>
      </c>
      <c r="D15" s="53">
        <f>GETPIVOTDATA("pasajeros",'[1]Tabla dinamica islas ext'!$A$3,"País","REINO UNIDO","isla","Gran Canaria","año",2017)</f>
        <v>825317</v>
      </c>
      <c r="E15" s="54">
        <f t="shared" si="6"/>
        <v>0.18650605388837604</v>
      </c>
      <c r="F15" s="55">
        <f t="shared" si="0"/>
        <v>0.15698346124948881</v>
      </c>
      <c r="G15" s="38">
        <f t="shared" si="7"/>
        <v>0.17554359859729665</v>
      </c>
      <c r="H15" s="56">
        <f>GETPIVOTDATA("pasajeros",'[1]Tabla dinamica islas ext'!$A$3,"País","REINO UNIDO","isla","fuerteventura","año",2016)</f>
        <v>551688</v>
      </c>
      <c r="I15" s="57">
        <f>GETPIVOTDATA("pasajeros",'[1]Tabla dinamica islas ext'!$A$3,"País","REINO UNIDO","isla","fuerteventura","año",2017)</f>
        <v>617562</v>
      </c>
      <c r="J15" s="54">
        <f t="shared" si="8"/>
        <v>0.11940444599121247</v>
      </c>
      <c r="K15" s="55">
        <f t="shared" si="1"/>
        <v>0.24852399615440182</v>
      </c>
      <c r="L15" s="58">
        <f t="shared" si="11"/>
        <v>0.13135444421591183</v>
      </c>
      <c r="M15" s="52">
        <f>GETPIVOTDATA("pasajeros",'[1]Tabla dinamica islas ext'!$A$3,"País","REINO UNIDO","isla","lanzarote","año",2016)</f>
        <v>1099778</v>
      </c>
      <c r="N15" s="53">
        <f>GETPIVOTDATA("pasajeros",'[1]Tabla dinamica islas ext'!$A$3,"País","REINO UNIDO","isla","lanzarote","año",2017)</f>
        <v>1233659</v>
      </c>
      <c r="O15" s="54">
        <f t="shared" si="9"/>
        <v>0.12173456824922857</v>
      </c>
      <c r="P15" s="55">
        <f t="shared" si="2"/>
        <v>0.40340635785887013</v>
      </c>
      <c r="Q15" s="38">
        <f t="shared" si="10"/>
        <v>0.26239728528788619</v>
      </c>
      <c r="R15" s="51" t="s">
        <v>18</v>
      </c>
    </row>
    <row r="16" spans="2:18" ht="15" customHeight="1" x14ac:dyDescent="0.2">
      <c r="B16" s="59" t="s">
        <v>19</v>
      </c>
      <c r="C16" s="60">
        <f>GETPIVOTDATA("pasajeros",'[1]Tabla dinamica islas ext'!$A$3,"País","IRLANDA","isla","Gran Canaria","año",2016)</f>
        <v>69605</v>
      </c>
      <c r="D16" s="61">
        <f>GETPIVOTDATA("pasajeros",'[1]Tabla dinamica islas ext'!$A$3,"País","IRLANDA","isla","Gran Canaria","año",2017)</f>
        <v>73399</v>
      </c>
      <c r="E16" s="62">
        <f t="shared" si="6"/>
        <v>5.4507578478557583E-2</v>
      </c>
      <c r="F16" s="63">
        <f t="shared" si="0"/>
        <v>1.3961216202078994E-2</v>
      </c>
      <c r="G16" s="64">
        <f t="shared" si="7"/>
        <v>0.15963973996202524</v>
      </c>
      <c r="H16" s="60">
        <f>GETPIVOTDATA("pasajeros",'[1]Tabla dinamica islas ext'!$A$3,"País","IRLANDA","isla","fuerteventura","año",2016)</f>
        <v>41194</v>
      </c>
      <c r="I16" s="61">
        <f>GETPIVOTDATA("pasajeros",'[1]Tabla dinamica islas ext'!$A$3,"País","IRLANDA","isla","fuerteventura","año",2017)</f>
        <v>46619</v>
      </c>
      <c r="J16" s="62">
        <f t="shared" si="8"/>
        <v>0.1316939360100986</v>
      </c>
      <c r="K16" s="63">
        <f t="shared" si="1"/>
        <v>1.8760772483932073E-2</v>
      </c>
      <c r="L16" s="64">
        <f t="shared" si="11"/>
        <v>0.10139436555388567</v>
      </c>
      <c r="M16" s="60">
        <f>GETPIVOTDATA("pasajeros",'[1]Tabla dinamica islas ext'!$A$3,"País","IRLANDA","isla","lanzarote","año",2016)</f>
        <v>210796</v>
      </c>
      <c r="N16" s="61">
        <f>GETPIVOTDATA("pasajeros",'[1]Tabla dinamica islas ext'!$A$3,"País","IRLANDA","isla","lanzarote","año",2017)</f>
        <v>224574</v>
      </c>
      <c r="O16" s="62">
        <f t="shared" si="9"/>
        <v>6.5361771570618066E-2</v>
      </c>
      <c r="P16" s="63">
        <f t="shared" si="2"/>
        <v>7.3435673399049411E-2</v>
      </c>
      <c r="Q16" s="64">
        <f t="shared" si="10"/>
        <v>0.48843901091611402</v>
      </c>
      <c r="R16" s="59" t="s">
        <v>19</v>
      </c>
    </row>
    <row r="17" spans="2:18" ht="15" customHeight="1" x14ac:dyDescent="0.2">
      <c r="B17" s="51" t="s">
        <v>20</v>
      </c>
      <c r="C17" s="52">
        <f>GETPIVOTDATA("pasajeros",'[1]Tabla dinamica islas ext'!$A$3,"País","ITALIA","isla","Gran Canaria","año",2016)</f>
        <v>68970</v>
      </c>
      <c r="D17" s="53">
        <f>GETPIVOTDATA("pasajeros",'[1]Tabla dinamica islas ext'!$A$3,"País","ITALIA","isla","Gran Canaria","año",2017)</f>
        <v>81996</v>
      </c>
      <c r="E17" s="54">
        <f t="shared" si="6"/>
        <v>0.18886472379295349</v>
      </c>
      <c r="F17" s="55">
        <f t="shared" si="0"/>
        <v>1.5596450683329054E-2</v>
      </c>
      <c r="G17" s="38">
        <f t="shared" si="7"/>
        <v>0.18204625532566779</v>
      </c>
      <c r="H17" s="56">
        <f>GETPIVOTDATA("pasajeros",'[1]Tabla dinamica islas ext'!$A$3,"País","ITALIA","isla","fuerteventura","año",2016)</f>
        <v>100721</v>
      </c>
      <c r="I17" s="57">
        <f>GETPIVOTDATA("pasajeros",'[1]Tabla dinamica islas ext'!$A$3,"País","ITALIA","isla","fuerteventura","año",2017)</f>
        <v>113915</v>
      </c>
      <c r="J17" s="54">
        <f t="shared" si="8"/>
        <v>0.13099552228432998</v>
      </c>
      <c r="K17" s="55">
        <f t="shared" si="1"/>
        <v>4.5842540541562928E-2</v>
      </c>
      <c r="L17" s="58">
        <f t="shared" si="11"/>
        <v>0.25291232713087763</v>
      </c>
      <c r="M17" s="52">
        <f>GETPIVOTDATA("pasajeros",'[1]Tabla dinamica islas ext'!$A$3,"País","ITALIA","isla","lanzarote","año",2016)</f>
        <v>52241</v>
      </c>
      <c r="N17" s="53">
        <f>GETPIVOTDATA("pasajeros",'[1]Tabla dinamica islas ext'!$A$3,"País","ITALIA","isla","lanzarote","año",2017)</f>
        <v>75973</v>
      </c>
      <c r="O17" s="54">
        <f t="shared" si="9"/>
        <v>0.45427920598763416</v>
      </c>
      <c r="P17" s="55">
        <f t="shared" si="2"/>
        <v>2.4843162677540501E-2</v>
      </c>
      <c r="Q17" s="38">
        <f t="shared" si="10"/>
        <v>0.16867408356330746</v>
      </c>
      <c r="R17" s="51" t="s">
        <v>20</v>
      </c>
    </row>
    <row r="18" spans="2:18" ht="15" customHeight="1" x14ac:dyDescent="0.2">
      <c r="B18" s="59" t="s">
        <v>21</v>
      </c>
      <c r="C18" s="60">
        <f>SUM(C19:C22)</f>
        <v>675961</v>
      </c>
      <c r="D18" s="61">
        <f>SUM(D19:D22)</f>
        <v>727030</v>
      </c>
      <c r="E18" s="62">
        <f t="shared" si="6"/>
        <v>7.5550216654511226E-2</v>
      </c>
      <c r="F18" s="63">
        <f t="shared" si="0"/>
        <v>0.13828830114030832</v>
      </c>
      <c r="G18" s="64">
        <f t="shared" si="7"/>
        <v>0.6074615255428284</v>
      </c>
      <c r="H18" s="60">
        <f>SUM(H19:H22)</f>
        <v>77457</v>
      </c>
      <c r="I18" s="61">
        <f>SUM(I19:I22)</f>
        <v>85479</v>
      </c>
      <c r="J18" s="62">
        <f t="shared" si="8"/>
        <v>0.10356714047794258</v>
      </c>
      <c r="K18" s="63">
        <f t="shared" si="1"/>
        <v>3.4399109186255168E-2</v>
      </c>
      <c r="L18" s="64">
        <f t="shared" si="11"/>
        <v>7.1420991901125719E-2</v>
      </c>
      <c r="M18" s="60">
        <f>SUM(M19:M22)</f>
        <v>68231</v>
      </c>
      <c r="N18" s="61">
        <f>SUM(N19:N22)</f>
        <v>66817</v>
      </c>
      <c r="O18" s="62">
        <f t="shared" si="9"/>
        <v>-2.0723717958112897E-2</v>
      </c>
      <c r="P18" s="63">
        <f t="shared" si="2"/>
        <v>2.1849151680534189E-2</v>
      </c>
      <c r="Q18" s="64">
        <f t="shared" si="10"/>
        <v>5.5828173187069542E-2</v>
      </c>
      <c r="R18" s="59" t="s">
        <v>21</v>
      </c>
    </row>
    <row r="19" spans="2:18" ht="15" customHeight="1" x14ac:dyDescent="0.2">
      <c r="B19" s="65" t="s">
        <v>22</v>
      </c>
      <c r="C19" s="52">
        <f>GETPIVOTDATA("pasajeros",'[1]Tabla dinamica islas ext'!$A$3,"País","SUECIA","isla","Gran Canaria","año",2016)</f>
        <v>235910</v>
      </c>
      <c r="D19" s="53">
        <f>GETPIVOTDATA("pasajeros",'[1]Tabla dinamica islas ext'!$A$3,"País","SUECIA","isla","Gran Canaria","año",2017)</f>
        <v>252909</v>
      </c>
      <c r="E19" s="54">
        <f t="shared" si="6"/>
        <v>7.2057140434911515E-2</v>
      </c>
      <c r="F19" s="55">
        <f t="shared" si="0"/>
        <v>4.8105794744500559E-2</v>
      </c>
      <c r="G19" s="38">
        <f t="shared" si="7"/>
        <v>0.6266405678960344</v>
      </c>
      <c r="H19" s="56">
        <f>GETPIVOTDATA("pasajeros",'[1]Tabla dinamica islas ext'!$A$3,"País","SUECIA","isla","fuerteventura","año",2016)</f>
        <v>32462</v>
      </c>
      <c r="I19" s="57">
        <f>GETPIVOTDATA("pasajeros",'[1]Tabla dinamica islas ext'!$A$3,"País","SUECIA","isla","fuerteventura","año",2017)</f>
        <v>33798</v>
      </c>
      <c r="J19" s="54">
        <f t="shared" si="8"/>
        <v>4.1155812950526727E-2</v>
      </c>
      <c r="K19" s="55">
        <f t="shared" si="1"/>
        <v>1.3601248169457436E-2</v>
      </c>
      <c r="L19" s="58">
        <f t="shared" si="11"/>
        <v>8.3742365490157206E-2</v>
      </c>
      <c r="M19" s="52">
        <f>GETPIVOTDATA("pasajeros",'[1]Tabla dinamica islas ext'!$A$3,"País","SUECIA","isla","lanzarote","año",2016)</f>
        <v>16265</v>
      </c>
      <c r="N19" s="53">
        <f>GETPIVOTDATA("pasajeros",'[1]Tabla dinamica islas ext'!$A$3,"País","SUECIA","isla","lanzarote","año",2017)</f>
        <v>16124</v>
      </c>
      <c r="O19" s="54">
        <f t="shared" si="9"/>
        <v>-8.6689209960036928E-3</v>
      </c>
      <c r="P19" s="55">
        <f t="shared" si="2"/>
        <v>5.2725462336970117E-3</v>
      </c>
      <c r="Q19" s="38">
        <f t="shared" si="10"/>
        <v>3.9950940918495027E-2</v>
      </c>
      <c r="R19" s="65" t="s">
        <v>22</v>
      </c>
    </row>
    <row r="20" spans="2:18" ht="15" customHeight="1" x14ac:dyDescent="0.2">
      <c r="B20" s="66" t="s">
        <v>23</v>
      </c>
      <c r="C20" s="60">
        <f>GETPIVOTDATA("pasajeros",'[1]Tabla dinamica islas ext'!$A$3,"País","NORUEGA","isla","Gran Canaria","año",2016)</f>
        <v>234022</v>
      </c>
      <c r="D20" s="61">
        <f>GETPIVOTDATA("pasajeros",'[1]Tabla dinamica islas ext'!$A$3,"País","NORUEGA","isla","Gran Canaria","año",2017)</f>
        <v>252255</v>
      </c>
      <c r="E20" s="62">
        <f t="shared" si="6"/>
        <v>7.7911478408012824E-2</v>
      </c>
      <c r="F20" s="63">
        <f t="shared" si="0"/>
        <v>4.7981397472110471E-2</v>
      </c>
      <c r="G20" s="64">
        <f t="shared" si="7"/>
        <v>0.74594139042493424</v>
      </c>
      <c r="H20" s="60">
        <f>GETPIVOTDATA("pasajeros",'[1]Tabla dinamica islas ext'!$A$3,"País","NORUEGA","isla","fuerteventura","año",2016)</f>
        <v>5318</v>
      </c>
      <c r="I20" s="61">
        <f>GETPIVOTDATA("pasajeros",'[1]Tabla dinamica islas ext'!$A$3,"País","NORUEGA","isla","fuerteventura","año",2017)</f>
        <v>4763</v>
      </c>
      <c r="J20" s="62">
        <f t="shared" si="8"/>
        <v>-0.10436254230913877</v>
      </c>
      <c r="K20" s="63">
        <f t="shared" si="1"/>
        <v>1.9167626791859211E-3</v>
      </c>
      <c r="L20" s="64">
        <f t="shared" si="11"/>
        <v>1.4084631989827602E-2</v>
      </c>
      <c r="M20" s="60">
        <f>GETPIVOTDATA("pasajeros",'[1]Tabla dinamica islas ext'!$A$3,"País","NORUEGA","isla","lanzarote","año",2016)</f>
        <v>16128</v>
      </c>
      <c r="N20" s="61">
        <f>GETPIVOTDATA("pasajeros",'[1]Tabla dinamica islas ext'!$A$3,"País","NORUEGA","isla","lanzarote","año",2017)</f>
        <v>14924</v>
      </c>
      <c r="O20" s="62">
        <f t="shared" si="9"/>
        <v>-7.465277777777779E-2</v>
      </c>
      <c r="P20" s="63">
        <f t="shared" si="2"/>
        <v>4.8801463651509678E-3</v>
      </c>
      <c r="Q20" s="64">
        <f t="shared" si="10"/>
        <v>4.4131649761954043E-2</v>
      </c>
      <c r="R20" s="66" t="s">
        <v>23</v>
      </c>
    </row>
    <row r="21" spans="2:18" ht="15" customHeight="1" x14ac:dyDescent="0.2">
      <c r="B21" s="65" t="s">
        <v>24</v>
      </c>
      <c r="C21" s="52">
        <f>GETPIVOTDATA("pasajeros",'[1]Tabla dinamica islas ext'!$A$3,"País","DINAMARCA","isla","Gran Canaria","año",2016)</f>
        <v>123941</v>
      </c>
      <c r="D21" s="53">
        <f>GETPIVOTDATA("pasajeros",'[1]Tabla dinamica islas ext'!$A$3,"País","DINAMARCA","isla","Gran Canaria","año",2017)</f>
        <v>133800</v>
      </c>
      <c r="E21" s="54">
        <f t="shared" si="6"/>
        <v>7.95459129747218E-2</v>
      </c>
      <c r="F21" s="55">
        <f t="shared" si="0"/>
        <v>2.5450084167879253E-2</v>
      </c>
      <c r="G21" s="38">
        <f t="shared" si="7"/>
        <v>0.47901361859346137</v>
      </c>
      <c r="H21" s="56">
        <f>GETPIVOTDATA("pasajeros",'[1]Tabla dinamica islas ext'!$A$3,"País","DINAMARCA","isla","fuerteventura","año",2016)</f>
        <v>30114</v>
      </c>
      <c r="I21" s="57">
        <f>GETPIVOTDATA("pasajeros",'[1]Tabla dinamica islas ext'!$A$3,"País","DINAMARCA","isla","fuerteventura","año",2017)</f>
        <v>35716</v>
      </c>
      <c r="J21" s="54">
        <f t="shared" si="8"/>
        <v>0.18602643288835763</v>
      </c>
      <c r="K21" s="55">
        <f t="shared" si="1"/>
        <v>1.4373104314466588E-2</v>
      </c>
      <c r="L21" s="58">
        <f t="shared" si="11"/>
        <v>0.12786584754621874</v>
      </c>
      <c r="M21" s="52">
        <f>GETPIVOTDATA("pasajeros",'[1]Tabla dinamica islas ext'!$A$3,"País","DINAMARCA","isla","lanzarote","año",2016)</f>
        <v>26651</v>
      </c>
      <c r="N21" s="53">
        <f>GETPIVOTDATA("pasajeros",'[1]Tabla dinamica islas ext'!$A$3,"País","DINAMARCA","isla","lanzarote","año",2017)</f>
        <v>26987</v>
      </c>
      <c r="O21" s="54">
        <f t="shared" si="9"/>
        <v>1.2607406851525171E-2</v>
      </c>
      <c r="P21" s="55">
        <f t="shared" si="2"/>
        <v>8.8247460437100751E-3</v>
      </c>
      <c r="Q21" s="38">
        <f t="shared" si="10"/>
        <v>9.6615400037232749E-2</v>
      </c>
      <c r="R21" s="65" t="s">
        <v>24</v>
      </c>
    </row>
    <row r="22" spans="2:18" ht="15" customHeight="1" x14ac:dyDescent="0.2">
      <c r="B22" s="66" t="s">
        <v>25</v>
      </c>
      <c r="C22" s="60">
        <f>GETPIVOTDATA("pasajeros",'[1]Tabla dinamica islas ext'!$A$3,"País","FINLANDIA","isla","Gran Canaria","año",2016)</f>
        <v>82088</v>
      </c>
      <c r="D22" s="61">
        <f>GETPIVOTDATA("pasajeros",'[1]Tabla dinamica islas ext'!$A$3,"País","FINLANDIA","isla","Gran Canaria","año",2017)</f>
        <v>88066</v>
      </c>
      <c r="E22" s="62">
        <f t="shared" si="6"/>
        <v>7.2824286131955906E-2</v>
      </c>
      <c r="F22" s="63">
        <f t="shared" si="0"/>
        <v>1.6751024755818047E-2</v>
      </c>
      <c r="G22" s="64">
        <f>IFERROR(D22/$N50,"-")</f>
        <v>0.50110387836853609</v>
      </c>
      <c r="H22" s="60">
        <f>GETPIVOTDATA("pasajeros",'[1]Tabla dinamica islas ext'!$A$3,"País","FINLANDIA","isla","fuerteventura","año",2016)</f>
        <v>9563</v>
      </c>
      <c r="I22" s="61">
        <f>GETPIVOTDATA("pasajeros",'[1]Tabla dinamica islas ext'!$A$3,"País","FINLANDIA","isla","fuerteventura","año",2017)</f>
        <v>11202</v>
      </c>
      <c r="J22" s="62">
        <f t="shared" si="8"/>
        <v>0.17138973125588208</v>
      </c>
      <c r="K22" s="63">
        <f t="shared" si="1"/>
        <v>4.5079940231452214E-3</v>
      </c>
      <c r="L22" s="67">
        <f>IFERROR(I22/$N50,"-")</f>
        <v>6.3740440640932261E-2</v>
      </c>
      <c r="M22" s="60">
        <f>GETPIVOTDATA("pasajeros",'[1]Tabla dinamica islas ext'!$A$3,"País","FINLANDIA","isla","lanzarote","año",2016)</f>
        <v>9187</v>
      </c>
      <c r="N22" s="61">
        <f>GETPIVOTDATA("pasajeros",'[1]Tabla dinamica islas ext'!$A$3,"País","FINLANDIA","isla","lanzarote","año",2017)</f>
        <v>8782</v>
      </c>
      <c r="O22" s="62">
        <f t="shared" si="9"/>
        <v>-4.4084031784042632E-2</v>
      </c>
      <c r="P22" s="63">
        <f t="shared" si="2"/>
        <v>2.8717130379761324E-3</v>
      </c>
      <c r="Q22" s="64">
        <f>IFERROR(N22/$N50,"-")</f>
        <v>4.9970411507647486E-2</v>
      </c>
      <c r="R22" s="66" t="s">
        <v>25</v>
      </c>
    </row>
    <row r="23" spans="2:18" ht="15" customHeight="1" x14ac:dyDescent="0.2">
      <c r="B23" s="51" t="s">
        <v>26</v>
      </c>
      <c r="C23" s="52">
        <f>GETPIVOTDATA("pasajeros",'[1]Tabla dinamica islas ext'!$A$3,"País","SUIZA","isla","Gran Canaria","año",2016)</f>
        <v>95387</v>
      </c>
      <c r="D23" s="53">
        <f>GETPIVOTDATA("pasajeros",'[1]Tabla dinamica islas ext'!$A$3,"País","SUIZA","isla","Gran Canaria","año",2017)</f>
        <v>93668</v>
      </c>
      <c r="E23" s="54">
        <f t="shared" si="6"/>
        <v>-1.8021323660456834E-2</v>
      </c>
      <c r="F23" s="55">
        <f t="shared" si="0"/>
        <v>1.7816580596688447E-2</v>
      </c>
      <c r="G23" s="38">
        <f t="shared" ref="G23:G29" si="12">IFERROR(D23/$N51,"-")</f>
        <v>0.34009767078772035</v>
      </c>
      <c r="H23" s="56">
        <f>GETPIVOTDATA("pasajeros",'[1]Tabla dinamica islas ext'!$A$3,"País","SUIZA","isla","fuerteventura","año",2016)</f>
        <v>48366</v>
      </c>
      <c r="I23" s="57">
        <f>GETPIVOTDATA("pasajeros",'[1]Tabla dinamica islas ext'!$A$3,"País","SUIZA","isla","fuerteventura","año",2017)</f>
        <v>56001</v>
      </c>
      <c r="J23" s="54">
        <f t="shared" si="8"/>
        <v>0.15785882644833138</v>
      </c>
      <c r="K23" s="55">
        <f t="shared" si="1"/>
        <v>2.2536348267287586E-2</v>
      </c>
      <c r="L23" s="58">
        <f t="shared" ref="L23:L29" si="13">IFERROR(I23/$N51,"-")</f>
        <v>0.20333315178911823</v>
      </c>
      <c r="M23" s="52">
        <f>GETPIVOTDATA("pasajeros",'[1]Tabla dinamica islas ext'!$A$3,"País","SUIZA","isla","lanzarote","año",2016)</f>
        <v>32712</v>
      </c>
      <c r="N23" s="53">
        <f>GETPIVOTDATA("pasajeros",'[1]Tabla dinamica islas ext'!$A$3,"País","SUIZA","isla","lanzarote","año",2017)</f>
        <v>32764</v>
      </c>
      <c r="O23" s="54">
        <f t="shared" si="9"/>
        <v>1.5896307165566004E-3</v>
      </c>
      <c r="P23" s="55">
        <f t="shared" si="2"/>
        <v>1.0713824410868822E-2</v>
      </c>
      <c r="Q23" s="38">
        <f t="shared" ref="Q23:Q29" si="14">IFERROR(N23/$N51,"-")</f>
        <v>0.11896229326652506</v>
      </c>
      <c r="R23" s="51" t="s">
        <v>26</v>
      </c>
    </row>
    <row r="24" spans="2:18" ht="15" customHeight="1" x14ac:dyDescent="0.2">
      <c r="B24" s="59" t="s">
        <v>27</v>
      </c>
      <c r="C24" s="60">
        <f>GETPIVOTDATA("pasajeros",'[1]Tabla dinamica islas ext'!$A$3,"País","AUSTRIA","isla","Gran Canaria","año",2016)</f>
        <v>22132</v>
      </c>
      <c r="D24" s="61">
        <f>GETPIVOTDATA("pasajeros",'[1]Tabla dinamica islas ext'!$A$3,"País","AUSTRIA","isla","Gran Canaria","año",2017)</f>
        <v>28878</v>
      </c>
      <c r="E24" s="62">
        <f t="shared" si="6"/>
        <v>0.30480751852521237</v>
      </c>
      <c r="F24" s="63">
        <f t="shared" si="0"/>
        <v>5.4928813946189623E-3</v>
      </c>
      <c r="G24" s="64">
        <f t="shared" si="12"/>
        <v>0.38402106410989506</v>
      </c>
      <c r="H24" s="60">
        <f>GETPIVOTDATA("pasajeros",'[1]Tabla dinamica islas ext'!$A$3,"País","AUSTRIA","isla","fuerteventura","año",2016)</f>
        <v>7055</v>
      </c>
      <c r="I24" s="61">
        <f>GETPIVOTDATA("pasajeros",'[1]Tabla dinamica islas ext'!$A$3,"País","AUSTRIA","isla","fuerteventura","año",2017)</f>
        <v>11013</v>
      </c>
      <c r="J24" s="62">
        <f t="shared" si="8"/>
        <v>0.56102055279943297</v>
      </c>
      <c r="K24" s="63">
        <f t="shared" si="1"/>
        <v>4.4319352059362903E-3</v>
      </c>
      <c r="L24" s="64">
        <f t="shared" si="13"/>
        <v>0.14645141557733479</v>
      </c>
      <c r="M24" s="60">
        <f>GETPIVOTDATA("pasajeros",'[1]Tabla dinamica islas ext'!$A$3,"País","AUSTRIA","isla","lanzarote","año",2016)</f>
        <v>5336</v>
      </c>
      <c r="N24" s="61">
        <f>GETPIVOTDATA("pasajeros",'[1]Tabla dinamica islas ext'!$A$3,"País","AUSTRIA","isla","lanzarote","año",2017)</f>
        <v>2957</v>
      </c>
      <c r="O24" s="62">
        <f t="shared" si="9"/>
        <v>-0.445839580209895</v>
      </c>
      <c r="P24" s="63">
        <f t="shared" si="2"/>
        <v>9.6693867607554351E-4</v>
      </c>
      <c r="Q24" s="64">
        <f t="shared" si="14"/>
        <v>3.9322331413981566E-2</v>
      </c>
      <c r="R24" s="59" t="s">
        <v>27</v>
      </c>
    </row>
    <row r="25" spans="2:18" ht="15" customHeight="1" x14ac:dyDescent="0.2">
      <c r="B25" s="51" t="s">
        <v>28</v>
      </c>
      <c r="C25" s="52">
        <f>GETPIVOTDATA("pasajeros",'[1]Tabla dinamica islas ext'!$A$3,"País","FEDERACION RUSA","isla","Gran Canaria","año",2016)</f>
        <v>94</v>
      </c>
      <c r="D25" s="53">
        <f>GETPIVOTDATA("pasajeros",'[1]Tabla dinamica islas ext'!$A$3,"País","FEDERACION RUSA","isla","Gran Canaria","año",2017)</f>
        <v>49</v>
      </c>
      <c r="E25" s="54">
        <f t="shared" si="6"/>
        <v>-0.47872340425531912</v>
      </c>
      <c r="F25" s="55">
        <f t="shared" si="0"/>
        <v>9.3202849344251387E-6</v>
      </c>
      <c r="G25" s="38">
        <f t="shared" si="12"/>
        <v>8.3283759666864961E-4</v>
      </c>
      <c r="H25" s="56">
        <f>GETPIVOTDATA("pasajeros",'[1]Tabla dinamica islas ext'!$A$3,"País","FEDERACION RUSA","isla","fuerteventura","año",2016)</f>
        <v>0</v>
      </c>
      <c r="I25" s="57">
        <f>GETPIVOTDATA("pasajeros",'[1]Tabla dinamica islas ext'!$A$3,"País","FEDERACION RUSA","isla","fuerteventura","año",2017)</f>
        <v>4</v>
      </c>
      <c r="J25" s="54" t="str">
        <f t="shared" si="8"/>
        <v>-</v>
      </c>
      <c r="K25" s="55">
        <f t="shared" si="1"/>
        <v>1.6097104171202361E-6</v>
      </c>
      <c r="L25" s="58">
        <f t="shared" si="13"/>
        <v>6.7986742585195885E-5</v>
      </c>
      <c r="M25" s="52">
        <f>GETPIVOTDATA("pasajeros",'[1]Tabla dinamica islas ext'!$A$3,"País","FEDERACION RUSA","isla","lanzarote","año",2016)</f>
        <v>0</v>
      </c>
      <c r="N25" s="53">
        <f>GETPIVOTDATA("pasajeros",'[1]Tabla dinamica islas ext'!$A$3,"País","FEDERACION RUSA","isla","lanzarote","año",2017)</f>
        <v>0</v>
      </c>
      <c r="O25" s="54" t="str">
        <f t="shared" si="9"/>
        <v>-</v>
      </c>
      <c r="P25" s="55">
        <f t="shared" si="2"/>
        <v>0</v>
      </c>
      <c r="Q25" s="38">
        <f t="shared" si="14"/>
        <v>0</v>
      </c>
      <c r="R25" s="51" t="s">
        <v>28</v>
      </c>
    </row>
    <row r="26" spans="2:18" ht="15" customHeight="1" x14ac:dyDescent="0.2">
      <c r="B26" s="59" t="s">
        <v>30</v>
      </c>
      <c r="C26" s="60">
        <f>GETPIVOTDATA("pasajeros",'[1]Tabla dinamica islas ext'!$A$3,"País","REPUBLICA CHECA","isla","Gran Canaria","año",2016)</f>
        <v>12972</v>
      </c>
      <c r="D26" s="61">
        <f>GETPIVOTDATA("pasajeros",'[1]Tabla dinamica islas ext'!$A$3,"País","REPUBLICA CHECA","isla","Gran Canaria","año",2017)</f>
        <v>12743</v>
      </c>
      <c r="E26" s="62">
        <f t="shared" si="6"/>
        <v>-1.7653407338883764E-2</v>
      </c>
      <c r="F26" s="63">
        <f t="shared" si="0"/>
        <v>2.4238447126403986E-3</v>
      </c>
      <c r="G26" s="64">
        <f t="shared" si="12"/>
        <v>0.297247492418941</v>
      </c>
      <c r="H26" s="60">
        <f>GETPIVOTDATA("pasajeros",'[1]Tabla dinamica islas ext'!$A$3,"País","REPUBLICA CHECA","isla","fuerteventura","año",2016)</f>
        <v>6737</v>
      </c>
      <c r="I26" s="61">
        <f>GETPIVOTDATA("pasajeros",'[1]Tabla dinamica islas ext'!$A$3,"País","REPUBLICA CHECA","isla","fuerteventura","año",2017)</f>
        <v>9756</v>
      </c>
      <c r="J26" s="62">
        <f t="shared" si="8"/>
        <v>0.44812230963336797</v>
      </c>
      <c r="K26" s="63">
        <f t="shared" si="1"/>
        <v>3.9260837073562555E-3</v>
      </c>
      <c r="L26" s="64">
        <f t="shared" si="13"/>
        <v>0.22757172848145557</v>
      </c>
      <c r="M26" s="60">
        <f>GETPIVOTDATA("pasajeros",'[1]Tabla dinamica islas ext'!$A$3,"País","REPUBLICA CHECA","isla","lanzarote","año",2016)</f>
        <v>4346</v>
      </c>
      <c r="N26" s="61">
        <f>GETPIVOTDATA("pasajeros",'[1]Tabla dinamica islas ext'!$A$3,"País","REPUBLICA CHECA","isla","lanzarote","año",2017)</f>
        <v>2842</v>
      </c>
      <c r="O26" s="62">
        <f t="shared" si="9"/>
        <v>-0.34606534744592732</v>
      </c>
      <c r="P26" s="63">
        <f t="shared" si="2"/>
        <v>9.2933368867321434E-4</v>
      </c>
      <c r="Q26" s="64">
        <f t="shared" si="14"/>
        <v>6.6293445299743417E-2</v>
      </c>
      <c r="R26" s="59" t="s">
        <v>30</v>
      </c>
    </row>
    <row r="27" spans="2:18" ht="15" customHeight="1" x14ac:dyDescent="0.2">
      <c r="B27" s="51" t="s">
        <v>31</v>
      </c>
      <c r="C27" s="52">
        <f>GETPIVOTDATA("pasajeros",'[1]Tabla dinamica islas ext'!$A$3,"País","POLONIA","isla","Gran Canaria","año",2016)</f>
        <v>59617</v>
      </c>
      <c r="D27" s="53">
        <f>GETPIVOTDATA("pasajeros",'[1]Tabla dinamica islas ext'!$A$3,"País","POLONIA","isla","Gran Canaria","año",2017)</f>
        <v>72383</v>
      </c>
      <c r="E27" s="54">
        <f t="shared" si="6"/>
        <v>0.21413355251018995</v>
      </c>
      <c r="F27" s="55">
        <f t="shared" si="0"/>
        <v>1.3767962947112139E-2</v>
      </c>
      <c r="G27" s="38">
        <f t="shared" si="12"/>
        <v>0.2317917483251995</v>
      </c>
      <c r="H27" s="56">
        <f>GETPIVOTDATA("pasajeros",'[1]Tabla dinamica islas ext'!$A$3,"País","POLONIA","isla","fuerteventura","año",2016)</f>
        <v>79090</v>
      </c>
      <c r="I27" s="57">
        <f>GETPIVOTDATA("pasajeros",'[1]Tabla dinamica islas ext'!$A$3,"País","POLONIA","isla","fuerteventura","año",2017)</f>
        <v>74389</v>
      </c>
      <c r="J27" s="54">
        <f t="shared" si="8"/>
        <v>-5.9438614236945297E-2</v>
      </c>
      <c r="K27" s="55">
        <f t="shared" si="1"/>
        <v>2.9936187054789311E-2</v>
      </c>
      <c r="L27" s="58">
        <f t="shared" si="13"/>
        <v>0.23821555290832469</v>
      </c>
      <c r="M27" s="52">
        <f>GETPIVOTDATA("pasajeros",'[1]Tabla dinamica islas ext'!$A$3,"País","POLONIA","isla","lanzarote","año",2016)</f>
        <v>29829</v>
      </c>
      <c r="N27" s="53">
        <f>GETPIVOTDATA("pasajeros",'[1]Tabla dinamica islas ext'!$A$3,"País","POLONIA","isla","lanzarote","año",2017)</f>
        <v>42677</v>
      </c>
      <c r="O27" s="54">
        <f t="shared" si="9"/>
        <v>0.43072178081732537</v>
      </c>
      <c r="P27" s="55">
        <f t="shared" si="2"/>
        <v>1.3955374324949602E-2</v>
      </c>
      <c r="Q27" s="38">
        <f t="shared" si="14"/>
        <v>0.13666436101397481</v>
      </c>
      <c r="R27" s="51" t="s">
        <v>31</v>
      </c>
    </row>
    <row r="28" spans="2:18" ht="15" customHeight="1" x14ac:dyDescent="0.2">
      <c r="B28" s="59" t="s">
        <v>32</v>
      </c>
      <c r="C28" s="60">
        <f>GETPIVOTDATA("pasajeros",'[1]Tabla dinamica islas ext'!$A$3,"País","ESTADOS UNIDOS","isla","Gran Canaria","año",2016)</f>
        <v>0</v>
      </c>
      <c r="D28" s="61">
        <f>GETPIVOTDATA("pasajeros",'[1]Tabla dinamica islas ext'!$A$3,"País","ESTADOS UNIDOS","isla","Gran Canaria","año",2017)</f>
        <v>3</v>
      </c>
      <c r="E28" s="62" t="str">
        <f t="shared" si="6"/>
        <v>-</v>
      </c>
      <c r="F28" s="63">
        <f t="shared" si="0"/>
        <v>5.7062968986276352E-7</v>
      </c>
      <c r="G28" s="67">
        <f t="shared" si="12"/>
        <v>4.9180327868852458E-2</v>
      </c>
      <c r="H28" s="60">
        <f>GETPIVOTDATA("pasajeros",'[1]Tabla dinamica islas ext'!$A$3,"País","ESTADOS UNIDOS","isla","fuerteventura","año",2016)</f>
        <v>0</v>
      </c>
      <c r="I28" s="61">
        <f>GETPIVOTDATA("pasajeros",'[1]Tabla dinamica islas ext'!$A$3,"País","ESTADOS UNIDOS","isla","fuerteventura","año",2017)</f>
        <v>0</v>
      </c>
      <c r="J28" s="62" t="str">
        <f t="shared" si="8"/>
        <v>-</v>
      </c>
      <c r="K28" s="63">
        <f t="shared" si="1"/>
        <v>0</v>
      </c>
      <c r="L28" s="67">
        <f t="shared" si="13"/>
        <v>0</v>
      </c>
      <c r="M28" s="60">
        <f>GETPIVOTDATA("pasajeros",'[1]Tabla dinamica islas ext'!$A$3,"País","ESTADOS UNIDOS","isla","lanzarote","año",2016)</f>
        <v>10</v>
      </c>
      <c r="N28" s="61">
        <f>GETPIVOTDATA("pasajeros",'[1]Tabla dinamica islas ext'!$A$3,"País","ESTADOS UNIDOS","isla","lanzarote","año",2017)</f>
        <v>7</v>
      </c>
      <c r="O28" s="68">
        <f t="shared" si="9"/>
        <v>-0.30000000000000004</v>
      </c>
      <c r="P28" s="63">
        <f t="shared" si="2"/>
        <v>2.2889992331852568E-6</v>
      </c>
      <c r="Q28" s="67">
        <f t="shared" si="14"/>
        <v>0.11475409836065574</v>
      </c>
      <c r="R28" s="59" t="s">
        <v>32</v>
      </c>
    </row>
    <row r="29" spans="2:18" ht="15" customHeight="1" x14ac:dyDescent="0.2">
      <c r="B29" s="51" t="s">
        <v>33</v>
      </c>
      <c r="C29" s="52">
        <f>C30-SUM(C11:C17,C19:C28)</f>
        <v>131974</v>
      </c>
      <c r="D29" s="53">
        <f>D30-SUM(D11:D17,D19:D28)</f>
        <v>152658</v>
      </c>
      <c r="E29" s="54">
        <f t="shared" si="6"/>
        <v>0.15672784033218656</v>
      </c>
      <c r="F29" s="55">
        <f t="shared" si="0"/>
        <v>2.9037062398356586E-2</v>
      </c>
      <c r="G29" s="38">
        <f t="shared" si="12"/>
        <v>0.4831744464278932</v>
      </c>
      <c r="H29" s="56">
        <f>H30-SUM(H11:H17,H19:H28)</f>
        <v>13843</v>
      </c>
      <c r="I29" s="57">
        <f>I30-SUM(I11:I17,I19:I28)</f>
        <v>20987</v>
      </c>
      <c r="J29" s="54">
        <f t="shared" si="8"/>
        <v>0.5160731055407064</v>
      </c>
      <c r="K29" s="55">
        <f t="shared" si="1"/>
        <v>8.4457481310255995E-3</v>
      </c>
      <c r="L29" s="58">
        <f t="shared" si="13"/>
        <v>6.6425487738488609E-2</v>
      </c>
      <c r="M29" s="52">
        <f>M30-SUM(M11:M17,M19:M28)</f>
        <v>15932</v>
      </c>
      <c r="N29" s="53">
        <f>N30-SUM(N11:N17,N19:N28)</f>
        <v>21705</v>
      </c>
      <c r="O29" s="54">
        <f t="shared" si="9"/>
        <v>0.36235249811699721</v>
      </c>
      <c r="P29" s="55">
        <f t="shared" si="2"/>
        <v>7.0975326223265715E-3</v>
      </c>
      <c r="Q29" s="38">
        <f t="shared" si="14"/>
        <v>6.8698013597174215E-2</v>
      </c>
      <c r="R29" s="51" t="s">
        <v>33</v>
      </c>
    </row>
    <row r="30" spans="2:18" ht="15" x14ac:dyDescent="0.2">
      <c r="B30" s="39" t="s">
        <v>34</v>
      </c>
      <c r="C30" s="69">
        <f>GETPIVOTDATA("pasajeros",'[1]Tabla dinamica islas ext'!$A$3,"País","Total","isla","Gran Canaria","año",2016)-GETPIVOTDATA("pasajeros",'[1]Tabla dinamica islas ext'!$A$3,"País","ESPAÑA","isla","Gran Canaria","año",2016)</f>
        <v>3003750</v>
      </c>
      <c r="D30" s="70">
        <f>GETPIVOTDATA("pasajeros",'[1]Tabla dinamica islas ext'!$A$3,"País","Total","isla","Gran Canaria","año",2017)-GETPIVOTDATA("pasajeros",'[1]Tabla dinamica islas ext'!$A$3,"País","ESPAÑA","isla","Gran Canaria","año",2017)</f>
        <v>3286398</v>
      </c>
      <c r="E30" s="42">
        <f>IFERROR(D30/C30-1,"-")</f>
        <v>9.4098377028714042E-2</v>
      </c>
      <c r="F30" s="43">
        <f>D30/$D$31</f>
        <v>0.62510542383520218</v>
      </c>
      <c r="G30" s="44">
        <f t="shared" si="3"/>
        <v>0.27749422829554571</v>
      </c>
      <c r="H30" s="69">
        <f>GETPIVOTDATA("pasajeros",'[1]Tabla dinamica islas ext'!$A$3,"País","Total","isla","fuerteventura","año",2016)-GETPIVOTDATA("pasajeros",'[1]Tabla dinamica islas ext'!$A$3,"País","ESPAÑA","isla","fuerteventura","año",2016)</f>
        <v>1851080</v>
      </c>
      <c r="I30" s="70">
        <f>GETPIVOTDATA("pasajeros",'[1]Tabla dinamica islas ext'!$A$3,"País","Total","isla","fuerteventura","año",2017)-GETPIVOTDATA("pasajeros",'[1]Tabla dinamica islas ext'!$A$3,"País","ESPAÑA","isla","fuerteventura","año",2017)</f>
        <v>1941432</v>
      </c>
      <c r="J30" s="43">
        <f t="shared" si="8"/>
        <v>4.8810424184800194E-2</v>
      </c>
      <c r="K30" s="43">
        <f>I30/$I$31</f>
        <v>0.78128582863264351</v>
      </c>
      <c r="L30" s="44">
        <f t="shared" si="4"/>
        <v>0.16392907208082463</v>
      </c>
      <c r="M30" s="69">
        <f>GETPIVOTDATA("pasajeros",'[1]Tabla dinamica islas ext'!$A$3,"País","Total","isla","lanzarote","año",2016)-GETPIVOTDATA("pasajeros",'[1]Tabla dinamica islas ext'!$A$3,"País","ESPAÑA","isla","lanzarote","año",2016)</f>
        <v>2009633</v>
      </c>
      <c r="N30" s="70">
        <f>GETPIVOTDATA("pasajeros",'[1]Tabla dinamica islas ext'!$A$3,"País","Total","isla","lanzarote","año",2017)-GETPIVOTDATA("pasajeros",'[1]Tabla dinamica islas ext'!$A$3,"País","ESPAÑA","isla","lanzarote","año",2017)</f>
        <v>2233288</v>
      </c>
      <c r="O30" s="42">
        <f t="shared" si="9"/>
        <v>0.1112914646604628</v>
      </c>
      <c r="P30" s="43">
        <f t="shared" si="2"/>
        <v>0.73028493135454797</v>
      </c>
      <c r="Q30" s="44">
        <f t="shared" si="5"/>
        <v>0.18857257402228905</v>
      </c>
      <c r="R30" s="39" t="s">
        <v>34</v>
      </c>
    </row>
    <row r="31" spans="2:18" ht="15" customHeight="1" x14ac:dyDescent="0.2">
      <c r="B31" s="71" t="s">
        <v>35</v>
      </c>
      <c r="C31" s="72">
        <f>SUM(C30,C9)</f>
        <v>4864689</v>
      </c>
      <c r="D31" s="73">
        <f>SUM(D30,D9)</f>
        <v>5257350</v>
      </c>
      <c r="E31" s="74">
        <f>IFERROR(D31/C31-1,"-")</f>
        <v>8.071656790392967E-2</v>
      </c>
      <c r="F31" s="75">
        <f>D31/$D$31</f>
        <v>1</v>
      </c>
      <c r="G31" s="76">
        <f>D31/$N$59</f>
        <v>0.29481734177698588</v>
      </c>
      <c r="H31" s="72">
        <f>SUM(H30,H9)</f>
        <v>2347590</v>
      </c>
      <c r="I31" s="73">
        <f>SUM(I30,I9)</f>
        <v>2484919</v>
      </c>
      <c r="J31" s="75">
        <f>IFERROR(I31/H31-1,"-")</f>
        <v>5.8497863766671321E-2</v>
      </c>
      <c r="K31" s="75">
        <f>I31/$I$31</f>
        <v>1</v>
      </c>
      <c r="L31" s="76">
        <f>I31/$N$59</f>
        <v>0.13934724036085214</v>
      </c>
      <c r="M31" s="72">
        <f>SUM(M30,M9)</f>
        <v>2752807</v>
      </c>
      <c r="N31" s="73">
        <f>SUM(N30,N9)</f>
        <v>3058105</v>
      </c>
      <c r="O31" s="75">
        <f>IFERROR(N31/M31-1,"-")</f>
        <v>0.11090425155123484</v>
      </c>
      <c r="P31" s="75">
        <f>N31/$N$31</f>
        <v>1</v>
      </c>
      <c r="Q31" s="76">
        <f>N31/$N$59</f>
        <v>0.17148989262174089</v>
      </c>
      <c r="R31" s="71" t="s">
        <v>35</v>
      </c>
    </row>
    <row r="32" spans="2:18" ht="5.25" customHeight="1" thickBot="1" x14ac:dyDescent="0.25"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</row>
    <row r="33" spans="2:18" ht="15" customHeight="1" x14ac:dyDescent="0.2">
      <c r="B33" s="3" t="s">
        <v>1</v>
      </c>
      <c r="C33" s="4" t="s">
        <v>36</v>
      </c>
      <c r="D33" s="5"/>
      <c r="E33" s="5"/>
      <c r="F33" s="5"/>
      <c r="G33" s="6"/>
      <c r="H33" s="7" t="s">
        <v>37</v>
      </c>
      <c r="I33" s="8"/>
      <c r="J33" s="8"/>
      <c r="K33" s="8"/>
      <c r="L33" s="9"/>
      <c r="M33" s="4" t="s">
        <v>38</v>
      </c>
      <c r="N33" s="5"/>
      <c r="O33" s="5"/>
      <c r="P33" s="5"/>
      <c r="Q33" s="6"/>
      <c r="R33" s="10" t="s">
        <v>1</v>
      </c>
    </row>
    <row r="34" spans="2:18" ht="36.75" customHeight="1" x14ac:dyDescent="0.2">
      <c r="B34" s="11"/>
      <c r="C34" s="21" t="str">
        <f>$C$6</f>
        <v>Acumulado octubre 2016</v>
      </c>
      <c r="D34" s="22" t="str">
        <f>$D$6</f>
        <v>Acumulado octubre 2017</v>
      </c>
      <c r="E34" s="13" t="s">
        <v>7</v>
      </c>
      <c r="F34" s="14" t="s">
        <v>8</v>
      </c>
      <c r="G34" s="15" t="s">
        <v>9</v>
      </c>
      <c r="H34" s="16" t="str">
        <f>$C$6</f>
        <v>Acumulado octubre 2016</v>
      </c>
      <c r="I34" s="17" t="str">
        <f>$D$6</f>
        <v>Acumulado octubre 2017</v>
      </c>
      <c r="J34" s="18" t="s">
        <v>7</v>
      </c>
      <c r="K34" s="19" t="s">
        <v>8</v>
      </c>
      <c r="L34" s="20" t="s">
        <v>9</v>
      </c>
      <c r="M34" s="21" t="str">
        <f>$C$6</f>
        <v>Acumulado octubre 2016</v>
      </c>
      <c r="N34" s="22" t="str">
        <f>$D$6</f>
        <v>Acumulado octubre 2017</v>
      </c>
      <c r="O34" s="23" t="s">
        <v>7</v>
      </c>
      <c r="P34" s="24" t="s">
        <v>8</v>
      </c>
      <c r="Q34" s="25" t="s">
        <v>9</v>
      </c>
      <c r="R34" s="26"/>
    </row>
    <row r="35" spans="2:18" ht="15" customHeight="1" x14ac:dyDescent="0.2">
      <c r="B35" s="27" t="s">
        <v>10</v>
      </c>
      <c r="C35" s="28">
        <f>GETPIVOTDATA("pasajeros",'[1]Tabla dinamica islas españoles'!$A$20,"isla","tenerife","año",2016)</f>
        <v>767002</v>
      </c>
      <c r="D35" s="29">
        <f>GETPIVOTDATA("pasajeros",'[1]Tabla dinamica islas españoles'!$A$20,"isla","tenerife","año",2017)</f>
        <v>911241</v>
      </c>
      <c r="E35" s="30">
        <f>IFERROR(D35/C35-1,"-")</f>
        <v>0.18805557221493552</v>
      </c>
      <c r="F35" s="31">
        <f t="shared" ref="F35:F59" si="15">D35/D$59</f>
        <v>0.13989986678484131</v>
      </c>
      <c r="G35" s="32">
        <f>D35/$N$35</f>
        <v>0.32263102401000421</v>
      </c>
      <c r="H35" s="28">
        <f>GETPIVOTDATA("pasajeros",'[1]Tabla dinamica islas españoles'!$A$20,"isla","la palma","año",2016)</f>
        <v>259178</v>
      </c>
      <c r="I35" s="29">
        <f>GETPIVOTDATA("pasajeros",'[1]Tabla dinamica islas españoles'!$A$20,"isla","la palma","año",2017)</f>
        <v>300607</v>
      </c>
      <c r="J35" s="78">
        <f>IFERROR(I35/H35-1,"-")</f>
        <v>0.15984767225613283</v>
      </c>
      <c r="K35" s="31">
        <f t="shared" ref="K35:K59" si="16">I35/I$59</f>
        <v>0.57957275338847436</v>
      </c>
      <c r="L35" s="32">
        <f>I35/$N$35</f>
        <v>0.10643193648505207</v>
      </c>
      <c r="M35" s="28">
        <f>GETPIVOTDATA("pasajeros",'[1]Tabla dinamica islas españoles'!$A$20,"año",2016)</f>
        <v>2428219</v>
      </c>
      <c r="N35" s="29">
        <f>GETPIVOTDATA("pasajeros",'[1]Tabla dinamica islas españoles'!$A$20,"año",2017)</f>
        <v>2824406</v>
      </c>
      <c r="O35" s="30">
        <f>IFERROR(N35/M35-1,"-")</f>
        <v>0.16315950085227082</v>
      </c>
      <c r="P35" s="31">
        <f t="shared" ref="P35:P59" si="17">N35/N$59</f>
        <v>0.15838471264400689</v>
      </c>
      <c r="Q35" s="32">
        <f>N35/$N$35</f>
        <v>1</v>
      </c>
      <c r="R35" s="27" t="s">
        <v>10</v>
      </c>
    </row>
    <row r="36" spans="2:18" ht="15" customHeight="1" x14ac:dyDescent="0.2">
      <c r="B36" s="33" t="s">
        <v>11</v>
      </c>
      <c r="C36" s="34">
        <f>GETPIVOTDATA("pasajeros",'[1]Tabla dinamica islas españoles'!$A$5,"isla","tenerife","año",2016)</f>
        <v>1306737</v>
      </c>
      <c r="D36" s="35">
        <f>GETPIVOTDATA("pasajeros",'[1]Tabla dinamica islas españoles'!$A$5,"isla","tenerife","año",2017)</f>
        <v>1376891</v>
      </c>
      <c r="E36" s="36">
        <f>IFERROR(D36/C36-1,"-")</f>
        <v>5.3686395961850097E-2</v>
      </c>
      <c r="F36" s="37">
        <f t="shared" si="15"/>
        <v>0.2113895966898405</v>
      </c>
      <c r="G36" s="38">
        <f>D36/$N$36</f>
        <v>0.43503129029373727</v>
      </c>
      <c r="H36" s="34">
        <f>GETPIVOTDATA("pasajeros",'[1]Tabla dinamica islas españoles'!$A$5,"isla","la palma","año",2016)</f>
        <v>63110</v>
      </c>
      <c r="I36" s="35">
        <f>GETPIVOTDATA("pasajeros",'[1]Tabla dinamica islas españoles'!$A$5,"isla","la palma","año",2017)</f>
        <v>61450</v>
      </c>
      <c r="J36" s="79">
        <f>IFERROR(I36/H36-1,"-")</f>
        <v>-2.6303279987323736E-2</v>
      </c>
      <c r="K36" s="37">
        <f t="shared" si="16"/>
        <v>0.11847610233867392</v>
      </c>
      <c r="L36" s="38">
        <f>I36/$N$36</f>
        <v>1.9415242592587326E-2</v>
      </c>
      <c r="M36" s="34">
        <f>GETPIVOTDATA("pasajeros",'[1]Tabla dinamica islas españoles'!$A$5,"año",2016)</f>
        <v>3068431</v>
      </c>
      <c r="N36" s="35">
        <f>GETPIVOTDATA("pasajeros",'[1]Tabla dinamica islas españoles'!$A$5,"año",2017)</f>
        <v>3165039</v>
      </c>
      <c r="O36" s="36">
        <f>IFERROR(N36/M36-1,"-")</f>
        <v>3.1484494844433497E-2</v>
      </c>
      <c r="P36" s="37">
        <f t="shared" si="17"/>
        <v>0.17748644937097391</v>
      </c>
      <c r="Q36" s="38">
        <f>N36/$N$36</f>
        <v>1</v>
      </c>
      <c r="R36" s="33" t="s">
        <v>11</v>
      </c>
    </row>
    <row r="37" spans="2:18" ht="15" x14ac:dyDescent="0.2">
      <c r="B37" s="39" t="s">
        <v>12</v>
      </c>
      <c r="C37" s="40">
        <f>GETPIVOTDATA("pasajeros",'[1]Tabla dinamica islas ext'!$A$3,"País","españa","isla"," tenerife","año",2016)</f>
        <v>2073739</v>
      </c>
      <c r="D37" s="41">
        <f>GETPIVOTDATA("pasajeros",'[1]Tabla dinamica islas ext'!$A$3,"País","españa","isla"," tenerife","año",2017)</f>
        <v>2288132</v>
      </c>
      <c r="E37" s="42">
        <f>IFERROR(D37/C37-1,"-")</f>
        <v>0.10338475574795103</v>
      </c>
      <c r="F37" s="43">
        <f t="shared" si="15"/>
        <v>0.35128946347468182</v>
      </c>
      <c r="G37" s="44">
        <f>D37/$N$37</f>
        <v>0.38202738317156265</v>
      </c>
      <c r="H37" s="40">
        <f>GETPIVOTDATA("pasajeros",'[1]Tabla dinamica islas ext'!$A$3,"País","españa","isla","la palma","año",2016)</f>
        <v>322288</v>
      </c>
      <c r="I37" s="41">
        <f>GETPIVOTDATA("pasajeros",'[1]Tabla dinamica islas ext'!$A$3,"País","españa","isla","la palma","año",2017)</f>
        <v>362057</v>
      </c>
      <c r="J37" s="42">
        <f>IFERROR(I37/H37-1,"-")</f>
        <v>0.12339584471032117</v>
      </c>
      <c r="K37" s="43">
        <f t="shared" si="16"/>
        <v>0.69804885572714825</v>
      </c>
      <c r="L37" s="44">
        <f>I37/$N$37</f>
        <v>6.0449173504389803E-2</v>
      </c>
      <c r="M37" s="40">
        <f>GETPIVOTDATA("pasajeros",'[1]Tabla dinamica islas ext'!$A$4,"País","ESPAÑA","isla","Fuerteventura","año",2016)+GETPIVOTDATA("pasajeros",'[1]Tabla dinamica islas ext'!$A$4,"País","ESPAÑA","isla","Gran Canaria","año",2016)+GETPIVOTDATA("pasajeros",'[1]Tabla dinamica islas ext'!$A$4,"País","ESPAÑA","isla","La Palma","año",2016)+GETPIVOTDATA("pasajeros",'[1]Tabla dinamica islas ext'!$A$4,"País","ESPAÑA","isla","Lanzarote","año",2016)+GETPIVOTDATA("pasajeros",'[1]Tabla dinamica islas ext'!$A$4,"País","ESPAÑA","isla"," Tenerife","año",2016)</f>
        <v>5496650</v>
      </c>
      <c r="N37" s="41">
        <f>GETPIVOTDATA("pasajeros",'[1]Tabla dinamica islas ext'!$A$4,"País","ESPAÑA","isla","Fuerteventura","año",2017)+GETPIVOTDATA("pasajeros",'[1]Tabla dinamica islas ext'!$A$4,"País","ESPAÑA","isla","Gran Canaria","año",2017)+GETPIVOTDATA("pasajeros",'[1]Tabla dinamica islas ext'!$A$4,"País","ESPAÑA","isla","La Palma","año",2017)+GETPIVOTDATA("pasajeros",'[1]Tabla dinamica islas ext'!$A$4,"País","ESPAÑA","isla","Lanzarote","año",2017)+GETPIVOTDATA("pasajeros",'[1]Tabla dinamica islas ext'!$A$4,"País","ESPAÑA","isla"," Tenerife","año",2017)</f>
        <v>5989445</v>
      </c>
      <c r="O37" s="42">
        <f>IFERROR(N37/M37-1,"-")</f>
        <v>8.965369816160762E-2</v>
      </c>
      <c r="P37" s="43">
        <f>N37/N$59</f>
        <v>0.3358711620149808</v>
      </c>
      <c r="Q37" s="44">
        <f>N37/$N$37</f>
        <v>1</v>
      </c>
      <c r="R37" s="39" t="s">
        <v>12</v>
      </c>
    </row>
    <row r="38" spans="2:18" ht="30" customHeight="1" x14ac:dyDescent="0.2">
      <c r="B38" s="45" t="s">
        <v>13</v>
      </c>
      <c r="C38" s="46">
        <f>C58+C36</f>
        <v>5242817</v>
      </c>
      <c r="D38" s="47">
        <f>D58+D36</f>
        <v>5602282</v>
      </c>
      <c r="E38" s="48">
        <f>IFERROR(D38/C38-1,"-")</f>
        <v>6.8563331506707126E-2</v>
      </c>
      <c r="F38" s="49">
        <f t="shared" si="15"/>
        <v>0.86010013321515866</v>
      </c>
      <c r="G38" s="50">
        <f>D38/$N38</f>
        <v>0.37328237616853921</v>
      </c>
      <c r="H38" s="46">
        <f>H58+H36</f>
        <v>188175</v>
      </c>
      <c r="I38" s="47">
        <f>I58+I36</f>
        <v>218063</v>
      </c>
      <c r="J38" s="48">
        <f>IFERROR(I38/H38-1,"-")</f>
        <v>0.15883087551481334</v>
      </c>
      <c r="K38" s="49">
        <f t="shared" si="16"/>
        <v>0.42042724661152564</v>
      </c>
      <c r="L38" s="50">
        <f>I38/$N38</f>
        <v>1.4529628246925124E-2</v>
      </c>
      <c r="M38" s="46">
        <f>M58+M36</f>
        <v>13994039</v>
      </c>
      <c r="N38" s="47">
        <f>N58+N36</f>
        <v>15008161</v>
      </c>
      <c r="O38" s="48">
        <f>IFERROR(N38/M38-1,"-")</f>
        <v>7.2468141613725612E-2</v>
      </c>
      <c r="P38" s="49">
        <f t="shared" si="17"/>
        <v>0.84161528735599311</v>
      </c>
      <c r="Q38" s="50">
        <f>N38/$N38</f>
        <v>1</v>
      </c>
      <c r="R38" s="45" t="s">
        <v>13</v>
      </c>
    </row>
    <row r="39" spans="2:18" ht="15" customHeight="1" x14ac:dyDescent="0.2">
      <c r="B39" s="51" t="s">
        <v>14</v>
      </c>
      <c r="C39" s="52">
        <f>GETPIVOTDATA("pasajeros",'[1]Tabla dinamica islas ext'!$A$4,"País","HOLANDA","isla"," tenerife","año",2016)</f>
        <v>142939</v>
      </c>
      <c r="D39" s="53">
        <f>GETPIVOTDATA("pasajeros",'[1]Tabla dinamica islas ext'!$A$4,"País","HOLANDA","isla"," tenerife","año",2017)</f>
        <v>159412</v>
      </c>
      <c r="E39" s="54">
        <f t="shared" ref="E39:E58" si="18">IFERROR(D39/C39-1,"-")</f>
        <v>0.11524496463526401</v>
      </c>
      <c r="F39" s="55">
        <f t="shared" si="15"/>
        <v>2.4474005849062022E-2</v>
      </c>
      <c r="G39" s="58">
        <f t="shared" ref="G39:G48" si="19">IFERROR(D39/$N39,"-")</f>
        <v>0.29291830509720335</v>
      </c>
      <c r="H39" s="56">
        <f>GETPIVOTDATA("pasajeros",'[1]Tabla dinamica islas ext'!$A$3,"País","HOLANDA","isla","la palma","año",2016)</f>
        <v>19572</v>
      </c>
      <c r="I39" s="57">
        <f>GETPIVOTDATA("pasajeros",'[1]Tabla dinamica islas ext'!$A$3,"País","HOLANDA","isla","la palma","año",2017)</f>
        <v>23411</v>
      </c>
      <c r="J39" s="80">
        <f t="shared" ref="J39:J58" si="20">IFERROR(I39/H39-1,"-")</f>
        <v>0.19614755773554049</v>
      </c>
      <c r="K39" s="55">
        <f t="shared" si="16"/>
        <v>4.5136599379181366E-2</v>
      </c>
      <c r="L39" s="58">
        <f t="shared" ref="L39:L49" si="21">IFERROR(I39/$N39,"-")</f>
        <v>4.3017529675498878E-2</v>
      </c>
      <c r="M39" s="52">
        <f t="shared" ref="M39:N54" si="22">SUM(C11,H11,M11,C39,H39)</f>
        <v>494938</v>
      </c>
      <c r="N39" s="53">
        <f t="shared" si="22"/>
        <v>544220</v>
      </c>
      <c r="O39" s="54">
        <f t="shared" ref="O39:O58" si="23">IFERROR(N39/M39-1,"-")</f>
        <v>9.9572067612509141E-2</v>
      </c>
      <c r="P39" s="55">
        <f t="shared" si="17"/>
        <v>3.051832077793399E-2</v>
      </c>
      <c r="Q39" s="38">
        <f t="shared" ref="Q39:Q49" si="24">IFERROR(N39/$N39,"-")</f>
        <v>1</v>
      </c>
      <c r="R39" s="51" t="s">
        <v>14</v>
      </c>
    </row>
    <row r="40" spans="2:18" ht="15" customHeight="1" x14ac:dyDescent="0.2">
      <c r="B40" s="59" t="s">
        <v>15</v>
      </c>
      <c r="C40" s="60">
        <f>GETPIVOTDATA("pasajeros",'[1]Tabla dinamica islas ext'!$A$4,"País","BELGICA","isla"," tenerife","año",2016)</f>
        <v>201552</v>
      </c>
      <c r="D40" s="61">
        <f>GETPIVOTDATA("pasajeros",'[1]Tabla dinamica islas ext'!$A$4,"País","BELGICA","isla"," tenerife","año",2017)</f>
        <v>210771</v>
      </c>
      <c r="E40" s="62">
        <f t="shared" si="18"/>
        <v>4.5740057156465896E-2</v>
      </c>
      <c r="F40" s="63">
        <f t="shared" si="15"/>
        <v>3.235898606637299E-2</v>
      </c>
      <c r="G40" s="64">
        <f t="shared" si="19"/>
        <v>0.5572252287502214</v>
      </c>
      <c r="H40" s="60">
        <f>GETPIVOTDATA("pasajeros",'[1]Tabla dinamica islas ext'!$A$3,"País","BELGICA","isla","la palma","año",2016)</f>
        <v>4545</v>
      </c>
      <c r="I40" s="61">
        <f>GETPIVOTDATA("pasajeros",'[1]Tabla dinamica islas ext'!$A$3,"País","BELGICA","isla","la palma","año",2017)</f>
        <v>4571</v>
      </c>
      <c r="J40" s="68">
        <f t="shared" si="20"/>
        <v>5.720572057205775E-3</v>
      </c>
      <c r="K40" s="63">
        <f t="shared" si="16"/>
        <v>8.8129253668035555E-3</v>
      </c>
      <c r="L40" s="64">
        <f t="shared" si="21"/>
        <v>1.2084568183560651E-2</v>
      </c>
      <c r="M40" s="60">
        <f t="shared" si="22"/>
        <v>363336</v>
      </c>
      <c r="N40" s="61">
        <f t="shared" si="22"/>
        <v>378251</v>
      </c>
      <c r="O40" s="62">
        <f t="shared" si="23"/>
        <v>4.105015743003726E-2</v>
      </c>
      <c r="P40" s="63">
        <f t="shared" si="17"/>
        <v>2.121124793755156E-2</v>
      </c>
      <c r="Q40" s="64">
        <f t="shared" si="24"/>
        <v>1</v>
      </c>
      <c r="R40" s="59" t="s">
        <v>15</v>
      </c>
    </row>
    <row r="41" spans="2:18" ht="15" customHeight="1" x14ac:dyDescent="0.2">
      <c r="B41" s="51" t="s">
        <v>16</v>
      </c>
      <c r="C41" s="52">
        <f>GETPIVOTDATA("pasajeros",'[1]Tabla dinamica islas ext'!$A$4,"País","ALEMANIA","isla"," tenerife","año",2016)</f>
        <v>690292</v>
      </c>
      <c r="D41" s="53">
        <f>GETPIVOTDATA("pasajeros",'[1]Tabla dinamica islas ext'!$A$4,"País","ALEMANIA","isla"," tenerife","año",2017)</f>
        <v>692717</v>
      </c>
      <c r="E41" s="54">
        <f t="shared" si="18"/>
        <v>3.5130060901762405E-3</v>
      </c>
      <c r="F41" s="55">
        <f t="shared" si="15"/>
        <v>0.10635058784623928</v>
      </c>
      <c r="G41" s="58">
        <f t="shared" si="19"/>
        <v>0.2634036144005652</v>
      </c>
      <c r="H41" s="56">
        <f>GETPIVOTDATA("pasajeros",'[1]Tabla dinamica islas ext'!$A$3,"País","ALEMANIA","isla","la palma","año",2016)</f>
        <v>69663</v>
      </c>
      <c r="I41" s="57">
        <f>GETPIVOTDATA("pasajeros",'[1]Tabla dinamica islas ext'!$A$3,"País","ALEMANIA","isla","la palma","año",2017)</f>
        <v>69985</v>
      </c>
      <c r="J41" s="80">
        <f t="shared" si="20"/>
        <v>4.6222528458434997E-3</v>
      </c>
      <c r="K41" s="55">
        <f t="shared" si="16"/>
        <v>0.13493165211020494</v>
      </c>
      <c r="L41" s="58">
        <f t="shared" si="21"/>
        <v>2.6611591680041857E-2</v>
      </c>
      <c r="M41" s="52">
        <f t="shared" si="22"/>
        <v>2571437</v>
      </c>
      <c r="N41" s="53">
        <f t="shared" si="22"/>
        <v>2629869</v>
      </c>
      <c r="O41" s="54">
        <f t="shared" si="23"/>
        <v>2.2723481073034346E-2</v>
      </c>
      <c r="P41" s="55">
        <f t="shared" si="17"/>
        <v>0.14747562703675809</v>
      </c>
      <c r="Q41" s="38">
        <f t="shared" si="24"/>
        <v>1</v>
      </c>
      <c r="R41" s="51" t="s">
        <v>16</v>
      </c>
    </row>
    <row r="42" spans="2:18" ht="15" customHeight="1" x14ac:dyDescent="0.2">
      <c r="B42" s="59" t="s">
        <v>17</v>
      </c>
      <c r="C42" s="60">
        <f>GETPIVOTDATA("pasajeros",'[1]Tabla dinamica islas ext'!$A$4,"País","FRANCIA","isla"," tenerife","año",2016)</f>
        <v>105158</v>
      </c>
      <c r="D42" s="61">
        <f>GETPIVOTDATA("pasajeros",'[1]Tabla dinamica islas ext'!$A$4,"País","FRANCIA","isla"," tenerife","año",2017)</f>
        <v>128675</v>
      </c>
      <c r="E42" s="62">
        <f t="shared" si="18"/>
        <v>0.22363491127636514</v>
      </c>
      <c r="F42" s="63">
        <f t="shared" si="15"/>
        <v>1.9755054215667926E-2</v>
      </c>
      <c r="G42" s="64">
        <f t="shared" si="19"/>
        <v>0.32035641907872786</v>
      </c>
      <c r="H42" s="60">
        <f>GETPIVOTDATA("pasajeros",'[1]Tabla dinamica islas ext'!$A$3,"País","FRANCIA","isla","la palma","año",2016)</f>
        <v>6991</v>
      </c>
      <c r="I42" s="61">
        <f>GETPIVOTDATA("pasajeros",'[1]Tabla dinamica islas ext'!$A$3,"País","FRANCIA","isla","la palma","año",2017)</f>
        <v>11166</v>
      </c>
      <c r="J42" s="68">
        <f t="shared" si="20"/>
        <v>0.59719639536546998</v>
      </c>
      <c r="K42" s="63">
        <f t="shared" si="16"/>
        <v>2.1528139279310545E-2</v>
      </c>
      <c r="L42" s="64">
        <f t="shared" si="21"/>
        <v>2.779949310614397E-2</v>
      </c>
      <c r="M42" s="60">
        <f t="shared" si="22"/>
        <v>397804</v>
      </c>
      <c r="N42" s="61">
        <f t="shared" si="22"/>
        <v>401662</v>
      </c>
      <c r="O42" s="62">
        <f t="shared" si="23"/>
        <v>9.6982433560246495E-3</v>
      </c>
      <c r="P42" s="63">
        <f t="shared" si="17"/>
        <v>2.2524070707262728E-2</v>
      </c>
      <c r="Q42" s="64">
        <f t="shared" si="24"/>
        <v>1</v>
      </c>
      <c r="R42" s="59" t="s">
        <v>17</v>
      </c>
    </row>
    <row r="43" spans="2:18" ht="15" customHeight="1" x14ac:dyDescent="0.2">
      <c r="B43" s="51" t="s">
        <v>18</v>
      </c>
      <c r="C43" s="52">
        <f>GETPIVOTDATA("pasajeros",'[1]Tabla dinamica islas ext'!$A$4,"País","REINO UNIDO","isla"," tenerife","año",2016)</f>
        <v>1858459</v>
      </c>
      <c r="D43" s="53">
        <f>GETPIVOTDATA("pasajeros",'[1]Tabla dinamica islas ext'!$A$4,"País","REINO UNIDO","isla"," tenerife","año",2017)</f>
        <v>1995373</v>
      </c>
      <c r="E43" s="54">
        <f t="shared" si="18"/>
        <v>7.3670713209169625E-2</v>
      </c>
      <c r="F43" s="55">
        <f t="shared" si="15"/>
        <v>0.30634312644631789</v>
      </c>
      <c r="G43" s="58">
        <f t="shared" si="19"/>
        <v>0.42441262807367786</v>
      </c>
      <c r="H43" s="56">
        <f>GETPIVOTDATA("pasajeros",'[1]Tabla dinamica islas ext'!$A$3,"País","REINO UNIDO","isla","la palma","año",2016)</f>
        <v>19960</v>
      </c>
      <c r="I43" s="57">
        <f>GETPIVOTDATA("pasajeros",'[1]Tabla dinamica islas ext'!$A$3,"País","REINO UNIDO","isla","la palma","año",2017)</f>
        <v>29582</v>
      </c>
      <c r="J43" s="80">
        <f t="shared" si="20"/>
        <v>0.48206412825651301</v>
      </c>
      <c r="K43" s="55">
        <f t="shared" si="16"/>
        <v>5.7034337825592384E-2</v>
      </c>
      <c r="L43" s="58">
        <f t="shared" si="21"/>
        <v>6.292043825227433E-3</v>
      </c>
      <c r="M43" s="52">
        <f t="shared" si="22"/>
        <v>4225471</v>
      </c>
      <c r="N43" s="53">
        <f t="shared" si="22"/>
        <v>4701493</v>
      </c>
      <c r="O43" s="54">
        <f t="shared" si="23"/>
        <v>0.112655370253399</v>
      </c>
      <c r="P43" s="55">
        <f t="shared" si="17"/>
        <v>0.26364645090075928</v>
      </c>
      <c r="Q43" s="38">
        <f t="shared" si="24"/>
        <v>1</v>
      </c>
      <c r="R43" s="51" t="s">
        <v>18</v>
      </c>
    </row>
    <row r="44" spans="2:18" ht="15" customHeight="1" x14ac:dyDescent="0.2">
      <c r="B44" s="59" t="s">
        <v>19</v>
      </c>
      <c r="C44" s="60">
        <f>GETPIVOTDATA("pasajeros",'[1]Tabla dinamica islas ext'!$A$4,"País","IRLANDA","isla"," tenerife","año",2016)</f>
        <v>103653</v>
      </c>
      <c r="D44" s="61">
        <f>GETPIVOTDATA("pasajeros",'[1]Tabla dinamica islas ext'!$A$4,"País","IRLANDA","isla"," tenerife","año",2017)</f>
        <v>115187</v>
      </c>
      <c r="E44" s="62">
        <f t="shared" si="18"/>
        <v>0.11127511987110839</v>
      </c>
      <c r="F44" s="63">
        <f t="shared" si="15"/>
        <v>1.7684285447368497E-2</v>
      </c>
      <c r="G44" s="64">
        <f t="shared" si="19"/>
        <v>0.25052688356797503</v>
      </c>
      <c r="H44" s="60">
        <f>GETPIVOTDATA("pasajeros",'[1]Tabla dinamica islas ext'!$A$3,"País","IRLANDA","isla","la palma","año",2016)</f>
        <v>0</v>
      </c>
      <c r="I44" s="61">
        <f>GETPIVOTDATA("pasajeros",'[1]Tabla dinamica islas ext'!$A$3,"País","IRLANDA","isla","la palma","año",2017)</f>
        <v>0</v>
      </c>
      <c r="J44" s="68" t="str">
        <f t="shared" si="20"/>
        <v>-</v>
      </c>
      <c r="K44" s="63">
        <f t="shared" si="16"/>
        <v>0</v>
      </c>
      <c r="L44" s="64">
        <f t="shared" si="21"/>
        <v>0</v>
      </c>
      <c r="M44" s="60">
        <f t="shared" si="22"/>
        <v>425248</v>
      </c>
      <c r="N44" s="61">
        <f t="shared" si="22"/>
        <v>459779</v>
      </c>
      <c r="O44" s="62">
        <f t="shared" si="23"/>
        <v>8.1202027993076964E-2</v>
      </c>
      <c r="P44" s="63">
        <f t="shared" si="17"/>
        <v>2.5783107950751005E-2</v>
      </c>
      <c r="Q44" s="64">
        <f t="shared" si="24"/>
        <v>1</v>
      </c>
      <c r="R44" s="59" t="s">
        <v>19</v>
      </c>
    </row>
    <row r="45" spans="2:18" ht="15" customHeight="1" x14ac:dyDescent="0.2">
      <c r="B45" s="51" t="s">
        <v>20</v>
      </c>
      <c r="C45" s="52">
        <f>GETPIVOTDATA("pasajeros",'[1]Tabla dinamica islas ext'!$A$4,"País","ITALIA","isla"," tenerife","año",2016)</f>
        <v>159656</v>
      </c>
      <c r="D45" s="53">
        <f>GETPIVOTDATA("pasajeros",'[1]Tabla dinamica islas ext'!$A$4,"País","ITALIA","isla"," tenerife","año",2017)</f>
        <v>178529</v>
      </c>
      <c r="E45" s="54">
        <f t="shared" si="18"/>
        <v>0.11821040236508495</v>
      </c>
      <c r="F45" s="55">
        <f t="shared" si="15"/>
        <v>2.7408976678212391E-2</v>
      </c>
      <c r="G45" s="58">
        <f t="shared" si="19"/>
        <v>0.39636733398014712</v>
      </c>
      <c r="H45" s="56">
        <f>GETPIVOTDATA("pasajeros",'[1]Tabla dinamica islas ext'!$A$3,"País","ITALIA","isla","la palma","año",2016)</f>
        <v>0</v>
      </c>
      <c r="I45" s="57">
        <f>GETPIVOTDATA("pasajeros",'[1]Tabla dinamica islas ext'!$A$3,"País","ITALIA","isla","la palma","año",2017)</f>
        <v>0</v>
      </c>
      <c r="J45" s="80" t="str">
        <f t="shared" si="20"/>
        <v>-</v>
      </c>
      <c r="K45" s="55">
        <f t="shared" si="16"/>
        <v>0</v>
      </c>
      <c r="L45" s="58">
        <f t="shared" si="21"/>
        <v>0</v>
      </c>
      <c r="M45" s="52">
        <f t="shared" si="22"/>
        <v>381588</v>
      </c>
      <c r="N45" s="53">
        <f t="shared" si="22"/>
        <v>450413</v>
      </c>
      <c r="O45" s="54">
        <f t="shared" si="23"/>
        <v>0.18036468652054038</v>
      </c>
      <c r="P45" s="55">
        <f t="shared" si="17"/>
        <v>2.5257889119384775E-2</v>
      </c>
      <c r="Q45" s="38">
        <f t="shared" si="24"/>
        <v>1</v>
      </c>
      <c r="R45" s="51" t="s">
        <v>20</v>
      </c>
    </row>
    <row r="46" spans="2:18" ht="15" customHeight="1" x14ac:dyDescent="0.2">
      <c r="B46" s="59" t="s">
        <v>21</v>
      </c>
      <c r="C46" s="60">
        <f>SUM(C47:C50)</f>
        <v>275610</v>
      </c>
      <c r="D46" s="61">
        <f>SUM(D47:D50)</f>
        <v>304143</v>
      </c>
      <c r="E46" s="62">
        <f t="shared" si="18"/>
        <v>0.10352672254272344</v>
      </c>
      <c r="F46" s="63">
        <f t="shared" si="15"/>
        <v>4.6694085520232291E-2</v>
      </c>
      <c r="G46" s="64">
        <f t="shared" si="19"/>
        <v>0.25412317340848722</v>
      </c>
      <c r="H46" s="60">
        <f>SUM(H47:H50)</f>
        <v>987</v>
      </c>
      <c r="I46" s="61">
        <f>SUM(I47:I50)</f>
        <v>13364</v>
      </c>
      <c r="J46" s="68">
        <f t="shared" si="20"/>
        <v>12.540020263424518</v>
      </c>
      <c r="K46" s="63">
        <f t="shared" si="16"/>
        <v>2.5765901247421289E-2</v>
      </c>
      <c r="L46" s="64">
        <f t="shared" si="21"/>
        <v>1.1166135960489057E-2</v>
      </c>
      <c r="M46" s="60">
        <f t="shared" si="22"/>
        <v>1098246</v>
      </c>
      <c r="N46" s="61">
        <f t="shared" si="22"/>
        <v>1196833</v>
      </c>
      <c r="O46" s="62">
        <f t="shared" si="23"/>
        <v>8.9767684107203705E-2</v>
      </c>
      <c r="P46" s="63">
        <f t="shared" si="17"/>
        <v>6.7115014905033021E-2</v>
      </c>
      <c r="Q46" s="64">
        <f t="shared" si="24"/>
        <v>1</v>
      </c>
      <c r="R46" s="59" t="s">
        <v>21</v>
      </c>
    </row>
    <row r="47" spans="2:18" ht="15" customHeight="1" x14ac:dyDescent="0.2">
      <c r="B47" s="65" t="s">
        <v>22</v>
      </c>
      <c r="C47" s="52">
        <f>GETPIVOTDATA("pasajeros",'[1]Tabla dinamica islas ext'!$A$4,"País","SUECIA","isla"," tenerife","año",2016)</f>
        <v>84935</v>
      </c>
      <c r="D47" s="53">
        <f>GETPIVOTDATA("pasajeros",'[1]Tabla dinamica islas ext'!$A$4,"País","SUECIA","isla"," tenerife","año",2017)</f>
        <v>96692</v>
      </c>
      <c r="E47" s="54">
        <f t="shared" si="18"/>
        <v>0.13842350032377704</v>
      </c>
      <c r="F47" s="55">
        <f t="shared" si="15"/>
        <v>1.4844808255071795E-2</v>
      </c>
      <c r="G47" s="58">
        <f t="shared" si="19"/>
        <v>0.23957680347873486</v>
      </c>
      <c r="H47" s="56">
        <f>GETPIVOTDATA("pasajeros",'[1]Tabla dinamica islas ext'!$A$3,"País","SUECIA","isla","la palma","año",2016)</f>
        <v>663</v>
      </c>
      <c r="I47" s="57">
        <f>GETPIVOTDATA("pasajeros",'[1]Tabla dinamica islas ext'!$A$3,"País","SUECIA","isla","la palma","año",2017)</f>
        <v>4072</v>
      </c>
      <c r="J47" s="80">
        <f t="shared" si="20"/>
        <v>5.1417797888386128</v>
      </c>
      <c r="K47" s="55">
        <f t="shared" si="16"/>
        <v>7.8508492876009795E-3</v>
      </c>
      <c r="L47" s="58">
        <f t="shared" si="21"/>
        <v>1.0089322216578501E-2</v>
      </c>
      <c r="M47" s="52">
        <f t="shared" si="22"/>
        <v>370235</v>
      </c>
      <c r="N47" s="53">
        <f t="shared" si="22"/>
        <v>403595</v>
      </c>
      <c r="O47" s="54">
        <f t="shared" si="23"/>
        <v>9.0104933353140515E-2</v>
      </c>
      <c r="P47" s="55">
        <f t="shared" si="17"/>
        <v>2.2632467888666841E-2</v>
      </c>
      <c r="Q47" s="38">
        <f t="shared" si="24"/>
        <v>1</v>
      </c>
      <c r="R47" s="65" t="s">
        <v>22</v>
      </c>
    </row>
    <row r="48" spans="2:18" ht="15" customHeight="1" x14ac:dyDescent="0.2">
      <c r="B48" s="66" t="s">
        <v>23</v>
      </c>
      <c r="C48" s="60">
        <f>GETPIVOTDATA("pasajeros",'[1]Tabla dinamica islas ext'!$A$4,"País","NORUEGA","isla"," tenerife","año",2016)</f>
        <v>57308</v>
      </c>
      <c r="D48" s="61">
        <f>GETPIVOTDATA("pasajeros",'[1]Tabla dinamica islas ext'!$A$4,"País","NORUEGA","isla"," tenerife","año",2017)</f>
        <v>64439</v>
      </c>
      <c r="E48" s="62">
        <f t="shared" si="18"/>
        <v>0.12443288895093185</v>
      </c>
      <c r="F48" s="63">
        <f t="shared" si="15"/>
        <v>9.8931100726903087E-3</v>
      </c>
      <c r="G48" s="64">
        <f t="shared" si="19"/>
        <v>0.1905520891859124</v>
      </c>
      <c r="H48" s="60">
        <f>GETPIVOTDATA("pasajeros",'[1]Tabla dinamica islas ext'!$A$3,"País","NORUEGA","isla","la palma","año",2016)</f>
        <v>0</v>
      </c>
      <c r="I48" s="61">
        <f>GETPIVOTDATA("pasajeros",'[1]Tabla dinamica islas ext'!$A$3,"País","NORUEGA","isla","la palma","año",2017)</f>
        <v>1789</v>
      </c>
      <c r="J48" s="68" t="str">
        <f t="shared" si="20"/>
        <v>-</v>
      </c>
      <c r="K48" s="63">
        <f t="shared" si="16"/>
        <v>3.4492066246360883E-3</v>
      </c>
      <c r="L48" s="64">
        <f t="shared" si="21"/>
        <v>5.2902386373717362E-3</v>
      </c>
      <c r="M48" s="60">
        <f t="shared" si="22"/>
        <v>312776</v>
      </c>
      <c r="N48" s="61">
        <f t="shared" si="22"/>
        <v>338170</v>
      </c>
      <c r="O48" s="62">
        <f t="shared" si="23"/>
        <v>8.1189093792362499E-2</v>
      </c>
      <c r="P48" s="63">
        <f t="shared" si="17"/>
        <v>1.8963618642229129E-2</v>
      </c>
      <c r="Q48" s="64">
        <f t="shared" si="24"/>
        <v>1</v>
      </c>
      <c r="R48" s="66" t="s">
        <v>23</v>
      </c>
    </row>
    <row r="49" spans="2:18" ht="15" customHeight="1" x14ac:dyDescent="0.2">
      <c r="B49" s="65" t="s">
        <v>24</v>
      </c>
      <c r="C49" s="52">
        <f>GETPIVOTDATA("pasajeros",'[1]Tabla dinamica islas ext'!$A$4,"País","DINAMARCA","isla"," tenerife","año",2016)</f>
        <v>73214</v>
      </c>
      <c r="D49" s="53">
        <f>GETPIVOTDATA("pasajeros",'[1]Tabla dinamica islas ext'!$A$4,"País","DINAMARCA","isla"," tenerife","año",2017)</f>
        <v>76976</v>
      </c>
      <c r="E49" s="54">
        <f t="shared" si="18"/>
        <v>5.1383615155571327E-2</v>
      </c>
      <c r="F49" s="55">
        <f t="shared" si="15"/>
        <v>1.1817874904256882E-2</v>
      </c>
      <c r="G49" s="58">
        <f>IFERROR(D49/$N49,"-")</f>
        <v>0.27557961363864186</v>
      </c>
      <c r="H49" s="56">
        <f>GETPIVOTDATA("pasajeros",'[1]Tabla dinamica islas ext'!$A$3,"País","DINAMARCA","isla","la palma","año",2016)</f>
        <v>324</v>
      </c>
      <c r="I49" s="57">
        <f>GETPIVOTDATA("pasajeros",'[1]Tabla dinamica islas ext'!$A$3,"País","DINAMARCA","isla","la palma","año",2017)</f>
        <v>5845</v>
      </c>
      <c r="J49" s="80">
        <f t="shared" si="20"/>
        <v>17.040123456790123</v>
      </c>
      <c r="K49" s="55">
        <f t="shared" si="16"/>
        <v>1.1269207781440993E-2</v>
      </c>
      <c r="L49" s="58">
        <f t="shared" si="21"/>
        <v>2.0925520184445302E-2</v>
      </c>
      <c r="M49" s="52">
        <f t="shared" si="22"/>
        <v>254244</v>
      </c>
      <c r="N49" s="53">
        <f t="shared" si="22"/>
        <v>279324</v>
      </c>
      <c r="O49" s="54">
        <f t="shared" si="23"/>
        <v>9.8645395761551846E-2</v>
      </c>
      <c r="P49" s="55">
        <f t="shared" si="17"/>
        <v>1.5663701137362894E-2</v>
      </c>
      <c r="Q49" s="38">
        <f t="shared" si="24"/>
        <v>1</v>
      </c>
      <c r="R49" s="65" t="s">
        <v>24</v>
      </c>
    </row>
    <row r="50" spans="2:18" ht="15" customHeight="1" x14ac:dyDescent="0.2">
      <c r="B50" s="66" t="s">
        <v>25</v>
      </c>
      <c r="C50" s="60">
        <f>GETPIVOTDATA("pasajeros",'[1]Tabla dinamica islas ext'!$A$4,"País","FINLANDIA","isla"," tenerife","año",2016)</f>
        <v>60153</v>
      </c>
      <c r="D50" s="61">
        <f>GETPIVOTDATA("pasajeros",'[1]Tabla dinamica islas ext'!$A$4,"País","FINLANDIA","isla"," tenerife","año",2017)</f>
        <v>66036</v>
      </c>
      <c r="E50" s="62">
        <f t="shared" si="18"/>
        <v>9.7800608448456394E-2</v>
      </c>
      <c r="F50" s="63">
        <f t="shared" si="15"/>
        <v>1.0138292288213306E-2</v>
      </c>
      <c r="G50" s="67">
        <f>IFERROR(D50/$N50,"-")</f>
        <v>0.37575109249817917</v>
      </c>
      <c r="H50" s="60">
        <f>GETPIVOTDATA("pasajeros",'[1]Tabla dinamica islas ext'!$A$3,"País","FINLANDIA","isla","la palma","año",2016)</f>
        <v>0</v>
      </c>
      <c r="I50" s="61">
        <f>GETPIVOTDATA("pasajeros",'[1]Tabla dinamica islas ext'!$A$3,"País","FINLANDIA","isla","la palma","año",2017)</f>
        <v>1658</v>
      </c>
      <c r="J50" s="68" t="str">
        <f t="shared" si="20"/>
        <v>-</v>
      </c>
      <c r="K50" s="63">
        <f t="shared" si="16"/>
        <v>3.1966375537432279E-3</v>
      </c>
      <c r="L50" s="67">
        <f>IFERROR(I50/$N50,"-")</f>
        <v>9.4341769847050248E-3</v>
      </c>
      <c r="M50" s="60">
        <f t="shared" si="22"/>
        <v>160991</v>
      </c>
      <c r="N50" s="61">
        <f t="shared" si="22"/>
        <v>175744</v>
      </c>
      <c r="O50" s="62">
        <f t="shared" si="23"/>
        <v>9.1638663030852552E-2</v>
      </c>
      <c r="P50" s="63">
        <f t="shared" si="17"/>
        <v>9.8552272367741552E-3</v>
      </c>
      <c r="Q50" s="64">
        <f>IFERROR(N50/$N50,"-")</f>
        <v>1</v>
      </c>
      <c r="R50" s="66" t="s">
        <v>25</v>
      </c>
    </row>
    <row r="51" spans="2:18" ht="15" customHeight="1" x14ac:dyDescent="0.2">
      <c r="B51" s="51" t="s">
        <v>26</v>
      </c>
      <c r="C51" s="52">
        <f>GETPIVOTDATA("pasajeros",'[1]Tabla dinamica islas ext'!$A$4,"País","SUIZA","isla"," tenerife","año",2016)</f>
        <v>83267</v>
      </c>
      <c r="D51" s="53">
        <f>GETPIVOTDATA("pasajeros",'[1]Tabla dinamica islas ext'!$A$4,"País","SUIZA","isla"," tenerife","año",2017)</f>
        <v>91221</v>
      </c>
      <c r="E51" s="54">
        <f t="shared" si="18"/>
        <v>9.5524037133558393E-2</v>
      </c>
      <c r="F51" s="55">
        <f t="shared" si="15"/>
        <v>1.4004863420302653E-2</v>
      </c>
      <c r="G51" s="58">
        <f t="shared" ref="G51:G57" si="25">IFERROR(D51/$N51,"-")</f>
        <v>0.33121289690104022</v>
      </c>
      <c r="H51" s="56">
        <f>GETPIVOTDATA("pasajeros",'[1]Tabla dinamica islas ext'!$A$3,"País","SUIZA","isla","la palma","año",2016)</f>
        <v>837</v>
      </c>
      <c r="I51" s="57">
        <f>GETPIVOTDATA("pasajeros",'[1]Tabla dinamica islas ext'!$A$3,"País","SUIZA","isla","la palma","año",2017)</f>
        <v>1761</v>
      </c>
      <c r="J51" s="80">
        <f t="shared" si="20"/>
        <v>1.1039426523297493</v>
      </c>
      <c r="K51" s="55">
        <f t="shared" si="16"/>
        <v>3.3952223957429578E-3</v>
      </c>
      <c r="L51" s="58">
        <f t="shared" ref="L51:L57" si="26">IFERROR(I51/$N51,"-")</f>
        <v>6.3939872555961001E-3</v>
      </c>
      <c r="M51" s="52">
        <f t="shared" si="22"/>
        <v>260569</v>
      </c>
      <c r="N51" s="53">
        <f t="shared" si="22"/>
        <v>275415</v>
      </c>
      <c r="O51" s="54">
        <f t="shared" si="23"/>
        <v>5.6975311721655375E-2</v>
      </c>
      <c r="P51" s="55">
        <f t="shared" si="17"/>
        <v>1.5444495455982305E-2</v>
      </c>
      <c r="Q51" s="38">
        <f t="shared" ref="Q51:Q57" si="27">IFERROR(N51/$N51,"-")</f>
        <v>1</v>
      </c>
      <c r="R51" s="51" t="s">
        <v>26</v>
      </c>
    </row>
    <row r="52" spans="2:18" ht="15" customHeight="1" x14ac:dyDescent="0.2">
      <c r="B52" s="59" t="s">
        <v>27</v>
      </c>
      <c r="C52" s="60">
        <f>GETPIVOTDATA("pasajeros",'[1]Tabla dinamica islas ext'!$A$4,"País","AUSTRIA","isla"," tenerife","año",2016)</f>
        <v>31935</v>
      </c>
      <c r="D52" s="61">
        <f>GETPIVOTDATA("pasajeros",'[1]Tabla dinamica islas ext'!$A$4,"País","AUSTRIA","isla"," tenerife","año",2017)</f>
        <v>32351</v>
      </c>
      <c r="E52" s="62">
        <f t="shared" si="18"/>
        <v>1.3026459996868578E-2</v>
      </c>
      <c r="F52" s="63">
        <f t="shared" si="15"/>
        <v>4.9667438036220951E-3</v>
      </c>
      <c r="G52" s="64">
        <f t="shared" si="25"/>
        <v>0.43020518889878856</v>
      </c>
      <c r="H52" s="60">
        <f>GETPIVOTDATA("pasajeros",'[1]Tabla dinamica islas ext'!$A$3,"País","AUSTRIA","isla","la palma","año",2016)</f>
        <v>0</v>
      </c>
      <c r="I52" s="61">
        <f>GETPIVOTDATA("pasajeros",'[1]Tabla dinamica islas ext'!$A$3,"País","AUSTRIA","isla","la palma","año",2017)</f>
        <v>0</v>
      </c>
      <c r="J52" s="68" t="str">
        <f t="shared" si="20"/>
        <v>-</v>
      </c>
      <c r="K52" s="63">
        <f t="shared" si="16"/>
        <v>0</v>
      </c>
      <c r="L52" s="64">
        <f t="shared" si="26"/>
        <v>0</v>
      </c>
      <c r="M52" s="60">
        <f t="shared" si="22"/>
        <v>66458</v>
      </c>
      <c r="N52" s="61">
        <f t="shared" si="22"/>
        <v>75199</v>
      </c>
      <c r="O52" s="62">
        <f t="shared" si="23"/>
        <v>0.13152667850371658</v>
      </c>
      <c r="P52" s="63">
        <f t="shared" si="17"/>
        <v>4.2169475656533353E-3</v>
      </c>
      <c r="Q52" s="64">
        <f t="shared" si="27"/>
        <v>1</v>
      </c>
      <c r="R52" s="59" t="s">
        <v>27</v>
      </c>
    </row>
    <row r="53" spans="2:18" ht="15" customHeight="1" x14ac:dyDescent="0.2">
      <c r="B53" s="51" t="s">
        <v>28</v>
      </c>
      <c r="C53" s="52">
        <f>GETPIVOTDATA("pasajeros",'[1]Tabla dinamica islas ext'!$A$4,"País","FEDERACION RUSA","isla"," tenerife","año",2016)</f>
        <v>65010</v>
      </c>
      <c r="D53" s="53">
        <f>GETPIVOTDATA("pasajeros",'[1]Tabla dinamica islas ext'!$A$4,"País","FEDERACION RUSA","isla"," tenerife","año",2017)</f>
        <v>58782</v>
      </c>
      <c r="E53" s="54">
        <f t="shared" si="18"/>
        <v>-9.5800646054453154E-2</v>
      </c>
      <c r="F53" s="55">
        <f t="shared" si="15"/>
        <v>9.0246092629134803E-3</v>
      </c>
      <c r="G53" s="58">
        <f t="shared" si="25"/>
        <v>0.99909917566074613</v>
      </c>
      <c r="H53" s="56">
        <f>GETPIVOTDATA("pasajeros",'[1]Tabla dinamica islas ext'!$A$3,"País","FEDERACION RUSA","isla","la palma","año",2016)</f>
        <v>0</v>
      </c>
      <c r="I53" s="57">
        <f>GETPIVOTDATA("pasajeros",'[1]Tabla dinamica islas ext'!$A$3,"País","FEDERACION RUSA","isla","la palma","año",2017)</f>
        <v>0</v>
      </c>
      <c r="J53" s="80" t="str">
        <f t="shared" si="20"/>
        <v>-</v>
      </c>
      <c r="K53" s="55">
        <f t="shared" si="16"/>
        <v>0</v>
      </c>
      <c r="L53" s="58">
        <f t="shared" si="26"/>
        <v>0</v>
      </c>
      <c r="M53" s="52">
        <f t="shared" si="22"/>
        <v>65104</v>
      </c>
      <c r="N53" s="53">
        <f t="shared" si="22"/>
        <v>58835</v>
      </c>
      <c r="O53" s="54">
        <f t="shared" si="23"/>
        <v>-9.6292086507741459E-2</v>
      </c>
      <c r="P53" s="55">
        <f t="shared" si="17"/>
        <v>3.2993006559291212E-3</v>
      </c>
      <c r="Q53" s="38">
        <f t="shared" si="27"/>
        <v>1</v>
      </c>
      <c r="R53" s="51" t="s">
        <v>28</v>
      </c>
    </row>
    <row r="54" spans="2:18" ht="15" customHeight="1" x14ac:dyDescent="0.2">
      <c r="B54" s="59" t="s">
        <v>30</v>
      </c>
      <c r="C54" s="60">
        <f>GETPIVOTDATA("pasajeros",'[1]Tabla dinamica islas ext'!$A$4,"País","REPUBLICA CHECA","isla"," tenerife","año",2016)</f>
        <v>18192</v>
      </c>
      <c r="D54" s="61">
        <f>GETPIVOTDATA("pasajeros",'[1]Tabla dinamica islas ext'!$A$4,"País","REPUBLICA CHECA","isla"," tenerife","año",2017)</f>
        <v>17529</v>
      </c>
      <c r="E54" s="62">
        <f t="shared" si="18"/>
        <v>-3.6444591029023754E-2</v>
      </c>
      <c r="F54" s="63">
        <f t="shared" si="15"/>
        <v>2.6911703543535501E-3</v>
      </c>
      <c r="G54" s="64">
        <f t="shared" si="25"/>
        <v>0.40888733379986003</v>
      </c>
      <c r="H54" s="60">
        <f>GETPIVOTDATA("pasajeros",'[1]Tabla dinamica islas ext'!$A$3,"País","REPUBLICA CHECA","isla","la palma","año",2016)</f>
        <v>0</v>
      </c>
      <c r="I54" s="61">
        <f>GETPIVOTDATA("pasajeros",'[1]Tabla dinamica islas ext'!$A$3,"País","REPUBLICA CHECA","isla","la palma","año",2017)</f>
        <v>0</v>
      </c>
      <c r="J54" s="68" t="str">
        <f t="shared" si="20"/>
        <v>-</v>
      </c>
      <c r="K54" s="63">
        <f t="shared" si="16"/>
        <v>0</v>
      </c>
      <c r="L54" s="64">
        <f t="shared" si="26"/>
        <v>0</v>
      </c>
      <c r="M54" s="60">
        <f t="shared" si="22"/>
        <v>42247</v>
      </c>
      <c r="N54" s="61">
        <f t="shared" si="22"/>
        <v>42870</v>
      </c>
      <c r="O54" s="62">
        <f t="shared" si="23"/>
        <v>1.4746609226690577E-2</v>
      </c>
      <c r="P54" s="63">
        <f t="shared" si="17"/>
        <v>2.4040285394693875E-3</v>
      </c>
      <c r="Q54" s="64">
        <f t="shared" si="27"/>
        <v>1</v>
      </c>
      <c r="R54" s="59" t="s">
        <v>30</v>
      </c>
    </row>
    <row r="55" spans="2:18" ht="15" customHeight="1" x14ac:dyDescent="0.2">
      <c r="B55" s="51" t="s">
        <v>31</v>
      </c>
      <c r="C55" s="52">
        <f>GETPIVOTDATA("pasajeros",'[1]Tabla dinamica islas ext'!$A$4,"País","POLONIA","isla"," tenerife","año",2016)</f>
        <v>104964</v>
      </c>
      <c r="D55" s="53">
        <f>GETPIVOTDATA("pasajeros",'[1]Tabla dinamica islas ext'!$A$4,"País","POLONIA","isla"," tenerife","año",2017)</f>
        <v>120171</v>
      </c>
      <c r="E55" s="54">
        <f t="shared" si="18"/>
        <v>0.144878243969361</v>
      </c>
      <c r="F55" s="55">
        <f t="shared" si="15"/>
        <v>1.8449462756176649E-2</v>
      </c>
      <c r="G55" s="58">
        <f t="shared" si="25"/>
        <v>0.38482304115590055</v>
      </c>
      <c r="H55" s="56">
        <f>GETPIVOTDATA("pasajeros",'[1]Tabla dinamica islas ext'!$A$3,"País","POLONIA","isla","la palma","año",2016)</f>
        <v>2459</v>
      </c>
      <c r="I55" s="57">
        <f>GETPIVOTDATA("pasajeros",'[1]Tabla dinamica islas ext'!$A$3,"País","POLONIA","isla","la palma","año",2017)</f>
        <v>2656</v>
      </c>
      <c r="J55" s="80">
        <f t="shared" si="20"/>
        <v>8.0113867425782859E-2</v>
      </c>
      <c r="K55" s="55">
        <f t="shared" si="16"/>
        <v>5.1207897121483799E-3</v>
      </c>
      <c r="L55" s="58">
        <f t="shared" si="26"/>
        <v>8.5052965966004434E-3</v>
      </c>
      <c r="M55" s="52">
        <f t="shared" ref="M55:N57" si="28">SUM(C27,H27,M27,C55,H55)</f>
        <v>275959</v>
      </c>
      <c r="N55" s="53">
        <f t="shared" si="28"/>
        <v>312276</v>
      </c>
      <c r="O55" s="54">
        <f t="shared" si="23"/>
        <v>0.13160288303697287</v>
      </c>
      <c r="P55" s="55">
        <f t="shared" si="17"/>
        <v>1.7511556244258049E-2</v>
      </c>
      <c r="Q55" s="38">
        <f t="shared" si="27"/>
        <v>1</v>
      </c>
      <c r="R55" s="51" t="s">
        <v>31</v>
      </c>
    </row>
    <row r="56" spans="2:18" ht="15" customHeight="1" x14ac:dyDescent="0.2">
      <c r="B56" s="59" t="s">
        <v>32</v>
      </c>
      <c r="C56" s="60">
        <f>GETPIVOTDATA("pasajeros",'[1]Tabla dinamica islas ext'!$A$4,"País","ESTADOS UNIDOS","isla"," tenerife","año",2016)</f>
        <v>37</v>
      </c>
      <c r="D56" s="61">
        <f>GETPIVOTDATA("pasajeros",'[1]Tabla dinamica islas ext'!$A$4,"País","ESTADOS UNIDOS","isla"," tenerife","año",2017)</f>
        <v>49</v>
      </c>
      <c r="E56" s="62">
        <f t="shared" si="18"/>
        <v>0.32432432432432434</v>
      </c>
      <c r="F56" s="63">
        <f t="shared" si="15"/>
        <v>7.5228106203048643E-6</v>
      </c>
      <c r="G56" s="67">
        <f t="shared" si="25"/>
        <v>0.80327868852459017</v>
      </c>
      <c r="H56" s="60">
        <f>GETPIVOTDATA("pasajeros",'[1]Tabla dinamica islas ext'!$A$3,"País","ESTADOS UNIDOS","isla","la palma","año",2016)</f>
        <v>0</v>
      </c>
      <c r="I56" s="61">
        <f>GETPIVOTDATA("pasajeros",'[1]Tabla dinamica islas ext'!$A$3,"País","ESTADOS UNIDOS","isla","la palma","año",2017)</f>
        <v>2</v>
      </c>
      <c r="J56" s="68" t="str">
        <f t="shared" si="20"/>
        <v>-</v>
      </c>
      <c r="K56" s="63">
        <f t="shared" si="16"/>
        <v>3.8560163495093217E-6</v>
      </c>
      <c r="L56" s="67">
        <f t="shared" si="26"/>
        <v>3.2786885245901641E-2</v>
      </c>
      <c r="M56" s="60">
        <f t="shared" si="28"/>
        <v>47</v>
      </c>
      <c r="N56" s="61">
        <f t="shared" si="28"/>
        <v>61</v>
      </c>
      <c r="O56" s="68">
        <f t="shared" si="23"/>
        <v>0.2978723404255319</v>
      </c>
      <c r="P56" s="63">
        <f t="shared" si="17"/>
        <v>3.4207077421887719E-6</v>
      </c>
      <c r="Q56" s="67">
        <f t="shared" si="27"/>
        <v>1</v>
      </c>
      <c r="R56" s="59" t="s">
        <v>32</v>
      </c>
    </row>
    <row r="57" spans="2:18" ht="15" customHeight="1" x14ac:dyDescent="0.2">
      <c r="B57" s="51" t="s">
        <v>33</v>
      </c>
      <c r="C57" s="52">
        <f>C58-SUM(C39:C45,C47:C56)</f>
        <v>95356</v>
      </c>
      <c r="D57" s="53">
        <f>D58-SUM(D39:D45,D47:D56)</f>
        <v>120481</v>
      </c>
      <c r="E57" s="54">
        <f t="shared" si="18"/>
        <v>0.26348630395570294</v>
      </c>
      <c r="F57" s="55">
        <f t="shared" si="15"/>
        <v>1.849705604785613E-2</v>
      </c>
      <c r="G57" s="58">
        <f t="shared" si="25"/>
        <v>0.38133173813412335</v>
      </c>
      <c r="H57" s="56">
        <f>H58-SUM(H39:H45,H47:H55)</f>
        <v>51</v>
      </c>
      <c r="I57" s="57">
        <f>I58-SUM(I39:I45,I47:I55)</f>
        <v>117</v>
      </c>
      <c r="J57" s="80">
        <f t="shared" si="20"/>
        <v>1.2941176470588234</v>
      </c>
      <c r="K57" s="55">
        <f t="shared" si="16"/>
        <v>2.2557695644629533E-4</v>
      </c>
      <c r="L57" s="58">
        <f t="shared" si="26"/>
        <v>3.7031410232063504E-4</v>
      </c>
      <c r="M57" s="52">
        <f t="shared" si="28"/>
        <v>257156</v>
      </c>
      <c r="N57" s="53">
        <f t="shared" si="28"/>
        <v>315948</v>
      </c>
      <c r="O57" s="54">
        <f t="shared" si="23"/>
        <v>0.22862387033551612</v>
      </c>
      <c r="P57" s="55">
        <f t="shared" si="17"/>
        <v>1.7717471634902591E-2</v>
      </c>
      <c r="Q57" s="38">
        <f t="shared" si="27"/>
        <v>1</v>
      </c>
      <c r="R57" s="51" t="s">
        <v>33</v>
      </c>
    </row>
    <row r="58" spans="2:18" ht="15" customHeight="1" x14ac:dyDescent="0.2">
      <c r="B58" s="39" t="s">
        <v>34</v>
      </c>
      <c r="C58" s="69">
        <f>GETPIVOTDATA("pasajeros",'[1]Tabla dinamica islas ext'!$A$4,"País","Total","isla"," tenerife","año",2016)-GETPIVOTDATA("pasajeros",'[1]Tabla dinamica islas ext'!$A$4,"País","ESPAÑA","isla"," tenerife","año",2016)</f>
        <v>3936080</v>
      </c>
      <c r="D58" s="70">
        <f>GETPIVOTDATA("pasajeros",'[1]Tabla dinamica islas ext'!$A$4,"País","Total","isla"," tenerife","año",2017)-GETPIVOTDATA("pasajeros",'[1]Tabla dinamica islas ext'!$A$4,"País","ESPAÑA","isla"," tenerife","año",2017)</f>
        <v>4225391</v>
      </c>
      <c r="E58" s="42">
        <f t="shared" si="18"/>
        <v>7.350231702607668E-2</v>
      </c>
      <c r="F58" s="43">
        <f t="shared" si="15"/>
        <v>0.64871053652531818</v>
      </c>
      <c r="G58" s="44">
        <f>D58/$N58</f>
        <v>0.35678016320358769</v>
      </c>
      <c r="H58" s="69">
        <f>GETPIVOTDATA("pasajeros",'[1]Tabla dinamica islas ext'!$A$3,"País","Total","isla","la palma","año",2016)-GETPIVOTDATA("pasajeros",'[1]Tabla dinamica islas ext'!$A$3,"País","ESPAÑA","isla","la palma","año",2016)</f>
        <v>125065</v>
      </c>
      <c r="I58" s="70">
        <f>GETPIVOTDATA("pasajeros",'[1]Tabla dinamica islas ext'!$A$3,"País","Total","isla","la palma","año",2017)-GETPIVOTDATA("pasajeros",'[1]Tabla dinamica islas ext'!$A$3,"País","ESPAÑA","isla","la palma","año",2017)</f>
        <v>156613</v>
      </c>
      <c r="J58" s="42">
        <f t="shared" si="20"/>
        <v>0.25225282852916475</v>
      </c>
      <c r="K58" s="43">
        <f t="shared" si="16"/>
        <v>0.30195114427285169</v>
      </c>
      <c r="L58" s="44">
        <f>I58/$N58</f>
        <v>1.322396239775289E-2</v>
      </c>
      <c r="M58" s="69">
        <f>SUM(C30,H30,M30,C58,H58)</f>
        <v>10925608</v>
      </c>
      <c r="N58" s="70">
        <f>SUM(D30,I30,N30,D58,I58)</f>
        <v>11843122</v>
      </c>
      <c r="O58" s="42">
        <f t="shared" si="23"/>
        <v>8.3978301253349041E-2</v>
      </c>
      <c r="P58" s="43">
        <f t="shared" si="17"/>
        <v>0.6641288379850192</v>
      </c>
      <c r="Q58" s="44">
        <f>N58/$N58</f>
        <v>1</v>
      </c>
      <c r="R58" s="39" t="s">
        <v>34</v>
      </c>
    </row>
    <row r="59" spans="2:18" ht="15" customHeight="1" x14ac:dyDescent="0.2">
      <c r="B59" s="71" t="s">
        <v>35</v>
      </c>
      <c r="C59" s="72">
        <f>SUM(C58,C37)</f>
        <v>6009819</v>
      </c>
      <c r="D59" s="73">
        <f>SUM(D58,D37)</f>
        <v>6513523</v>
      </c>
      <c r="E59" s="74">
        <f>IFERROR(D59/C59-1,"-")</f>
        <v>8.3813505864319682E-2</v>
      </c>
      <c r="F59" s="75">
        <f t="shared" si="15"/>
        <v>1</v>
      </c>
      <c r="G59" s="76">
        <f>D59/$N$59</f>
        <v>0.36525997631187929</v>
      </c>
      <c r="H59" s="72">
        <f>SUM(H58,H37)</f>
        <v>447353</v>
      </c>
      <c r="I59" s="73">
        <f>SUM(I58,I37)</f>
        <v>518670</v>
      </c>
      <c r="J59" s="74">
        <f>IFERROR(I59/H59-1,"-")</f>
        <v>0.15941996588823582</v>
      </c>
      <c r="K59" s="75">
        <f t="shared" si="16"/>
        <v>1</v>
      </c>
      <c r="L59" s="76">
        <f>I59/$N$59</f>
        <v>2.9085548928541809E-2</v>
      </c>
      <c r="M59" s="72">
        <f>SUM(M58,M37)</f>
        <v>16422258</v>
      </c>
      <c r="N59" s="73">
        <f>SUM(N58,N37)</f>
        <v>17832567</v>
      </c>
      <c r="O59" s="74">
        <f>IFERROR(N59/M59-1,"-")</f>
        <v>8.5877898155052756E-2</v>
      </c>
      <c r="P59" s="75">
        <f t="shared" si="17"/>
        <v>1</v>
      </c>
      <c r="Q59" s="76">
        <f>N59/$N$59</f>
        <v>1</v>
      </c>
      <c r="R59" s="71" t="s">
        <v>35</v>
      </c>
    </row>
    <row r="60" spans="2:18" ht="4.5" customHeight="1" x14ac:dyDescent="0.2">
      <c r="B60" s="81"/>
      <c r="C60" s="82"/>
      <c r="D60" s="82"/>
      <c r="E60" s="83"/>
      <c r="F60" s="83"/>
      <c r="G60" s="83"/>
      <c r="H60" s="82"/>
      <c r="I60" s="82"/>
      <c r="J60" s="83"/>
      <c r="K60" s="83"/>
      <c r="L60" s="83"/>
      <c r="M60" s="82"/>
      <c r="N60" s="82"/>
      <c r="O60" s="83"/>
      <c r="P60" s="83"/>
      <c r="Q60" s="83"/>
      <c r="R60" s="81"/>
    </row>
    <row r="61" spans="2:18" ht="15" customHeight="1" x14ac:dyDescent="0.2">
      <c r="B61" s="84" t="s">
        <v>39</v>
      </c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</row>
    <row r="62" spans="2:18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</row>
    <row r="63" spans="2:18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</row>
    <row r="64" spans="2:18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</row>
    <row r="65" spans="2:18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2:18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</row>
    <row r="67" spans="2:18" ht="41.25" customHeight="1" thickBot="1" x14ac:dyDescent="0.25">
      <c r="B67" s="1" t="str">
        <f>CONCATENATE("LLEGADA DE PASAJEROS DESDE AEROPUERTOS NACIONALES Y EXTRANJEROS TFN, TFS Y TOTAL TENERIFE 
(",D6,")")</f>
        <v>LLEGADA DE PASAJEROS DESDE AEROPUERTOS NACIONALES Y EXTRANJEROS TFN, TFS Y TOTAL TENERIFE 
(Acumulado octubre 2017)</v>
      </c>
      <c r="C67" s="1"/>
      <c r="D67" s="1"/>
      <c r="E67" s="1"/>
      <c r="F67" s="1"/>
      <c r="G67" s="1"/>
      <c r="H67" s="1"/>
      <c r="I67" s="1"/>
      <c r="J67" s="1"/>
      <c r="K67" s="1"/>
      <c r="L67" s="85"/>
      <c r="M67" s="85"/>
      <c r="N67" s="85"/>
      <c r="O67" s="85"/>
      <c r="P67" s="85"/>
      <c r="Q67" s="85"/>
      <c r="R67" s="85"/>
    </row>
    <row r="68" spans="2:18" ht="5.25" customHeight="1" thickBot="1" x14ac:dyDescent="0.25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5"/>
      <c r="M68" s="85"/>
      <c r="N68" s="85"/>
      <c r="O68" s="85"/>
      <c r="P68" s="85"/>
      <c r="Q68" s="85"/>
      <c r="R68" s="85"/>
    </row>
    <row r="69" spans="2:18" ht="12.75" customHeight="1" x14ac:dyDescent="0.2">
      <c r="B69" s="3" t="s">
        <v>1</v>
      </c>
      <c r="C69" s="4" t="s">
        <v>41</v>
      </c>
      <c r="D69" s="5"/>
      <c r="E69" s="5"/>
      <c r="F69" s="87" t="s">
        <v>42</v>
      </c>
      <c r="G69" s="88"/>
      <c r="H69" s="89"/>
      <c r="I69" s="5" t="s">
        <v>36</v>
      </c>
      <c r="J69" s="5"/>
      <c r="K69" s="5"/>
      <c r="L69" s="85"/>
      <c r="M69" s="85"/>
      <c r="N69" s="85"/>
      <c r="O69" s="85"/>
      <c r="P69" s="85"/>
      <c r="Q69" s="85"/>
      <c r="R69" s="85"/>
    </row>
    <row r="70" spans="2:18" ht="41.25" customHeight="1" x14ac:dyDescent="0.2">
      <c r="B70" s="11"/>
      <c r="C70" s="21" t="str">
        <f>$C$6</f>
        <v>Acumulado octubre 2016</v>
      </c>
      <c r="D70" s="22" t="str">
        <f>$D$6</f>
        <v>Acumulado octubre 2017</v>
      </c>
      <c r="E70" s="13" t="s">
        <v>7</v>
      </c>
      <c r="F70" s="16" t="str">
        <f>$C$6</f>
        <v>Acumulado octubre 2016</v>
      </c>
      <c r="G70" s="17" t="str">
        <f>$D$6</f>
        <v>Acumulado octubre 2017</v>
      </c>
      <c r="H70" s="18" t="s">
        <v>7</v>
      </c>
      <c r="I70" s="21" t="str">
        <f>$C$6</f>
        <v>Acumulado octubre 2016</v>
      </c>
      <c r="J70" s="22" t="str">
        <f>$D$6</f>
        <v>Acumulado octubre 2017</v>
      </c>
      <c r="K70" s="23" t="s">
        <v>7</v>
      </c>
      <c r="L70" s="85"/>
      <c r="M70" s="85"/>
      <c r="N70" s="85"/>
      <c r="O70" s="85"/>
      <c r="P70" s="85"/>
      <c r="Q70" s="85"/>
      <c r="R70" s="85"/>
    </row>
    <row r="71" spans="2:18" ht="15" customHeight="1" x14ac:dyDescent="0.2">
      <c r="B71" s="27" t="s">
        <v>10</v>
      </c>
      <c r="C71" s="28">
        <f>GETPIVOTDATA("pasajeros",'[1]Tabla dinamica islas españoles'!$A$56,"isla","TFN","año",2016)</f>
        <v>741707</v>
      </c>
      <c r="D71" s="29">
        <f>GETPIVOTDATA("pasajeros",'[1]Tabla dinamica islas españoles'!$A$56,"isla","TFN","año",2017)</f>
        <v>890527</v>
      </c>
      <c r="E71" s="78">
        <f>IFERROR(D71/C71-1,"-")</f>
        <v>0.20064526827979234</v>
      </c>
      <c r="F71" s="28">
        <f>GETPIVOTDATA("pasajeros",'[1]Tabla dinamica islas españoles'!$A$56,"isla","TFS","año",2016)</f>
        <v>25295</v>
      </c>
      <c r="G71" s="29">
        <f>GETPIVOTDATA("pasajeros",'[1]Tabla dinamica islas españoles'!$A$56,"isla","TFS","año",2017)</f>
        <v>20714</v>
      </c>
      <c r="H71" s="30">
        <f>IFERROR(G71/F71-1,"-")</f>
        <v>-0.18110298477960074</v>
      </c>
      <c r="I71" s="28">
        <f>GETPIVOTDATA("pasajeros",'[1]Tabla dinamica islas españoles'!$A$20,"isla","tenerife","año",2016)</f>
        <v>767002</v>
      </c>
      <c r="J71" s="29">
        <f>GETPIVOTDATA("pasajeros",'[1]Tabla dinamica islas españoles'!$A$20,"isla","tenerife","año",2017)</f>
        <v>911241</v>
      </c>
      <c r="K71" s="30">
        <f>IFERROR(J71/I71-1,"-")</f>
        <v>0.18805557221493552</v>
      </c>
      <c r="L71" s="85"/>
      <c r="M71" s="85"/>
      <c r="N71" s="85"/>
      <c r="O71" s="85"/>
      <c r="P71" s="85"/>
      <c r="Q71" s="85"/>
      <c r="R71" s="85"/>
    </row>
    <row r="72" spans="2:18" ht="15" customHeight="1" x14ac:dyDescent="0.2">
      <c r="B72" s="33" t="s">
        <v>11</v>
      </c>
      <c r="C72" s="34">
        <f>GETPIVOTDATA("pasajeros",'[1]Tabla dinamica islas españoles'!$A$41,"isla","TFN","año",2016)</f>
        <v>982821</v>
      </c>
      <c r="D72" s="35">
        <f>GETPIVOTDATA("pasajeros",'[1]Tabla dinamica islas españoles'!$A$41,"isla","TFN","año",2017)</f>
        <v>1019698</v>
      </c>
      <c r="E72" s="79">
        <f>IFERROR(D72/C72-1,"-")</f>
        <v>3.752158327915267E-2</v>
      </c>
      <c r="F72" s="34">
        <f>GETPIVOTDATA("pasajeros",'[1]Tabla dinamica islas españoles'!$A$41,"isla","TFS","año",2016)</f>
        <v>323916</v>
      </c>
      <c r="G72" s="35">
        <f>GETPIVOTDATA("pasajeros",'[1]Tabla dinamica islas españoles'!$A$41,"isla","TFS","año",2017)</f>
        <v>357193</v>
      </c>
      <c r="H72" s="36">
        <f>IFERROR(G72/F72-1,"-")</f>
        <v>0.10273342471504954</v>
      </c>
      <c r="I72" s="34">
        <f>GETPIVOTDATA("pasajeros",'[1]Tabla dinamica islas españoles'!$A$5,"isla","tenerife","año",2016)</f>
        <v>1306737</v>
      </c>
      <c r="J72" s="35">
        <f>GETPIVOTDATA("pasajeros",'[1]Tabla dinamica islas españoles'!$A$5,"isla","tenerife","año",2017)</f>
        <v>1376891</v>
      </c>
      <c r="K72" s="36">
        <f>IFERROR(J72/I72-1,"-")</f>
        <v>5.3686395961850097E-2</v>
      </c>
      <c r="L72" s="85"/>
      <c r="M72" s="85"/>
      <c r="N72" s="85"/>
      <c r="O72" s="85"/>
      <c r="P72" s="85"/>
      <c r="Q72" s="85"/>
      <c r="R72" s="85"/>
    </row>
    <row r="73" spans="2:18" ht="15" customHeight="1" x14ac:dyDescent="0.2">
      <c r="B73" s="39" t="s">
        <v>12</v>
      </c>
      <c r="C73" s="40">
        <f>GETPIVOTDATA("pasajeros",'[1]Tabla dinamica islas ext'!$A$46,"País","españa","isla","TFN","año",2016)</f>
        <v>1724528</v>
      </c>
      <c r="D73" s="41">
        <f>GETPIVOTDATA("pasajeros",'[1]Tabla dinamica islas ext'!$A$46,"País","españa","isla","TFN","año",2017)</f>
        <v>1910225</v>
      </c>
      <c r="E73" s="43">
        <f>IFERROR(D73/C73-1,"-")</f>
        <v>0.10767989849976334</v>
      </c>
      <c r="F73" s="40">
        <f>GETPIVOTDATA("pasajeros",'[1]Tabla dinamica islas ext'!$A$46,"País","españa","isla","TFS","año",2016)</f>
        <v>349211</v>
      </c>
      <c r="G73" s="41">
        <f>GETPIVOTDATA("pasajeros",'[1]Tabla dinamica islas ext'!$A$46,"País","españa","isla","TFS","año",2017)</f>
        <v>377907</v>
      </c>
      <c r="H73" s="43">
        <f>IFERROR(G73/F73-1,"-")</f>
        <v>8.2173814685104318E-2</v>
      </c>
      <c r="I73" s="40">
        <f>GETPIVOTDATA("pasajeros",'[1]Tabla dinamica islas ext'!$A$3,"País","españa","isla"," tenerife","año",2016)</f>
        <v>2073739</v>
      </c>
      <c r="J73" s="41">
        <f>GETPIVOTDATA("pasajeros",'[1]Tabla dinamica islas ext'!$A$3,"País","españa","isla"," tenerife","año",2017)</f>
        <v>2288132</v>
      </c>
      <c r="K73" s="43">
        <f>IFERROR(J73/I73-1,"-")</f>
        <v>0.10338475574795103</v>
      </c>
      <c r="L73" s="85"/>
      <c r="M73" s="85"/>
      <c r="N73" s="85"/>
      <c r="O73" s="85"/>
      <c r="P73" s="85"/>
      <c r="Q73" s="85"/>
      <c r="R73" s="85"/>
    </row>
    <row r="74" spans="2:18" ht="30" customHeight="1" x14ac:dyDescent="0.2">
      <c r="B74" s="45" t="s">
        <v>13</v>
      </c>
      <c r="C74" s="46">
        <f>C94+C72</f>
        <v>1014736</v>
      </c>
      <c r="D74" s="47">
        <f>D94+D72</f>
        <v>1038566</v>
      </c>
      <c r="E74" s="49">
        <f>IFERROR(D74/C74-1,"-")</f>
        <v>2.3483940650573132E-2</v>
      </c>
      <c r="F74" s="46">
        <f>F94+F72</f>
        <v>4228081</v>
      </c>
      <c r="G74" s="47">
        <f>G94+G72</f>
        <v>4563716</v>
      </c>
      <c r="H74" s="49">
        <f>IFERROR(G74/F74-1,"-")</f>
        <v>7.9382348635231859E-2</v>
      </c>
      <c r="I74" s="46">
        <f>I94+I72</f>
        <v>5242817</v>
      </c>
      <c r="J74" s="47">
        <f>J94+J72</f>
        <v>5602282</v>
      </c>
      <c r="K74" s="49">
        <f>IFERROR(J74/I74-1,"-")</f>
        <v>6.8563331506707126E-2</v>
      </c>
      <c r="L74" s="85"/>
      <c r="M74" s="85"/>
      <c r="N74" s="85"/>
      <c r="O74" s="85"/>
      <c r="P74" s="85"/>
      <c r="Q74" s="85"/>
      <c r="R74" s="85"/>
    </row>
    <row r="75" spans="2:18" ht="15" customHeight="1" x14ac:dyDescent="0.2">
      <c r="B75" s="51" t="s">
        <v>14</v>
      </c>
      <c r="C75" s="52">
        <f>GETPIVOTDATA("pasajeros",'[1]Tabla dinamica islas ext'!$A$46,"País","HOLANDA","isla","TFN","año",2016)</f>
        <v>170</v>
      </c>
      <c r="D75" s="53">
        <f>GETPIVOTDATA("pasajeros",'[1]Tabla dinamica islas ext'!$A$46,"País","HOLANDA","isla","TFN","año",2017)</f>
        <v>6</v>
      </c>
      <c r="E75" s="80">
        <f t="shared" ref="E75:E94" si="29">IFERROR(D75/C75-1,"-")</f>
        <v>-0.96470588235294119</v>
      </c>
      <c r="F75" s="56">
        <f>GETPIVOTDATA("pasajeros",'[1]Tabla dinamica islas ext'!$A$46,"País","HOLANDA","isla","TFS","año",2016)</f>
        <v>142769</v>
      </c>
      <c r="G75" s="57">
        <f>GETPIVOTDATA("pasajeros",'[1]Tabla dinamica islas ext'!$A$46,"País","HOLANDA","isla","TFS","año",2017)</f>
        <v>159406</v>
      </c>
      <c r="H75" s="54">
        <f t="shared" ref="H75:H94" si="30">IFERROR(G75/F75-1,"-")</f>
        <v>0.1165308995650316</v>
      </c>
      <c r="I75" s="52">
        <f>GETPIVOTDATA("pasajeros",'[1]Tabla dinamica islas ext'!$A$4,"País","HOLANDA","isla"," tenerife","año",2016)</f>
        <v>142939</v>
      </c>
      <c r="J75" s="53">
        <f>GETPIVOTDATA("pasajeros",'[1]Tabla dinamica islas ext'!$A$4,"País","HOLANDA","isla"," tenerife","año",2017)</f>
        <v>159412</v>
      </c>
      <c r="K75" s="54">
        <f t="shared" ref="K75:K94" si="31">IFERROR(J75/I75-1,"-")</f>
        <v>0.11524496463526401</v>
      </c>
      <c r="L75" s="85"/>
      <c r="M75" s="85"/>
      <c r="N75" s="85"/>
      <c r="O75" s="85"/>
      <c r="P75" s="85"/>
      <c r="Q75" s="85"/>
      <c r="R75" s="85"/>
    </row>
    <row r="76" spans="2:18" ht="15" customHeight="1" x14ac:dyDescent="0.2">
      <c r="B76" s="59" t="s">
        <v>15</v>
      </c>
      <c r="C76" s="60">
        <f>GETPIVOTDATA("pasajeros",'[1]Tabla dinamica islas ext'!$A$46,"País","BELGICA","isla","TFN","año",2016)</f>
        <v>185</v>
      </c>
      <c r="D76" s="61">
        <f>GETPIVOTDATA("pasajeros",'[1]Tabla dinamica islas ext'!$A$46,"País","BELGICA","isla","TFN","año",2017)</f>
        <v>0</v>
      </c>
      <c r="E76" s="68">
        <f t="shared" si="29"/>
        <v>-1</v>
      </c>
      <c r="F76" s="60">
        <f>GETPIVOTDATA("pasajeros",'[1]Tabla dinamica islas ext'!$A$46,"País","BELGICA","isla","TFS","año",2016)</f>
        <v>201367</v>
      </c>
      <c r="G76" s="61">
        <f>GETPIVOTDATA("pasajeros",'[1]Tabla dinamica islas ext'!$A$46,"País","BELGICA","isla","TFS","año",2017)</f>
        <v>210771</v>
      </c>
      <c r="H76" s="62">
        <f t="shared" si="30"/>
        <v>4.6700800031782785E-2</v>
      </c>
      <c r="I76" s="60">
        <f>GETPIVOTDATA("pasajeros",'[1]Tabla dinamica islas ext'!$A$4,"País","BELGICA","isla"," tenerife","año",2016)</f>
        <v>201552</v>
      </c>
      <c r="J76" s="61">
        <f>GETPIVOTDATA("pasajeros",'[1]Tabla dinamica islas ext'!$A$4,"País","BELGICA","isla"," tenerife","año",2017)</f>
        <v>210771</v>
      </c>
      <c r="K76" s="62">
        <f t="shared" si="31"/>
        <v>4.5740057156465896E-2</v>
      </c>
      <c r="L76" s="85"/>
      <c r="M76" s="85"/>
      <c r="N76" s="85"/>
      <c r="O76" s="85"/>
      <c r="P76" s="85"/>
      <c r="Q76" s="85"/>
      <c r="R76" s="85"/>
    </row>
    <row r="77" spans="2:18" ht="15" customHeight="1" x14ac:dyDescent="0.2">
      <c r="B77" s="51" t="s">
        <v>16</v>
      </c>
      <c r="C77" s="52">
        <f>GETPIVOTDATA("pasajeros",'[1]Tabla dinamica islas ext'!$A$46,"País","ALEMANIA","isla","TFN","año",2016)</f>
        <v>11</v>
      </c>
      <c r="D77" s="53">
        <f>GETPIVOTDATA("pasajeros",'[1]Tabla dinamica islas ext'!$A$46,"País","ALEMANIA","isla","TFN","año",2017)</f>
        <v>11</v>
      </c>
      <c r="E77" s="80">
        <f t="shared" si="29"/>
        <v>0</v>
      </c>
      <c r="F77" s="56">
        <f>GETPIVOTDATA("pasajeros",'[1]Tabla dinamica islas ext'!$A$46,"País","ALEMANIA","isla","TFS","año",2016)</f>
        <v>690281</v>
      </c>
      <c r="G77" s="57">
        <f>GETPIVOTDATA("pasajeros",'[1]Tabla dinamica islas ext'!$A$46,"País","ALEMANIA","isla","TFS","año",2017)</f>
        <v>692706</v>
      </c>
      <c r="H77" s="54">
        <f t="shared" si="30"/>
        <v>3.5130620718228922E-3</v>
      </c>
      <c r="I77" s="52">
        <f>GETPIVOTDATA("pasajeros",'[1]Tabla dinamica islas ext'!$A$4,"País","ALEMANIA","isla"," tenerife","año",2016)</f>
        <v>690292</v>
      </c>
      <c r="J77" s="53">
        <f>GETPIVOTDATA("pasajeros",'[1]Tabla dinamica islas ext'!$A$4,"País","ALEMANIA","isla"," tenerife","año",2017)</f>
        <v>692717</v>
      </c>
      <c r="K77" s="54">
        <f t="shared" si="31"/>
        <v>3.5130060901762405E-3</v>
      </c>
      <c r="L77" s="85"/>
      <c r="M77" s="85"/>
      <c r="N77" s="85"/>
      <c r="O77" s="85"/>
      <c r="P77" s="85"/>
      <c r="Q77" s="85"/>
      <c r="R77" s="85"/>
    </row>
    <row r="78" spans="2:18" ht="15" customHeight="1" x14ac:dyDescent="0.2">
      <c r="B78" s="59" t="s">
        <v>17</v>
      </c>
      <c r="C78" s="60">
        <f>GETPIVOTDATA("pasajeros",'[1]Tabla dinamica islas ext'!$A$46,"País","FRANCIA","isla","TFN","año",2016)</f>
        <v>3320</v>
      </c>
      <c r="D78" s="61">
        <f>GETPIVOTDATA("pasajeros",'[1]Tabla dinamica islas ext'!$A$46,"País","FRANCIA","isla","TFN","año",2017)</f>
        <v>184</v>
      </c>
      <c r="E78" s="68">
        <f t="shared" si="29"/>
        <v>-0.944578313253012</v>
      </c>
      <c r="F78" s="60">
        <f>GETPIVOTDATA("pasajeros",'[1]Tabla dinamica islas ext'!$A$46,"País","FRANCIA","isla","TFS","año",2016)</f>
        <v>101838</v>
      </c>
      <c r="G78" s="61">
        <f>GETPIVOTDATA("pasajeros",'[1]Tabla dinamica islas ext'!$A$46,"País","FRANCIA","isla","TFS","año",2017)</f>
        <v>128491</v>
      </c>
      <c r="H78" s="62">
        <f t="shared" si="30"/>
        <v>0.26171959386476562</v>
      </c>
      <c r="I78" s="60">
        <f>GETPIVOTDATA("pasajeros",'[1]Tabla dinamica islas ext'!$A$4,"País","FRANCIA","isla"," tenerife","año",2016)</f>
        <v>105158</v>
      </c>
      <c r="J78" s="61">
        <f>GETPIVOTDATA("pasajeros",'[1]Tabla dinamica islas ext'!$A$4,"País","FRANCIA","isla"," tenerife","año",2017)</f>
        <v>128675</v>
      </c>
      <c r="K78" s="62">
        <f t="shared" si="31"/>
        <v>0.22363491127636514</v>
      </c>
      <c r="L78" s="85"/>
      <c r="M78" s="85"/>
      <c r="N78" s="85"/>
      <c r="O78" s="85"/>
      <c r="P78" s="85"/>
      <c r="Q78" s="85"/>
      <c r="R78" s="85"/>
    </row>
    <row r="79" spans="2:18" ht="15" customHeight="1" x14ac:dyDescent="0.2">
      <c r="B79" s="51" t="s">
        <v>18</v>
      </c>
      <c r="C79" s="52">
        <f>GETPIVOTDATA("pasajeros",'[1]Tabla dinamica islas ext'!$A$46,"País","REINO UNIDO","isla","TFN","año",2016)</f>
        <v>16100</v>
      </c>
      <c r="D79" s="53">
        <f>GETPIVOTDATA("pasajeros",'[1]Tabla dinamica islas ext'!$A$46,"País","REINO UNIDO","isla","TFN","año",2017)</f>
        <v>361</v>
      </c>
      <c r="E79" s="80">
        <f t="shared" si="29"/>
        <v>-0.97757763975155276</v>
      </c>
      <c r="F79" s="56">
        <f>GETPIVOTDATA("pasajeros",'[1]Tabla dinamica islas ext'!$A$46,"País","REINO UNIDO","isla","TFS","año",2016)</f>
        <v>1842359</v>
      </c>
      <c r="G79" s="57">
        <f>GETPIVOTDATA("pasajeros",'[1]Tabla dinamica islas ext'!$A$46,"País","REINO UNIDO","isla","TFS","año",2017)</f>
        <v>1995012</v>
      </c>
      <c r="H79" s="54">
        <f t="shared" si="30"/>
        <v>8.2857358419287541E-2</v>
      </c>
      <c r="I79" s="52">
        <f>GETPIVOTDATA("pasajeros",'[1]Tabla dinamica islas ext'!$A$4,"País","REINO UNIDO","isla"," tenerife","año",2016)</f>
        <v>1858459</v>
      </c>
      <c r="J79" s="53">
        <f>GETPIVOTDATA("pasajeros",'[1]Tabla dinamica islas ext'!$A$4,"País","REINO UNIDO","isla"," tenerife","año",2017)</f>
        <v>1995373</v>
      </c>
      <c r="K79" s="54">
        <f t="shared" si="31"/>
        <v>7.3670713209169625E-2</v>
      </c>
      <c r="L79" s="85"/>
      <c r="M79" s="85"/>
      <c r="N79" s="85"/>
      <c r="O79" s="85"/>
      <c r="P79" s="85"/>
      <c r="Q79" s="85"/>
      <c r="R79" s="85"/>
    </row>
    <row r="80" spans="2:18" ht="15" customHeight="1" x14ac:dyDescent="0.2">
      <c r="B80" s="59" t="s">
        <v>19</v>
      </c>
      <c r="C80" s="60">
        <f>GETPIVOTDATA("pasajeros",'[1]Tabla dinamica islas ext'!$A$46,"País","IRLANDA","isla","TFN","año",2016)</f>
        <v>167</v>
      </c>
      <c r="D80" s="61">
        <f>GETPIVOTDATA("pasajeros",'[1]Tabla dinamica islas ext'!$A$46,"País","IRLANDA","isla","TFN","año",2017)</f>
        <v>177</v>
      </c>
      <c r="E80" s="68">
        <f t="shared" si="29"/>
        <v>5.9880239520958112E-2</v>
      </c>
      <c r="F80" s="60">
        <f>GETPIVOTDATA("pasajeros",'[1]Tabla dinamica islas ext'!$A$46,"País","IRLANDA","isla","TFS","año",2016)</f>
        <v>103486</v>
      </c>
      <c r="G80" s="61">
        <f>GETPIVOTDATA("pasajeros",'[1]Tabla dinamica islas ext'!$A$46,"País","IRLANDA","isla","TFS","año",2017)</f>
        <v>115010</v>
      </c>
      <c r="H80" s="62">
        <f t="shared" si="30"/>
        <v>0.1113580580948148</v>
      </c>
      <c r="I80" s="60">
        <f>GETPIVOTDATA("pasajeros",'[1]Tabla dinamica islas ext'!$A$4,"País","IRLANDA","isla"," tenerife","año",2016)</f>
        <v>103653</v>
      </c>
      <c r="J80" s="61">
        <f>GETPIVOTDATA("pasajeros",'[1]Tabla dinamica islas ext'!$A$4,"País","IRLANDA","isla"," tenerife","año",2017)</f>
        <v>115187</v>
      </c>
      <c r="K80" s="62">
        <f t="shared" si="31"/>
        <v>0.11127511987110839</v>
      </c>
      <c r="L80" s="85"/>
      <c r="M80" s="85"/>
      <c r="N80" s="85"/>
      <c r="O80" s="85"/>
      <c r="P80" s="85"/>
      <c r="Q80" s="85"/>
      <c r="R80" s="85"/>
    </row>
    <row r="81" spans="2:18" ht="15" customHeight="1" x14ac:dyDescent="0.2">
      <c r="B81" s="51" t="s">
        <v>20</v>
      </c>
      <c r="C81" s="52">
        <f>GETPIVOTDATA("pasajeros",'[1]Tabla dinamica islas ext'!$A$46,"País","ITALIA","isla","TFN","año",2016)</f>
        <v>183</v>
      </c>
      <c r="D81" s="53">
        <f>GETPIVOTDATA("pasajeros",'[1]Tabla dinamica islas ext'!$A$46,"País","ITALIA","isla","TFN","año",2017)</f>
        <v>3922</v>
      </c>
      <c r="E81" s="80">
        <f t="shared" si="29"/>
        <v>20.431693989071039</v>
      </c>
      <c r="F81" s="56">
        <f>GETPIVOTDATA("pasajeros",'[1]Tabla dinamica islas ext'!$A$46,"País","ITALIA","isla","TFS","año",2016)</f>
        <v>159473</v>
      </c>
      <c r="G81" s="57">
        <f>GETPIVOTDATA("pasajeros",'[1]Tabla dinamica islas ext'!$A$46,"País","ITALIA","isla","TFS","año",2017)</f>
        <v>174607</v>
      </c>
      <c r="H81" s="54">
        <f t="shared" si="30"/>
        <v>9.4900077129043803E-2</v>
      </c>
      <c r="I81" s="52">
        <f>GETPIVOTDATA("pasajeros",'[1]Tabla dinamica islas ext'!$A$4,"País","ITALIA","isla"," tenerife","año",2016)</f>
        <v>159656</v>
      </c>
      <c r="J81" s="53">
        <f>GETPIVOTDATA("pasajeros",'[1]Tabla dinamica islas ext'!$A$4,"País","ITALIA","isla"," tenerife","año",2017)</f>
        <v>178529</v>
      </c>
      <c r="K81" s="54">
        <f t="shared" si="31"/>
        <v>0.11821040236508495</v>
      </c>
      <c r="L81" s="85"/>
      <c r="M81" s="85"/>
      <c r="N81" s="85"/>
      <c r="O81" s="85"/>
      <c r="P81" s="85"/>
      <c r="Q81" s="85"/>
      <c r="R81" s="85"/>
    </row>
    <row r="82" spans="2:18" ht="15" customHeight="1" x14ac:dyDescent="0.2">
      <c r="B82" s="59" t="s">
        <v>21</v>
      </c>
      <c r="C82" s="60">
        <f>SUM(C83:C86)</f>
        <v>2110</v>
      </c>
      <c r="D82" s="61">
        <f>SUM(D83:D86)</f>
        <v>2365</v>
      </c>
      <c r="E82" s="68">
        <f t="shared" si="29"/>
        <v>0.12085308056872046</v>
      </c>
      <c r="F82" s="60">
        <f>SUM(F83:F86)</f>
        <v>273500</v>
      </c>
      <c r="G82" s="61">
        <f>SUM(G83:G86)</f>
        <v>301778</v>
      </c>
      <c r="H82" s="62">
        <f t="shared" si="30"/>
        <v>0.1033930530164533</v>
      </c>
      <c r="I82" s="60">
        <f>SUM(I83:I86)</f>
        <v>275610</v>
      </c>
      <c r="J82" s="61">
        <f>SUM(J83:J86)</f>
        <v>304143</v>
      </c>
      <c r="K82" s="62">
        <f t="shared" si="31"/>
        <v>0.10352672254272344</v>
      </c>
      <c r="L82" s="85"/>
      <c r="M82" s="85"/>
      <c r="N82" s="85"/>
      <c r="O82" s="85"/>
      <c r="P82" s="85"/>
      <c r="Q82" s="85"/>
      <c r="R82" s="85"/>
    </row>
    <row r="83" spans="2:18" ht="15" customHeight="1" x14ac:dyDescent="0.2">
      <c r="B83" s="65" t="s">
        <v>22</v>
      </c>
      <c r="C83" s="52">
        <f>GETPIVOTDATA("pasajeros",'[1]Tabla dinamica islas ext'!$A$46,"País","SUECIA","isla","TFN","año",2016)</f>
        <v>0</v>
      </c>
      <c r="D83" s="53">
        <f>GETPIVOTDATA("pasajeros",'[1]Tabla dinamica islas ext'!$A$46,"País","SUECIA","isla","TFN","año",2017)</f>
        <v>0</v>
      </c>
      <c r="E83" s="80" t="str">
        <f t="shared" si="29"/>
        <v>-</v>
      </c>
      <c r="F83" s="56">
        <f>GETPIVOTDATA("pasajeros",'[1]Tabla dinamica islas ext'!$A$46,"País","SUECIA","isla","TFS","año",2016)</f>
        <v>84935</v>
      </c>
      <c r="G83" s="57">
        <f>GETPIVOTDATA("pasajeros",'[1]Tabla dinamica islas ext'!$A$46,"País","SUECIA","isla","TFS","año",2017)</f>
        <v>96692</v>
      </c>
      <c r="H83" s="54">
        <f t="shared" si="30"/>
        <v>0.13842350032377704</v>
      </c>
      <c r="I83" s="52">
        <f>GETPIVOTDATA("pasajeros",'[1]Tabla dinamica islas ext'!$A$4,"País","SUECIA","isla"," tenerife","año",2016)</f>
        <v>84935</v>
      </c>
      <c r="J83" s="53">
        <f>GETPIVOTDATA("pasajeros",'[1]Tabla dinamica islas ext'!$A$4,"País","SUECIA","isla"," tenerife","año",2017)</f>
        <v>96692</v>
      </c>
      <c r="K83" s="54">
        <f t="shared" si="31"/>
        <v>0.13842350032377704</v>
      </c>
      <c r="L83" s="85"/>
      <c r="M83" s="85"/>
      <c r="N83" s="85"/>
      <c r="O83" s="85"/>
      <c r="P83" s="85"/>
      <c r="Q83" s="85"/>
      <c r="R83" s="85"/>
    </row>
    <row r="84" spans="2:18" ht="15" customHeight="1" x14ac:dyDescent="0.2">
      <c r="B84" s="66" t="s">
        <v>23</v>
      </c>
      <c r="C84" s="60">
        <f>GETPIVOTDATA("pasajeros",'[1]Tabla dinamica islas ext'!$A$46,"País","NORUEGA","isla","TFN","año",2016)</f>
        <v>0</v>
      </c>
      <c r="D84" s="61">
        <f>GETPIVOTDATA("pasajeros",'[1]Tabla dinamica islas ext'!$A$46,"País","NORUEGA","isla","TFN","año",2017)</f>
        <v>0</v>
      </c>
      <c r="E84" s="68" t="str">
        <f t="shared" si="29"/>
        <v>-</v>
      </c>
      <c r="F84" s="60">
        <f>GETPIVOTDATA("pasajeros",'[1]Tabla dinamica islas ext'!$A$46,"País","NORUEGA","isla","TFS","año",2016)</f>
        <v>57308</v>
      </c>
      <c r="G84" s="61">
        <f>GETPIVOTDATA("pasajeros",'[1]Tabla dinamica islas ext'!$A$46,"País","NORUEGA","isla","TFS","año",2017)</f>
        <v>64439</v>
      </c>
      <c r="H84" s="62">
        <f t="shared" si="30"/>
        <v>0.12443288895093185</v>
      </c>
      <c r="I84" s="60">
        <f>GETPIVOTDATA("pasajeros",'[1]Tabla dinamica islas ext'!$A$4,"País","NORUEGA","isla"," tenerife","año",2016)</f>
        <v>57308</v>
      </c>
      <c r="J84" s="61">
        <f>GETPIVOTDATA("pasajeros",'[1]Tabla dinamica islas ext'!$A$4,"País","NORUEGA","isla"," tenerife","año",2017)</f>
        <v>64439</v>
      </c>
      <c r="K84" s="62">
        <f t="shared" si="31"/>
        <v>0.12443288895093185</v>
      </c>
      <c r="L84" s="85"/>
      <c r="M84" s="85"/>
      <c r="N84" s="85"/>
      <c r="O84" s="85"/>
      <c r="P84" s="85"/>
      <c r="Q84" s="85"/>
      <c r="R84" s="85"/>
    </row>
    <row r="85" spans="2:18" ht="15" customHeight="1" x14ac:dyDescent="0.2">
      <c r="B85" s="65" t="s">
        <v>24</v>
      </c>
      <c r="C85" s="52">
        <f>GETPIVOTDATA("pasajeros",'[1]Tabla dinamica islas ext'!$A$46,"País","DINAMARCA","isla","TFN","año",2016)</f>
        <v>0</v>
      </c>
      <c r="D85" s="53">
        <f>GETPIVOTDATA("pasajeros",'[1]Tabla dinamica islas ext'!$A$46,"País","DINAMARCA","isla","TFN","año",2017)</f>
        <v>0</v>
      </c>
      <c r="E85" s="80" t="str">
        <f t="shared" si="29"/>
        <v>-</v>
      </c>
      <c r="F85" s="56">
        <f>GETPIVOTDATA("pasajeros",'[1]Tabla dinamica islas ext'!$A$46,"País","DINAMARCA","isla","TFS","año",2016)</f>
        <v>73214</v>
      </c>
      <c r="G85" s="57">
        <f>GETPIVOTDATA("pasajeros",'[1]Tabla dinamica islas ext'!$A$46,"País","DINAMARCA","isla","TFS","año",2017)</f>
        <v>76976</v>
      </c>
      <c r="H85" s="54">
        <f t="shared" si="30"/>
        <v>5.1383615155571327E-2</v>
      </c>
      <c r="I85" s="52">
        <f>GETPIVOTDATA("pasajeros",'[1]Tabla dinamica islas ext'!$A$4,"País","DINAMARCA","isla"," tenerife","año",2016)</f>
        <v>73214</v>
      </c>
      <c r="J85" s="53">
        <f>GETPIVOTDATA("pasajeros",'[1]Tabla dinamica islas ext'!$A$4,"País","DINAMARCA","isla"," tenerife","año",2017)</f>
        <v>76976</v>
      </c>
      <c r="K85" s="54">
        <f t="shared" si="31"/>
        <v>5.1383615155571327E-2</v>
      </c>
      <c r="L85" s="85"/>
      <c r="M85" s="85"/>
      <c r="N85" s="85"/>
      <c r="O85" s="85"/>
      <c r="P85" s="85"/>
      <c r="Q85" s="85"/>
      <c r="R85" s="85"/>
    </row>
    <row r="86" spans="2:18" ht="15" customHeight="1" x14ac:dyDescent="0.2">
      <c r="B86" s="66" t="s">
        <v>25</v>
      </c>
      <c r="C86" s="60">
        <f>GETPIVOTDATA("pasajeros",'[1]Tabla dinamica islas ext'!$A$46,"País","FINLANDIA","isla","TFN","año",2016)</f>
        <v>2110</v>
      </c>
      <c r="D86" s="61">
        <f>GETPIVOTDATA("pasajeros",'[1]Tabla dinamica islas ext'!$A$46,"País","FINLANDIA","isla","TFN","año",2017)</f>
        <v>2365</v>
      </c>
      <c r="E86" s="68">
        <f t="shared" si="29"/>
        <v>0.12085308056872046</v>
      </c>
      <c r="F86" s="60">
        <f>GETPIVOTDATA("pasajeros",'[1]Tabla dinamica islas ext'!$A$46,"País","FINLANDIA","isla","TFS","año",2016)</f>
        <v>58043</v>
      </c>
      <c r="G86" s="61">
        <f>GETPIVOTDATA("pasajeros",'[1]Tabla dinamica islas ext'!$A$46,"País","FINLANDIA","isla","TFS","año",2017)</f>
        <v>63671</v>
      </c>
      <c r="H86" s="62">
        <f t="shared" si="30"/>
        <v>9.6962596695553405E-2</v>
      </c>
      <c r="I86" s="60">
        <f>GETPIVOTDATA("pasajeros",'[1]Tabla dinamica islas ext'!$A$4,"País","FINLANDIA","isla"," tenerife","año",2016)</f>
        <v>60153</v>
      </c>
      <c r="J86" s="61">
        <f>GETPIVOTDATA("pasajeros",'[1]Tabla dinamica islas ext'!$A$4,"País","FINLANDIA","isla"," tenerife","año",2017)</f>
        <v>66036</v>
      </c>
      <c r="K86" s="62">
        <f t="shared" si="31"/>
        <v>9.7800608448456394E-2</v>
      </c>
      <c r="L86" s="85"/>
      <c r="M86" s="85"/>
      <c r="N86" s="85"/>
      <c r="O86" s="85"/>
      <c r="P86" s="85"/>
      <c r="Q86" s="85"/>
      <c r="R86" s="85"/>
    </row>
    <row r="87" spans="2:18" ht="15" customHeight="1" x14ac:dyDescent="0.2">
      <c r="B87" s="51" t="s">
        <v>26</v>
      </c>
      <c r="C87" s="52">
        <f>GETPIVOTDATA("pasajeros",'[1]Tabla dinamica islas ext'!$A$46,"País","SUIZA","isla","TFN","año",2016)</f>
        <v>3</v>
      </c>
      <c r="D87" s="53">
        <f>GETPIVOTDATA("pasajeros",'[1]Tabla dinamica islas ext'!$A$46,"País","SUIZA","isla","TFN","año",2017)</f>
        <v>6</v>
      </c>
      <c r="E87" s="80">
        <f t="shared" si="29"/>
        <v>1</v>
      </c>
      <c r="F87" s="56">
        <f>GETPIVOTDATA("pasajeros",'[1]Tabla dinamica islas ext'!$A$46,"País","SUIZA","isla","TFS","año",2016)</f>
        <v>83264</v>
      </c>
      <c r="G87" s="57">
        <f>GETPIVOTDATA("pasajeros",'[1]Tabla dinamica islas ext'!$A$46,"País","SUIZA","isla","TFS","año",2017)</f>
        <v>91215</v>
      </c>
      <c r="H87" s="54">
        <f t="shared" si="30"/>
        <v>9.5491448885472785E-2</v>
      </c>
      <c r="I87" s="52">
        <f>GETPIVOTDATA("pasajeros",'[1]Tabla dinamica islas ext'!$A$4,"País","SUIZA","isla"," tenerife","año",2016)</f>
        <v>83267</v>
      </c>
      <c r="J87" s="53">
        <f>GETPIVOTDATA("pasajeros",'[1]Tabla dinamica islas ext'!$A$4,"País","SUIZA","isla"," tenerife","año",2017)</f>
        <v>91221</v>
      </c>
      <c r="K87" s="54">
        <f t="shared" si="31"/>
        <v>9.5524037133558393E-2</v>
      </c>
      <c r="L87" s="85"/>
      <c r="M87" s="85"/>
      <c r="N87" s="85"/>
      <c r="O87" s="85"/>
      <c r="P87" s="85"/>
      <c r="Q87" s="85"/>
      <c r="R87" s="85"/>
    </row>
    <row r="88" spans="2:18" ht="15" customHeight="1" x14ac:dyDescent="0.2">
      <c r="B88" s="59" t="s">
        <v>27</v>
      </c>
      <c r="C88" s="60">
        <f>GETPIVOTDATA("pasajeros",'[1]Tabla dinamica islas ext'!$A$46,"País","AUSTRIA","isla","TFN","año",2016)</f>
        <v>6</v>
      </c>
      <c r="D88" s="61">
        <f>GETPIVOTDATA("pasajeros",'[1]Tabla dinamica islas ext'!$A$46,"País","AUSTRIA","isla","TFN","año",2017)</f>
        <v>0</v>
      </c>
      <c r="E88" s="68">
        <f t="shared" si="29"/>
        <v>-1</v>
      </c>
      <c r="F88" s="60">
        <f>GETPIVOTDATA("pasajeros",'[1]Tabla dinamica islas ext'!$A$46,"País","AUSTRIA","isla","TFS","año",2016)</f>
        <v>31929</v>
      </c>
      <c r="G88" s="61">
        <f>GETPIVOTDATA("pasajeros",'[1]Tabla dinamica islas ext'!$A$46,"País","AUSTRIA","isla","TFS","año",2017)</f>
        <v>32351</v>
      </c>
      <c r="H88" s="62">
        <f t="shared" si="30"/>
        <v>1.3216824830091678E-2</v>
      </c>
      <c r="I88" s="60">
        <f>GETPIVOTDATA("pasajeros",'[1]Tabla dinamica islas ext'!$A$4,"País","AUSTRIA","isla"," tenerife","año",2016)</f>
        <v>31935</v>
      </c>
      <c r="J88" s="61">
        <f>GETPIVOTDATA("pasajeros",'[1]Tabla dinamica islas ext'!$A$4,"País","AUSTRIA","isla"," tenerife","año",2017)</f>
        <v>32351</v>
      </c>
      <c r="K88" s="62">
        <f t="shared" si="31"/>
        <v>1.3026459996868578E-2</v>
      </c>
      <c r="L88" s="85"/>
      <c r="M88" s="85"/>
      <c r="N88" s="85"/>
      <c r="O88" s="85"/>
      <c r="P88" s="85"/>
      <c r="Q88" s="85"/>
      <c r="R88" s="85"/>
    </row>
    <row r="89" spans="2:18" ht="15" customHeight="1" x14ac:dyDescent="0.2">
      <c r="B89" s="51" t="s">
        <v>28</v>
      </c>
      <c r="C89" s="52">
        <f>GETPIVOTDATA("pasajeros",'[1]Tabla dinamica islas ext'!$A$46,"País","FEDERACION RUSA","isla","TFN","año",2016)</f>
        <v>0</v>
      </c>
      <c r="D89" s="53">
        <f>GETPIVOTDATA("pasajeros",'[1]Tabla dinamica islas ext'!$A$46,"País","FEDERACION RUSA","isla","TFN","año",2017)</f>
        <v>0</v>
      </c>
      <c r="E89" s="80" t="str">
        <f t="shared" si="29"/>
        <v>-</v>
      </c>
      <c r="F89" s="56">
        <f>GETPIVOTDATA("pasajeros",'[1]Tabla dinamica islas ext'!$A$46,"País","FEDERACION RUSA","isla","TFS","año",2016)</f>
        <v>65010</v>
      </c>
      <c r="G89" s="57">
        <f>GETPIVOTDATA("pasajeros",'[1]Tabla dinamica islas ext'!$A$46,"País","FEDERACION RUSA","isla","TFS","año",2017)</f>
        <v>58782</v>
      </c>
      <c r="H89" s="54">
        <f t="shared" si="30"/>
        <v>-9.5800646054453154E-2</v>
      </c>
      <c r="I89" s="52">
        <f>GETPIVOTDATA("pasajeros",'[1]Tabla dinamica islas ext'!$A$4,"País","FEDERACION RUSA","isla"," tenerife","año",2016)</f>
        <v>65010</v>
      </c>
      <c r="J89" s="53">
        <f>GETPIVOTDATA("pasajeros",'[1]Tabla dinamica islas ext'!$A$4,"País","FEDERACION RUSA","isla"," tenerife","año",2017)</f>
        <v>58782</v>
      </c>
      <c r="K89" s="54">
        <f t="shared" si="31"/>
        <v>-9.5800646054453154E-2</v>
      </c>
      <c r="L89" s="85"/>
      <c r="M89" s="85"/>
      <c r="N89" s="85"/>
      <c r="O89" s="85"/>
      <c r="P89" s="85"/>
      <c r="Q89" s="85"/>
      <c r="R89" s="85"/>
    </row>
    <row r="90" spans="2:18" ht="15" customHeight="1" x14ac:dyDescent="0.2">
      <c r="B90" s="59" t="s">
        <v>30</v>
      </c>
      <c r="C90" s="60">
        <f>GETPIVOTDATA("pasajeros",'[1]Tabla dinamica islas ext'!$A$46,"País","REPUBLICA CHECA","isla","TFN","año",2016)</f>
        <v>4</v>
      </c>
      <c r="D90" s="61">
        <f>GETPIVOTDATA("pasajeros",'[1]Tabla dinamica islas ext'!$A$46,"País","REPUBLICA CHECA","isla","TFN","año",2017)</f>
        <v>0</v>
      </c>
      <c r="E90" s="68">
        <f t="shared" si="29"/>
        <v>-1</v>
      </c>
      <c r="F90" s="60">
        <f>GETPIVOTDATA("pasajeros",'[1]Tabla dinamica islas ext'!$A$46,"País","REPUBLICA CHECA","isla","TFS","año",2016)</f>
        <v>18188</v>
      </c>
      <c r="G90" s="61">
        <f>GETPIVOTDATA("pasajeros",'[1]Tabla dinamica islas ext'!$A$46,"País","REPUBLICA CHECA","isla","TFS","año",2017)</f>
        <v>17529</v>
      </c>
      <c r="H90" s="62">
        <f t="shared" si="30"/>
        <v>-3.6232680888497959E-2</v>
      </c>
      <c r="I90" s="60">
        <f>GETPIVOTDATA("pasajeros",'[1]Tabla dinamica islas ext'!$A$4,"País","REPUBLICA CHECA","isla"," tenerife","año",2016)</f>
        <v>18192</v>
      </c>
      <c r="J90" s="61">
        <f>GETPIVOTDATA("pasajeros",'[1]Tabla dinamica islas ext'!$A$4,"País","REPUBLICA CHECA","isla"," tenerife","año",2017)</f>
        <v>17529</v>
      </c>
      <c r="K90" s="62">
        <f t="shared" si="31"/>
        <v>-3.6444591029023754E-2</v>
      </c>
      <c r="L90" s="85"/>
      <c r="M90" s="85"/>
      <c r="N90" s="85"/>
      <c r="O90" s="85"/>
      <c r="P90" s="85"/>
      <c r="Q90" s="85"/>
      <c r="R90" s="85"/>
    </row>
    <row r="91" spans="2:18" ht="15" customHeight="1" x14ac:dyDescent="0.2">
      <c r="B91" s="51" t="s">
        <v>31</v>
      </c>
      <c r="C91" s="52">
        <f>GETPIVOTDATA("pasajeros",'[1]Tabla dinamica islas ext'!$A$46,"País","POLONIA","isla","TFN","año",2016)</f>
        <v>0</v>
      </c>
      <c r="D91" s="53">
        <f>GETPIVOTDATA("pasajeros",'[1]Tabla dinamica islas ext'!$A$46,"País","POLONIA","isla","TFN","año",2017)</f>
        <v>183</v>
      </c>
      <c r="E91" s="80" t="str">
        <f t="shared" si="29"/>
        <v>-</v>
      </c>
      <c r="F91" s="56">
        <f>GETPIVOTDATA("pasajeros",'[1]Tabla dinamica islas ext'!$A$46,"País","POLONIA","isla","TFS","año",2016)</f>
        <v>104964</v>
      </c>
      <c r="G91" s="57">
        <f>GETPIVOTDATA("pasajeros",'[1]Tabla dinamica islas ext'!$A$46,"País","POLONIA","isla","TFS","año",2017)</f>
        <v>119988</v>
      </c>
      <c r="H91" s="54">
        <f t="shared" si="30"/>
        <v>0.14313478907053856</v>
      </c>
      <c r="I91" s="52">
        <f>GETPIVOTDATA("pasajeros",'[1]Tabla dinamica islas ext'!$A$4,"País","POLONIA","isla"," tenerife","año",2016)</f>
        <v>104964</v>
      </c>
      <c r="J91" s="53">
        <f>GETPIVOTDATA("pasajeros",'[1]Tabla dinamica islas ext'!$A$4,"País","POLONIA","isla"," tenerife","año",2017)</f>
        <v>120171</v>
      </c>
      <c r="K91" s="54">
        <f t="shared" si="31"/>
        <v>0.144878243969361</v>
      </c>
      <c r="L91" s="85"/>
      <c r="M91" s="85"/>
      <c r="N91" s="85"/>
      <c r="O91" s="85"/>
      <c r="P91" s="85"/>
      <c r="Q91" s="85"/>
      <c r="R91" s="85"/>
    </row>
    <row r="92" spans="2:18" ht="15" customHeight="1" x14ac:dyDescent="0.2">
      <c r="B92" s="59" t="s">
        <v>32</v>
      </c>
      <c r="C92" s="60">
        <f>GETPIVOTDATA("pasajeros",'[1]Tabla dinamica islas ext'!$A$46,"País","ESTADOS UNIDOS","isla","TFN","año",2016)</f>
        <v>0</v>
      </c>
      <c r="D92" s="61">
        <f>GETPIVOTDATA("pasajeros",'[1]Tabla dinamica islas ext'!$A$46,"País","ESTADOS UNIDOS","isla","TFN","año",2017)</f>
        <v>0</v>
      </c>
      <c r="E92" s="68" t="str">
        <f t="shared" si="29"/>
        <v>-</v>
      </c>
      <c r="F92" s="60">
        <f>GETPIVOTDATA("pasajeros",'[1]Tabla dinamica islas ext'!$A$46,"País","ESTADOS UNIDOS","isla","TFS","año",2016)</f>
        <v>37</v>
      </c>
      <c r="G92" s="61">
        <f>GETPIVOTDATA("pasajeros",'[1]Tabla dinamica islas ext'!$A$46,"País","ESTADOS UNIDOS","isla","TFS","año",2017)</f>
        <v>49</v>
      </c>
      <c r="H92" s="62">
        <f t="shared" si="30"/>
        <v>0.32432432432432434</v>
      </c>
      <c r="I92" s="60">
        <f>GETPIVOTDATA("pasajeros",'[1]Tabla dinamica islas ext'!$A$4,"País","ESTADOS UNIDOS","isla"," tenerife","año",2016)</f>
        <v>37</v>
      </c>
      <c r="J92" s="61">
        <f>GETPIVOTDATA("pasajeros",'[1]Tabla dinamica islas ext'!$A$4,"País","ESTADOS UNIDOS","isla"," tenerife","año",2017)</f>
        <v>49</v>
      </c>
      <c r="K92" s="68">
        <f t="shared" si="31"/>
        <v>0.32432432432432434</v>
      </c>
      <c r="L92" s="85"/>
      <c r="M92" s="85"/>
      <c r="N92" s="85"/>
      <c r="O92" s="85"/>
      <c r="P92" s="85"/>
      <c r="Q92" s="85"/>
      <c r="R92" s="85"/>
    </row>
    <row r="93" spans="2:18" ht="15" customHeight="1" x14ac:dyDescent="0.2">
      <c r="B93" s="51" t="s">
        <v>33</v>
      </c>
      <c r="C93" s="52">
        <f>C94-SUM(C75:C81,C83:C92)</f>
        <v>9656</v>
      </c>
      <c r="D93" s="53">
        <f>D94-SUM(D75:D81,D83:D92)</f>
        <v>11653</v>
      </c>
      <c r="E93" s="80">
        <f t="shared" si="29"/>
        <v>0.20681441590720806</v>
      </c>
      <c r="F93" s="56">
        <f>F94-SUM(F75:F81,F83:F92)</f>
        <v>85700</v>
      </c>
      <c r="G93" s="57">
        <f>G94-SUM(G75:G81,G83:G92)</f>
        <v>108828</v>
      </c>
      <c r="H93" s="54">
        <f>IFERROR(G93/F93-1,"-")</f>
        <v>0.26987164527421248</v>
      </c>
      <c r="I93" s="52">
        <f>I94-SUM(I75:I81,I83:I92)</f>
        <v>95356</v>
      </c>
      <c r="J93" s="53">
        <f>J94-SUM(J75:J81,J83:J92)</f>
        <v>120481</v>
      </c>
      <c r="K93" s="54">
        <f t="shared" si="31"/>
        <v>0.26348630395570294</v>
      </c>
      <c r="L93" s="85"/>
      <c r="M93" s="85"/>
      <c r="N93" s="85"/>
      <c r="O93" s="85"/>
      <c r="P93" s="85"/>
      <c r="Q93" s="85"/>
      <c r="R93" s="85"/>
    </row>
    <row r="94" spans="2:18" ht="15" customHeight="1" x14ac:dyDescent="0.2">
      <c r="B94" s="39" t="s">
        <v>34</v>
      </c>
      <c r="C94" s="69">
        <f>GETPIVOTDATA("pasajeros",'[1]Tabla dinamica islas ext'!$A$46,"País","Total","isla","TFN","año",2016)-GETPIVOTDATA("pasajeros",'[1]Tabla dinamica islas ext'!$A$46,"País","ESPAÑA","isla","TFN","año",2016)</f>
        <v>31915</v>
      </c>
      <c r="D94" s="70">
        <f>GETPIVOTDATA("pasajeros",'[1]Tabla dinamica islas ext'!$A$46,"País","Total","isla","TFN","año",2017)-GETPIVOTDATA("pasajeros",'[1]Tabla dinamica islas ext'!$A$46,"País","ESPAÑA","isla","TFN","año",2017)</f>
        <v>18868</v>
      </c>
      <c r="E94" s="42">
        <f t="shared" si="29"/>
        <v>-0.40880463731787564</v>
      </c>
      <c r="F94" s="69">
        <f>GETPIVOTDATA("pasajeros",'[1]Tabla dinamica islas ext'!$A$46,"País","Total","isla","TFS","año",2016)-GETPIVOTDATA("pasajeros",'[1]Tabla dinamica islas ext'!$A$46,"País","ESPAÑA","isla","TFS","año",2016)</f>
        <v>3904165</v>
      </c>
      <c r="G94" s="70">
        <f>GETPIVOTDATA("pasajeros",'[1]Tabla dinamica islas ext'!$A$46,"País","Total","isla","TFS","año",2017)-GETPIVOTDATA("pasajeros",'[1]Tabla dinamica islas ext'!$A$46,"País","ESPAÑA","isla","TFS","año",2017)</f>
        <v>4206523</v>
      </c>
      <c r="H94" s="42">
        <f t="shared" si="30"/>
        <v>7.7444985035212355E-2</v>
      </c>
      <c r="I94" s="69">
        <f>GETPIVOTDATA("pasajeros",'[1]Tabla dinamica islas ext'!$A$4,"País","Total","isla"," tenerife","año",2016)-GETPIVOTDATA("pasajeros",'[1]Tabla dinamica islas ext'!$A$4,"País","ESPAÑA","isla"," tenerife","año",2016)</f>
        <v>3936080</v>
      </c>
      <c r="J94" s="70">
        <f>GETPIVOTDATA("pasajeros",'[1]Tabla dinamica islas ext'!$A$4,"País","Total","isla"," tenerife","año",2017)-GETPIVOTDATA("pasajeros",'[1]Tabla dinamica islas ext'!$A$4,"País","ESPAÑA","isla"," tenerife","año",2017)</f>
        <v>4225391</v>
      </c>
      <c r="K94" s="42">
        <f t="shared" si="31"/>
        <v>7.350231702607668E-2</v>
      </c>
      <c r="L94" s="85"/>
      <c r="M94" s="85"/>
      <c r="N94" s="85"/>
      <c r="O94" s="85"/>
      <c r="P94" s="85"/>
      <c r="Q94" s="85"/>
      <c r="R94" s="85"/>
    </row>
    <row r="95" spans="2:18" ht="15" customHeight="1" x14ac:dyDescent="0.2">
      <c r="B95" s="71" t="s">
        <v>35</v>
      </c>
      <c r="C95" s="72">
        <f>SUM(C94,C73)</f>
        <v>1756443</v>
      </c>
      <c r="D95" s="73">
        <f>SUM(D94,D73)</f>
        <v>1929093</v>
      </c>
      <c r="E95" s="75">
        <f>IFERROR(D95/C95-1,"-")</f>
        <v>9.8295247838956268E-2</v>
      </c>
      <c r="F95" s="72">
        <f>SUM(F94,F73)</f>
        <v>4253376</v>
      </c>
      <c r="G95" s="73">
        <f>SUM(G94,G73)</f>
        <v>4584430</v>
      </c>
      <c r="H95" s="75">
        <f>IFERROR(G95/F95-1,"-")</f>
        <v>7.7833231766954114E-2</v>
      </c>
      <c r="I95" s="72">
        <f>SUM(I94,I73)</f>
        <v>6009819</v>
      </c>
      <c r="J95" s="73">
        <f>SUM(J94,J73)</f>
        <v>6513523</v>
      </c>
      <c r="K95" s="75">
        <f>IFERROR(J95/I95-1,"-")</f>
        <v>8.3813505864319682E-2</v>
      </c>
      <c r="L95" s="85"/>
      <c r="M95" s="85"/>
      <c r="N95" s="85"/>
      <c r="O95" s="85"/>
      <c r="P95" s="85"/>
      <c r="Q95" s="85"/>
      <c r="R95" s="85"/>
    </row>
    <row r="96" spans="2:18" ht="5.25" customHeight="1" x14ac:dyDescent="0.2">
      <c r="B96" s="81"/>
      <c r="C96" s="82"/>
      <c r="D96" s="82"/>
      <c r="E96" s="83"/>
      <c r="F96" s="82"/>
      <c r="G96" s="82"/>
      <c r="H96" s="83"/>
      <c r="I96" s="82"/>
      <c r="J96" s="82"/>
      <c r="K96" s="83"/>
      <c r="L96" s="85"/>
      <c r="M96" s="85"/>
      <c r="N96" s="85"/>
      <c r="O96" s="85"/>
      <c r="P96" s="85"/>
      <c r="Q96" s="85"/>
      <c r="R96" s="85"/>
    </row>
    <row r="97" spans="2:18" ht="12.75" customHeight="1" x14ac:dyDescent="0.2">
      <c r="B97" s="84" t="s">
        <v>39</v>
      </c>
      <c r="C97" s="84"/>
      <c r="D97" s="84"/>
      <c r="E97" s="84"/>
      <c r="F97" s="84"/>
      <c r="G97" s="84"/>
      <c r="H97" s="84"/>
      <c r="I97" s="84"/>
      <c r="J97" s="84"/>
      <c r="K97" s="84"/>
      <c r="L97" s="85"/>
      <c r="M97" s="85"/>
      <c r="N97" s="85"/>
      <c r="O97" s="85"/>
      <c r="P97" s="85"/>
      <c r="Q97" s="85"/>
      <c r="R97" s="85"/>
    </row>
    <row r="102" spans="2:18" x14ac:dyDescent="0.2">
      <c r="B102" s="90"/>
    </row>
    <row r="107" spans="2:18" x14ac:dyDescent="0.2">
      <c r="C107" s="91"/>
    </row>
    <row r="108" spans="2:18" x14ac:dyDescent="0.2">
      <c r="C108" s="91"/>
    </row>
    <row r="109" spans="2:18" x14ac:dyDescent="0.2">
      <c r="C109" s="91"/>
    </row>
    <row r="110" spans="2:18" x14ac:dyDescent="0.2">
      <c r="C110" s="91"/>
    </row>
    <row r="111" spans="2:18" x14ac:dyDescent="0.2">
      <c r="C111" s="91"/>
    </row>
    <row r="112" spans="2:18" x14ac:dyDescent="0.2">
      <c r="C112" s="91"/>
    </row>
    <row r="113" spans="1:3" x14ac:dyDescent="0.2">
      <c r="C113" s="91"/>
    </row>
    <row r="114" spans="1:3" x14ac:dyDescent="0.2">
      <c r="C114" s="91"/>
    </row>
    <row r="115" spans="1:3" x14ac:dyDescent="0.2">
      <c r="C115" s="91"/>
    </row>
    <row r="116" spans="1:3" x14ac:dyDescent="0.2">
      <c r="C116" s="91"/>
    </row>
    <row r="117" spans="1:3" x14ac:dyDescent="0.2">
      <c r="C117" s="91"/>
    </row>
    <row r="118" spans="1:3" x14ac:dyDescent="0.2">
      <c r="C118" s="91"/>
    </row>
    <row r="119" spans="1:3" x14ac:dyDescent="0.2">
      <c r="C119" s="91"/>
    </row>
    <row r="120" spans="1:3" x14ac:dyDescent="0.2">
      <c r="C120" s="91"/>
    </row>
    <row r="121" spans="1:3" x14ac:dyDescent="0.2">
      <c r="C121" s="91"/>
    </row>
    <row r="122" spans="1:3" x14ac:dyDescent="0.2">
      <c r="C122" s="91"/>
    </row>
    <row r="123" spans="1:3" x14ac:dyDescent="0.2">
      <c r="C123" s="91"/>
    </row>
    <row r="124" spans="1:3" x14ac:dyDescent="0.2">
      <c r="C124" s="91"/>
    </row>
    <row r="125" spans="1:3" x14ac:dyDescent="0.2">
      <c r="A125" s="90"/>
    </row>
    <row r="126" spans="1:3" x14ac:dyDescent="0.2">
      <c r="A126" s="90"/>
    </row>
  </sheetData>
  <mergeCells count="24">
    <mergeCell ref="C107:C109"/>
    <mergeCell ref="C110:C112"/>
    <mergeCell ref="C113:C115"/>
    <mergeCell ref="C116:C118"/>
    <mergeCell ref="C119:C121"/>
    <mergeCell ref="C122:C124"/>
    <mergeCell ref="B67:K67"/>
    <mergeCell ref="B69:B70"/>
    <mergeCell ref="C69:E69"/>
    <mergeCell ref="F69:H69"/>
    <mergeCell ref="I69:K69"/>
    <mergeCell ref="B97:K97"/>
    <mergeCell ref="B33:B34"/>
    <mergeCell ref="C33:G33"/>
    <mergeCell ref="H33:L33"/>
    <mergeCell ref="M33:Q33"/>
    <mergeCell ref="R33:R34"/>
    <mergeCell ref="B61:R61"/>
    <mergeCell ref="B3:R3"/>
    <mergeCell ref="B5:B6"/>
    <mergeCell ref="C5:G5"/>
    <mergeCell ref="H5:L5"/>
    <mergeCell ref="M5:Q5"/>
    <mergeCell ref="R5:R6"/>
  </mergeCells>
  <conditionalFormatting sqref="C107 C110 C113 C116 C119 C122">
    <cfRule type="cellIs" dxfId="0" priority="1" operator="notEqual">
      <formula>0</formula>
    </cfRule>
  </conditionalFormatting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octubre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2017-11-27T15:27:40+00:00</PublishingStartDate>
    <_dlc_DocId xmlns="8b099203-c902-4a5b-992f-1f849b15ff82">Q5F7QW3RQ55V-2044-311</_dlc_DocId>
    <_dlc_DocIdUrl xmlns="8b099203-c902-4a5b-992f-1f849b15ff82">
      <Url>http://admin.webtenerife.com/es/investigacion/Situacion-turistica/Trafico-Aereo/_layouts/DocIdRedir.aspx?ID=Q5F7QW3RQ55V-2044-311</Url>
      <Description>Q5F7QW3RQ55V-2044-311</Description>
    </_dlc_DocIdUrl>
  </documentManagement>
</p:properties>
</file>

<file path=customXml/itemProps1.xml><?xml version="1.0" encoding="utf-8"?>
<ds:datastoreItem xmlns:ds="http://schemas.openxmlformats.org/officeDocument/2006/customXml" ds:itemID="{4524700D-FE1A-4E12-A91D-EAD8093A6A1D}"/>
</file>

<file path=customXml/itemProps2.xml><?xml version="1.0" encoding="utf-8"?>
<ds:datastoreItem xmlns:ds="http://schemas.openxmlformats.org/officeDocument/2006/customXml" ds:itemID="{87FF1D0B-853A-4A05-B7EC-EC3EC85E98CC}"/>
</file>

<file path=customXml/itemProps3.xml><?xml version="1.0" encoding="utf-8"?>
<ds:datastoreItem xmlns:ds="http://schemas.openxmlformats.org/officeDocument/2006/customXml" ds:itemID="{529DDE9A-F748-4CE7-A5F7-D4BE2990F543}"/>
</file>

<file path=customXml/itemProps4.xml><?xml version="1.0" encoding="utf-8"?>
<ds:datastoreItem xmlns:ds="http://schemas.openxmlformats.org/officeDocument/2006/customXml" ds:itemID="{E96F5C5C-4711-4511-A8F0-5096DB975E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octubre 2017</vt:lpstr>
      <vt:lpstr>acum octubre 2017</vt:lpstr>
      <vt:lpstr>'acum octubre 2017'!Área_de_impresión</vt:lpstr>
      <vt:lpstr>'octubre 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(octubre y acumulado 2017)</dc:title>
  <dc:creator>Alejandro Garcia</dc:creator>
  <cp:lastModifiedBy>Alejandro Garcia</cp:lastModifiedBy>
  <dcterms:created xsi:type="dcterms:W3CDTF">2017-11-13T14:17:23Z</dcterms:created>
  <dcterms:modified xsi:type="dcterms:W3CDTF">2017-11-13T14:19:39Z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e500dab5-b42a-4f4a-ad3c-d51aaed2eceb</vt:lpwstr>
  </property>
</Properties>
</file>