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11.xml" ContentType="application/vnd.openxmlformats-officedocument.drawingml.chartshap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turismodetenerife.sharepoint.com/sites/INVESTIGACION/Documentos compartidos/General/Plazas y Establecimientos Turísticos/Turismo en cifras-plazas/2026/"/>
    </mc:Choice>
  </mc:AlternateContent>
  <xr:revisionPtr revIDLastSave="16" documentId="8_{D94516EC-44A9-41AD-B1F9-217581DD4D2F}" xr6:coauthVersionLast="47" xr6:coauthVersionMax="47" xr10:uidLastSave="{33DBFEBC-655F-4892-8662-7CFBCBA850D1}"/>
  <bookViews>
    <workbookView xWindow="43080" yWindow="-120" windowWidth="29040" windowHeight="15720" xr2:uid="{BD2F5D29-1FB3-499D-B684-BA3E93B9DCDE}"/>
  </bookViews>
  <sheets>
    <sheet name="Menú principal" sheetId="1" r:id="rId1"/>
    <sheet name="plazas aut munic cuota aloj" sheetId="2" r:id="rId2"/>
    <sheet name="plazas aut municipio x cat" sheetId="3" r:id="rId3"/>
    <sheet name="Evolucion anual plazas aloj" sheetId="4" r:id="rId4"/>
    <sheet name="plazas aut catg cuota" sheetId="5" r:id="rId5"/>
    <sheet name="estab aut munic cuota aloj" sheetId="6" r:id="rId6"/>
    <sheet name="estab aut municipio x tip y cat" sheetId="7" r:id="rId7"/>
    <sheet name="estab aut catg cuota aloj" sheetId="8" r:id="rId8"/>
  </sheets>
  <definedNames>
    <definedName name="_xlnm.Print_Area" localSheetId="7">'estab aut catg cuota aloj'!$C$3:$E$32</definedName>
    <definedName name="_xlnm.Print_Area" localSheetId="5">'estab aut munic cuota aloj'!$B$3:$N$42</definedName>
    <definedName name="_xlnm.Print_Area" localSheetId="3">'Evolucion anual plazas aloj'!#REF!</definedName>
    <definedName name="_xlnm.Print_Area" localSheetId="0">'Menú principal'!$B$2:$D$18</definedName>
    <definedName name="_xlnm.Print_Area" localSheetId="4">'plazas aut catg cuota'!$C$3:$E$32</definedName>
    <definedName name="_xlnm.Print_Area" localSheetId="1">'plazas aut munic cuota aloj'!$B$3:$N$46</definedName>
    <definedName name="españafuerteventura">#REF!</definedName>
    <definedName name="españafuerteventura0">#REF!</definedName>
    <definedName name="españagrancanaria">#REF!</definedName>
    <definedName name="españagrancanaria0">#REF!</definedName>
    <definedName name="españalanzarote">#REF!</definedName>
    <definedName name="españalanzarote0">#REF!</definedName>
    <definedName name="españalapalma">#REF!</definedName>
    <definedName name="españalapalma0">#REF!</definedName>
    <definedName name="españaTFN">#REF!</definedName>
    <definedName name="españaTFN0">#REF!</definedName>
    <definedName name="españaTFS">#REF!</definedName>
    <definedName name="españaTFS0">#REF!</definedName>
    <definedName name="_xlnm.Print_Titles" localSheetId="0">'Menú principal'!$2:$5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3" i="8" l="1"/>
  <c r="I37" i="6"/>
  <c r="I36" i="6"/>
  <c r="I35" i="6"/>
  <c r="I34" i="6"/>
  <c r="I33" i="6"/>
  <c r="I27" i="6"/>
  <c r="I25" i="6"/>
  <c r="I23" i="6"/>
  <c r="I22" i="6"/>
  <c r="I20" i="6"/>
  <c r="I16" i="6"/>
  <c r="I15" i="6"/>
  <c r="I14" i="6"/>
  <c r="I13" i="6"/>
  <c r="H29" i="8"/>
  <c r="G29" i="8"/>
  <c r="I38" i="6"/>
  <c r="B38" i="6"/>
  <c r="B37" i="6"/>
  <c r="B36" i="6"/>
  <c r="B35" i="6"/>
  <c r="B34" i="6"/>
  <c r="B33" i="6"/>
  <c r="I32" i="6"/>
  <c r="B32" i="6"/>
  <c r="I31" i="6"/>
  <c r="B31" i="6"/>
  <c r="I30" i="6"/>
  <c r="B30" i="6"/>
  <c r="H29" i="6"/>
  <c r="B29" i="6"/>
  <c r="B28" i="6"/>
  <c r="B27" i="6"/>
  <c r="I26" i="6"/>
  <c r="B26" i="6"/>
  <c r="B25" i="6"/>
  <c r="I24" i="6"/>
  <c r="B24" i="6"/>
  <c r="B23" i="6"/>
  <c r="B22" i="6"/>
  <c r="I21" i="6"/>
  <c r="B21" i="6"/>
  <c r="B20" i="6"/>
  <c r="I19" i="6"/>
  <c r="B19" i="6"/>
  <c r="I18" i="6"/>
  <c r="B18" i="6"/>
  <c r="I17" i="6"/>
  <c r="B17" i="6"/>
  <c r="B16" i="6"/>
  <c r="B15" i="6"/>
  <c r="B14" i="6"/>
  <c r="B13" i="6"/>
  <c r="I12" i="6"/>
  <c r="B12" i="6"/>
  <c r="I11" i="6"/>
  <c r="B11" i="6"/>
  <c r="I10" i="6"/>
  <c r="B10" i="6"/>
  <c r="I9" i="6"/>
  <c r="B9" i="6"/>
  <c r="B8" i="6"/>
  <c r="E6" i="6"/>
  <c r="G6" i="6" s="1"/>
  <c r="H29" i="5"/>
  <c r="C3" i="5"/>
  <c r="H31" i="4"/>
  <c r="I25" i="2"/>
  <c r="I15" i="2"/>
  <c r="I13" i="2"/>
  <c r="I8" i="2"/>
  <c r="I38" i="2"/>
  <c r="I37" i="2"/>
  <c r="I36" i="2"/>
  <c r="I35" i="2"/>
  <c r="I32" i="2"/>
  <c r="I31" i="2"/>
  <c r="I30" i="2"/>
  <c r="I29" i="2"/>
  <c r="I28" i="2"/>
  <c r="I27" i="2"/>
  <c r="I24" i="2"/>
  <c r="I23" i="2"/>
  <c r="I22" i="2"/>
  <c r="I21" i="2"/>
  <c r="I20" i="2"/>
  <c r="I19" i="2"/>
  <c r="I18" i="2"/>
  <c r="I17" i="2"/>
  <c r="I12" i="2"/>
  <c r="I11" i="2"/>
  <c r="I10" i="2"/>
  <c r="E6" i="2"/>
  <c r="G6" i="2" s="1"/>
  <c r="K6" i="2" s="1"/>
  <c r="M6" i="2" s="1"/>
  <c r="H1" i="2"/>
  <c r="I29" i="6" l="1"/>
  <c r="I9" i="2"/>
  <c r="I33" i="2"/>
  <c r="I34" i="2"/>
  <c r="I14" i="2"/>
  <c r="D29" i="5"/>
  <c r="F6" i="4"/>
  <c r="G29" i="5"/>
  <c r="I7" i="2"/>
  <c r="J25" i="2" s="1"/>
  <c r="I26" i="2"/>
  <c r="I16" i="2"/>
  <c r="I8" i="6"/>
  <c r="K6" i="6"/>
  <c r="M6" i="6" s="1"/>
  <c r="I6" i="6"/>
  <c r="H19" i="5" l="1"/>
  <c r="C20" i="3"/>
  <c r="C13" i="3"/>
  <c r="G23" i="5"/>
  <c r="C22" i="3"/>
  <c r="D10" i="5"/>
  <c r="D20" i="3"/>
  <c r="C25" i="2"/>
  <c r="C10" i="2"/>
  <c r="D11" i="5"/>
  <c r="G12" i="5"/>
  <c r="C34" i="2"/>
  <c r="D13" i="5"/>
  <c r="C11" i="2"/>
  <c r="C12" i="3"/>
  <c r="H24" i="5"/>
  <c r="C27" i="2"/>
  <c r="D9" i="3"/>
  <c r="H17" i="5"/>
  <c r="C23" i="2"/>
  <c r="G10" i="5"/>
  <c r="D24" i="3"/>
  <c r="G16" i="5"/>
  <c r="D17" i="5"/>
  <c r="D22" i="3"/>
  <c r="G7" i="2"/>
  <c r="H22" i="2" s="1"/>
  <c r="G43" i="2"/>
  <c r="C34" i="3"/>
  <c r="D14" i="3"/>
  <c r="D19" i="3"/>
  <c r="H9" i="5"/>
  <c r="C9" i="3"/>
  <c r="C9" i="2"/>
  <c r="C15" i="3"/>
  <c r="C22" i="2"/>
  <c r="D21" i="3"/>
  <c r="D25" i="3"/>
  <c r="D29" i="3"/>
  <c r="D12" i="5"/>
  <c r="G18" i="5"/>
  <c r="C16" i="3"/>
  <c r="C36" i="2"/>
  <c r="D17" i="3"/>
  <c r="D26" i="5"/>
  <c r="G6" i="4"/>
  <c r="D24" i="5"/>
  <c r="D16" i="3"/>
  <c r="C11" i="3"/>
  <c r="D23" i="5"/>
  <c r="G25" i="5"/>
  <c r="D13" i="8"/>
  <c r="D18" i="3"/>
  <c r="D20" i="8"/>
  <c r="M37" i="6"/>
  <c r="E26" i="6"/>
  <c r="C27" i="7"/>
  <c r="D33" i="3"/>
  <c r="G22" i="5"/>
  <c r="D7" i="8"/>
  <c r="C8" i="7"/>
  <c r="G22" i="8"/>
  <c r="D30" i="3"/>
  <c r="G26" i="5"/>
  <c r="D21" i="5"/>
  <c r="H21" i="5"/>
  <c r="M45" i="2"/>
  <c r="D23" i="3"/>
  <c r="C35" i="2"/>
  <c r="K11" i="6"/>
  <c r="C24" i="2"/>
  <c r="C21" i="3"/>
  <c r="D14" i="8"/>
  <c r="K27" i="6"/>
  <c r="H22" i="5"/>
  <c r="C33" i="3"/>
  <c r="G26" i="6"/>
  <c r="H26" i="6" s="1"/>
  <c r="M44" i="2"/>
  <c r="E46" i="2"/>
  <c r="C29" i="2"/>
  <c r="D14" i="5"/>
  <c r="D8" i="5"/>
  <c r="D38" i="3"/>
  <c r="D18" i="5"/>
  <c r="C24" i="3"/>
  <c r="M46" i="2"/>
  <c r="G44" i="2"/>
  <c r="H12" i="2"/>
  <c r="K44" i="2"/>
  <c r="D9" i="5"/>
  <c r="H27" i="5"/>
  <c r="D34" i="3"/>
  <c r="C11" i="4"/>
  <c r="C18" i="2"/>
  <c r="H13" i="5"/>
  <c r="H7" i="5"/>
  <c r="G8" i="5"/>
  <c r="C20" i="2"/>
  <c r="C25" i="3"/>
  <c r="H27" i="8"/>
  <c r="M7" i="2"/>
  <c r="N7" i="2" s="1"/>
  <c r="M43" i="2"/>
  <c r="H25" i="5"/>
  <c r="C32" i="2"/>
  <c r="C37" i="3"/>
  <c r="C39" i="7"/>
  <c r="E38" i="6"/>
  <c r="H6" i="4"/>
  <c r="D27" i="5"/>
  <c r="H30" i="4"/>
  <c r="K26" i="6"/>
  <c r="C21" i="2"/>
  <c r="E45" i="2"/>
  <c r="C28" i="3"/>
  <c r="G24" i="5"/>
  <c r="G15" i="5"/>
  <c r="M30" i="6"/>
  <c r="C23" i="3"/>
  <c r="E23" i="3" s="1"/>
  <c r="M22" i="6"/>
  <c r="G27" i="5"/>
  <c r="C17" i="3"/>
  <c r="D20" i="5"/>
  <c r="C30" i="2"/>
  <c r="H11" i="5"/>
  <c r="D10" i="3"/>
  <c r="C19" i="3"/>
  <c r="D11" i="3"/>
  <c r="G45" i="2"/>
  <c r="L16" i="2"/>
  <c r="C27" i="3"/>
  <c r="C39" i="3"/>
  <c r="G8" i="8"/>
  <c r="K46" i="2"/>
  <c r="G24" i="6"/>
  <c r="H24" i="6" s="1"/>
  <c r="D36" i="3"/>
  <c r="D19" i="5"/>
  <c r="D15" i="3"/>
  <c r="C35" i="3"/>
  <c r="C30" i="3"/>
  <c r="H20" i="5"/>
  <c r="H14" i="5"/>
  <c r="C14" i="2"/>
  <c r="H15" i="5"/>
  <c r="C31" i="2"/>
  <c r="C30" i="7"/>
  <c r="E29" i="6"/>
  <c r="C15" i="2"/>
  <c r="H8" i="5"/>
  <c r="H16" i="5"/>
  <c r="D28" i="3"/>
  <c r="G20" i="5"/>
  <c r="G14" i="5"/>
  <c r="D15" i="5"/>
  <c r="D26" i="8"/>
  <c r="C33" i="2"/>
  <c r="D27" i="3"/>
  <c r="C36" i="3"/>
  <c r="C17" i="2"/>
  <c r="K15" i="6"/>
  <c r="C31" i="3"/>
  <c r="C14" i="3"/>
  <c r="G13" i="5"/>
  <c r="C19" i="2"/>
  <c r="H9" i="8"/>
  <c r="E44" i="2"/>
  <c r="C12" i="2"/>
  <c r="D13" i="3"/>
  <c r="E13" i="3" s="1"/>
  <c r="G7" i="5"/>
  <c r="C37" i="2"/>
  <c r="D22" i="5"/>
  <c r="G21" i="5"/>
  <c r="C32" i="3"/>
  <c r="G21" i="8"/>
  <c r="C13" i="2"/>
  <c r="C29" i="3"/>
  <c r="C8" i="2"/>
  <c r="E7" i="2"/>
  <c r="F9" i="2" s="1"/>
  <c r="E43" i="2"/>
  <c r="K45" i="2"/>
  <c r="G21" i="6"/>
  <c r="H21" i="6" s="1"/>
  <c r="H13" i="8"/>
  <c r="C25" i="7"/>
  <c r="E24" i="6"/>
  <c r="H10" i="5"/>
  <c r="K7" i="2"/>
  <c r="L7" i="2" s="1"/>
  <c r="K43" i="2"/>
  <c r="C38" i="2"/>
  <c r="G11" i="5"/>
  <c r="D12" i="3"/>
  <c r="H12" i="5"/>
  <c r="G17" i="5"/>
  <c r="C28" i="2"/>
  <c r="C18" i="3"/>
  <c r="H26" i="5"/>
  <c r="H22" i="8"/>
  <c r="E27" i="6"/>
  <c r="C28" i="7"/>
  <c r="D25" i="5"/>
  <c r="D31" i="3"/>
  <c r="C10" i="3"/>
  <c r="H18" i="5"/>
  <c r="G46" i="2"/>
  <c r="H23" i="5"/>
  <c r="G19" i="5"/>
  <c r="D6" i="4"/>
  <c r="D7" i="5"/>
  <c r="C8" i="3"/>
  <c r="D26" i="3"/>
  <c r="M12" i="6"/>
  <c r="M13" i="6"/>
  <c r="K32" i="6"/>
  <c r="M35" i="6"/>
  <c r="G19" i="8"/>
  <c r="K36" i="6"/>
  <c r="G11" i="6"/>
  <c r="H11" i="6" s="1"/>
  <c r="E16" i="6"/>
  <c r="C17" i="7"/>
  <c r="G14" i="8"/>
  <c r="G15" i="6"/>
  <c r="H15" i="6" s="1"/>
  <c r="E36" i="6"/>
  <c r="C37" i="7"/>
  <c r="C13" i="7"/>
  <c r="E12" i="6"/>
  <c r="G13" i="6"/>
  <c r="H13" i="6" s="1"/>
  <c r="G38" i="6"/>
  <c r="H38" i="6" s="1"/>
  <c r="D21" i="8"/>
  <c r="H7" i="6"/>
  <c r="M9" i="6"/>
  <c r="H14" i="8"/>
  <c r="E34" i="6"/>
  <c r="C35" i="7"/>
  <c r="G28" i="6"/>
  <c r="M26" i="6"/>
  <c r="K30" i="6"/>
  <c r="G27" i="6"/>
  <c r="H27" i="6" s="1"/>
  <c r="G14" i="6"/>
  <c r="H14" i="6" s="1"/>
  <c r="D27" i="8"/>
  <c r="E8" i="6"/>
  <c r="E7" i="6" s="1"/>
  <c r="F7" i="6" s="1"/>
  <c r="C9" i="7"/>
  <c r="K33" i="6"/>
  <c r="D19" i="8"/>
  <c r="K16" i="6"/>
  <c r="M24" i="6"/>
  <c r="C21" i="7"/>
  <c r="E20" i="6"/>
  <c r="M32" i="6"/>
  <c r="M18" i="6"/>
  <c r="C12" i="4"/>
  <c r="K28" i="6"/>
  <c r="K31" i="6"/>
  <c r="G18" i="8"/>
  <c r="G36" i="6"/>
  <c r="H36" i="6" s="1"/>
  <c r="D25" i="8"/>
  <c r="H10" i="8"/>
  <c r="M19" i="6"/>
  <c r="K37" i="6"/>
  <c r="D32" i="3"/>
  <c r="C22" i="7"/>
  <c r="E21" i="6"/>
  <c r="E18" i="6"/>
  <c r="C19" i="7"/>
  <c r="M15" i="6"/>
  <c r="G12" i="6"/>
  <c r="H12" i="6" s="1"/>
  <c r="G35" i="6"/>
  <c r="H35" i="6" s="1"/>
  <c r="C12" i="7"/>
  <c r="E11" i="6"/>
  <c r="M8" i="6"/>
  <c r="C38" i="3"/>
  <c r="C10" i="7"/>
  <c r="E9" i="6"/>
  <c r="M29" i="6"/>
  <c r="G27" i="8"/>
  <c r="K25" i="6"/>
  <c r="G22" i="6"/>
  <c r="H22" i="6" s="1"/>
  <c r="G29" i="6"/>
  <c r="D10" i="8"/>
  <c r="K38" i="6"/>
  <c r="C29" i="7"/>
  <c r="E28" i="6"/>
  <c r="H11" i="8"/>
  <c r="G25" i="6"/>
  <c r="H25" i="6" s="1"/>
  <c r="G20" i="6"/>
  <c r="H20" i="6" s="1"/>
  <c r="E17" i="6"/>
  <c r="C18" i="7"/>
  <c r="G16" i="6"/>
  <c r="H16" i="6" s="1"/>
  <c r="M38" i="6"/>
  <c r="K20" i="6"/>
  <c r="G13" i="8"/>
  <c r="H16" i="8"/>
  <c r="E37" i="6"/>
  <c r="C38" i="7"/>
  <c r="D11" i="8"/>
  <c r="G19" i="6"/>
  <c r="H19" i="6" s="1"/>
  <c r="G37" i="6"/>
  <c r="H37" i="6" s="1"/>
  <c r="C23" i="7"/>
  <c r="E22" i="6"/>
  <c r="D23" i="8"/>
  <c r="M31" i="6"/>
  <c r="K22" i="6"/>
  <c r="D15" i="8"/>
  <c r="G33" i="6"/>
  <c r="H33" i="6" s="1"/>
  <c r="G10" i="6"/>
  <c r="H10" i="6" s="1"/>
  <c r="E14" i="6"/>
  <c r="C15" i="7"/>
  <c r="G9" i="5"/>
  <c r="G16" i="8"/>
  <c r="H23" i="8"/>
  <c r="D16" i="8"/>
  <c r="H21" i="8"/>
  <c r="C36" i="7"/>
  <c r="E35" i="6"/>
  <c r="G10" i="8"/>
  <c r="G11" i="8"/>
  <c r="G24" i="8"/>
  <c r="C16" i="7"/>
  <c r="E15" i="6"/>
  <c r="G17" i="6"/>
  <c r="H17" i="6" s="1"/>
  <c r="D8" i="8"/>
  <c r="E10" i="6"/>
  <c r="C11" i="7"/>
  <c r="M17" i="6"/>
  <c r="M20" i="6"/>
  <c r="K18" i="6"/>
  <c r="M11" i="6"/>
  <c r="M10" i="6"/>
  <c r="H19" i="8"/>
  <c r="H26" i="8"/>
  <c r="C32" i="7"/>
  <c r="E31" i="6"/>
  <c r="K17" i="6"/>
  <c r="K7" i="6" s="1"/>
  <c r="L7" i="6" s="1"/>
  <c r="K12" i="6"/>
  <c r="M23" i="6"/>
  <c r="C26" i="3"/>
  <c r="K10" i="6"/>
  <c r="M27" i="6"/>
  <c r="C20" i="7"/>
  <c r="E19" i="6"/>
  <c r="K9" i="6"/>
  <c r="E33" i="6"/>
  <c r="C34" i="7"/>
  <c r="D39" i="3"/>
  <c r="G18" i="6"/>
  <c r="H18" i="6" s="1"/>
  <c r="M14" i="6"/>
  <c r="K35" i="6"/>
  <c r="H17" i="8"/>
  <c r="G31" i="6"/>
  <c r="H31" i="6" s="1"/>
  <c r="M21" i="6"/>
  <c r="C14" i="7"/>
  <c r="E13" i="6"/>
  <c r="G12" i="8"/>
  <c r="D17" i="8"/>
  <c r="G7" i="8"/>
  <c r="G28" i="8" s="1"/>
  <c r="D8" i="7"/>
  <c r="G30" i="8" s="1"/>
  <c r="K21" i="6"/>
  <c r="G17" i="8"/>
  <c r="H12" i="8"/>
  <c r="D18" i="8"/>
  <c r="M25" i="6"/>
  <c r="M33" i="6"/>
  <c r="K23" i="6"/>
  <c r="K29" i="6"/>
  <c r="D37" i="3"/>
  <c r="G26" i="8"/>
  <c r="D12" i="8"/>
  <c r="K24" i="6"/>
  <c r="K34" i="6"/>
  <c r="M36" i="6"/>
  <c r="D16" i="5"/>
  <c r="E6" i="4"/>
  <c r="G32" i="6"/>
  <c r="H32" i="6" s="1"/>
  <c r="K13" i="6"/>
  <c r="D9" i="8"/>
  <c r="D24" i="8"/>
  <c r="K14" i="6"/>
  <c r="C24" i="7"/>
  <c r="E23" i="6"/>
  <c r="M34" i="6"/>
  <c r="G34" i="6"/>
  <c r="H34" i="6" s="1"/>
  <c r="K19" i="6"/>
  <c r="C9" i="4"/>
  <c r="G20" i="8"/>
  <c r="H8" i="8"/>
  <c r="H20" i="8"/>
  <c r="D22" i="8"/>
  <c r="C10" i="4"/>
  <c r="H24" i="8"/>
  <c r="M28" i="6"/>
  <c r="G8" i="6"/>
  <c r="H8" i="6" s="1"/>
  <c r="G9" i="6"/>
  <c r="H9" i="6" s="1"/>
  <c r="G30" i="6"/>
  <c r="H30" i="6" s="1"/>
  <c r="C31" i="7"/>
  <c r="C30" i="6" s="1"/>
  <c r="E30" i="6"/>
  <c r="C26" i="7"/>
  <c r="E25" i="6"/>
  <c r="G9" i="8"/>
  <c r="D35" i="3"/>
  <c r="G23" i="6"/>
  <c r="H23" i="6" s="1"/>
  <c r="K8" i="6"/>
  <c r="G23" i="8"/>
  <c r="C8" i="4"/>
  <c r="E32" i="6"/>
  <c r="C33" i="7"/>
  <c r="C32" i="6" s="1"/>
  <c r="H18" i="8"/>
  <c r="M16" i="6"/>
  <c r="C16" i="2"/>
  <c r="F25" i="2"/>
  <c r="F14" i="2"/>
  <c r="H30" i="2"/>
  <c r="N32" i="2"/>
  <c r="H17" i="2"/>
  <c r="L38" i="2"/>
  <c r="N36" i="2"/>
  <c r="L10" i="2"/>
  <c r="H21" i="2"/>
  <c r="H36" i="2"/>
  <c r="F12" i="2"/>
  <c r="L20" i="2"/>
  <c r="H34" i="2"/>
  <c r="L29" i="2"/>
  <c r="F29" i="2"/>
  <c r="H38" i="2"/>
  <c r="H19" i="2"/>
  <c r="E25" i="3"/>
  <c r="L23" i="2"/>
  <c r="L35" i="2"/>
  <c r="H26" i="2"/>
  <c r="L21" i="2"/>
  <c r="L27" i="2"/>
  <c r="N19" i="2"/>
  <c r="H23" i="2"/>
  <c r="H15" i="2"/>
  <c r="F32" i="2"/>
  <c r="H24" i="2"/>
  <c r="H33" i="2"/>
  <c r="E21" i="3"/>
  <c r="H14" i="2"/>
  <c r="H37" i="2"/>
  <c r="L9" i="2"/>
  <c r="L18" i="2"/>
  <c r="H32" i="2"/>
  <c r="L30" i="2"/>
  <c r="F15" i="2"/>
  <c r="N22" i="2"/>
  <c r="H27" i="2"/>
  <c r="H16" i="2"/>
  <c r="L31" i="2"/>
  <c r="H11" i="2"/>
  <c r="F11" i="2"/>
  <c r="L22" i="2"/>
  <c r="L32" i="2"/>
  <c r="N21" i="2"/>
  <c r="H29" i="2"/>
  <c r="N30" i="2"/>
  <c r="H35" i="2"/>
  <c r="H18" i="2"/>
  <c r="L13" i="2"/>
  <c r="H10" i="2"/>
  <c r="H13" i="2"/>
  <c r="F21" i="2"/>
  <c r="N38" i="2"/>
  <c r="H9" i="2"/>
  <c r="N20" i="2"/>
  <c r="H31" i="2"/>
  <c r="F31" i="2"/>
  <c r="H20" i="2"/>
  <c r="L24" i="2"/>
  <c r="N33" i="2"/>
  <c r="F18" i="2"/>
  <c r="L34" i="2"/>
  <c r="E36" i="3"/>
  <c r="E20" i="3"/>
  <c r="J33" i="2"/>
  <c r="J23" i="2"/>
  <c r="J21" i="2"/>
  <c r="E16" i="3"/>
  <c r="J20" i="2"/>
  <c r="E24" i="3"/>
  <c r="J26" i="2"/>
  <c r="E37" i="3"/>
  <c r="E15" i="3"/>
  <c r="E35" i="3"/>
  <c r="E38" i="3"/>
  <c r="E12" i="3"/>
  <c r="E34" i="3"/>
  <c r="E32" i="3"/>
  <c r="D30" i="8"/>
  <c r="E30" i="8" s="1"/>
  <c r="C7" i="6"/>
  <c r="D7" i="6" s="1"/>
  <c r="N11" i="2"/>
  <c r="E11" i="3"/>
  <c r="L11" i="2"/>
  <c r="F16" i="2"/>
  <c r="J29" i="2"/>
  <c r="J9" i="2"/>
  <c r="J32" i="2"/>
  <c r="J12" i="2"/>
  <c r="J35" i="2"/>
  <c r="J15" i="2"/>
  <c r="J38" i="2"/>
  <c r="J18" i="2"/>
  <c r="J24" i="2"/>
  <c r="J7" i="2"/>
  <c r="J19" i="2"/>
  <c r="J22" i="2"/>
  <c r="J31" i="2"/>
  <c r="J17" i="2"/>
  <c r="J14" i="2"/>
  <c r="J37" i="2"/>
  <c r="D30" i="5"/>
  <c r="E30" i="5" s="1"/>
  <c r="C6" i="4"/>
  <c r="C29" i="6"/>
  <c r="D28" i="5"/>
  <c r="F7" i="5" s="1"/>
  <c r="F36" i="2"/>
  <c r="E9" i="3"/>
  <c r="C12" i="6"/>
  <c r="C22" i="6"/>
  <c r="C27" i="6"/>
  <c r="E33" i="3"/>
  <c r="D28" i="8"/>
  <c r="F23" i="8" s="1"/>
  <c r="N35" i="2"/>
  <c r="F37" i="2"/>
  <c r="D8" i="3"/>
  <c r="G30" i="5" s="1"/>
  <c r="C46" i="2"/>
  <c r="L46" i="2" s="1"/>
  <c r="N16" i="2"/>
  <c r="N8" i="2"/>
  <c r="C19" i="6"/>
  <c r="C35" i="6"/>
  <c r="G28" i="5"/>
  <c r="C44" i="2"/>
  <c r="N44" i="2" s="1"/>
  <c r="N28" i="2"/>
  <c r="F19" i="2"/>
  <c r="L37" i="2"/>
  <c r="D29" i="8"/>
  <c r="I7" i="6"/>
  <c r="J8" i="6" s="1"/>
  <c r="C11" i="6"/>
  <c r="C13" i="6"/>
  <c r="C26" i="2"/>
  <c r="C43" i="2" s="1"/>
  <c r="L43" i="2" s="1"/>
  <c r="F46" i="2"/>
  <c r="C23" i="6"/>
  <c r="J16" i="2"/>
  <c r="J34" i="2"/>
  <c r="C16" i="6"/>
  <c r="J11" i="2"/>
  <c r="J13" i="2"/>
  <c r="C34" i="6"/>
  <c r="F28" i="2"/>
  <c r="F34" i="2"/>
  <c r="F26" i="2"/>
  <c r="E17" i="3"/>
  <c r="F12" i="5"/>
  <c r="C15" i="6"/>
  <c r="C18" i="6"/>
  <c r="C24" i="6"/>
  <c r="C38" i="6"/>
  <c r="N34" i="2"/>
  <c r="H25" i="2"/>
  <c r="F22" i="2"/>
  <c r="J28" i="2"/>
  <c r="J27" i="2"/>
  <c r="C17" i="6"/>
  <c r="C10" i="6"/>
  <c r="E39" i="3"/>
  <c r="N24" i="2"/>
  <c r="N13" i="2"/>
  <c r="E31" i="3"/>
  <c r="N25" i="2"/>
  <c r="C26" i="6"/>
  <c r="N15" i="2"/>
  <c r="N18" i="2"/>
  <c r="F17" i="2"/>
  <c r="F23" i="2"/>
  <c r="C45" i="2"/>
  <c r="L45" i="2" s="1"/>
  <c r="F30" i="2"/>
  <c r="H28" i="2"/>
  <c r="L17" i="2"/>
  <c r="C28" i="6"/>
  <c r="C20" i="6"/>
  <c r="N29" i="2"/>
  <c r="N12" i="2"/>
  <c r="F20" i="2"/>
  <c r="N10" i="2"/>
  <c r="E28" i="3"/>
  <c r="N37" i="2"/>
  <c r="E22" i="3"/>
  <c r="F7" i="2"/>
  <c r="C7" i="2"/>
  <c r="D7" i="2" s="1"/>
  <c r="F24" i="2"/>
  <c r="E30" i="3"/>
  <c r="L19" i="2"/>
  <c r="N14" i="2"/>
  <c r="F33" i="2"/>
  <c r="F23" i="5"/>
  <c r="H8" i="2"/>
  <c r="N31" i="2"/>
  <c r="N23" i="2"/>
  <c r="C31" i="6"/>
  <c r="C14" i="6"/>
  <c r="F8" i="2"/>
  <c r="E29" i="3"/>
  <c r="F38" i="2"/>
  <c r="F10" i="2"/>
  <c r="J36" i="2"/>
  <c r="J10" i="2"/>
  <c r="C36" i="6"/>
  <c r="C33" i="6"/>
  <c r="C37" i="6"/>
  <c r="C8" i="6"/>
  <c r="E10" i="3"/>
  <c r="F27" i="2"/>
  <c r="L8" i="2"/>
  <c r="N17" i="2"/>
  <c r="J30" i="2"/>
  <c r="N9" i="2"/>
  <c r="E27" i="3"/>
  <c r="E18" i="3"/>
  <c r="F35" i="2"/>
  <c r="L36" i="2"/>
  <c r="E14" i="3"/>
  <c r="L25" i="2"/>
  <c r="C25" i="6"/>
  <c r="J8" i="2"/>
  <c r="C9" i="6"/>
  <c r="C21" i="6"/>
  <c r="E26" i="3"/>
  <c r="F13" i="2"/>
  <c r="N26" i="2"/>
  <c r="L14" i="2"/>
  <c r="D14" i="7" l="1"/>
  <c r="E14" i="7" s="1"/>
  <c r="D27" i="7"/>
  <c r="E27" i="7" s="1"/>
  <c r="D36" i="7"/>
  <c r="E36" i="7" s="1"/>
  <c r="D12" i="7"/>
  <c r="E12" i="7" s="1"/>
  <c r="C23" i="4"/>
  <c r="C33" i="4"/>
  <c r="D37" i="7"/>
  <c r="E37" i="7" s="1"/>
  <c r="D25" i="7"/>
  <c r="E25" i="7" s="1"/>
  <c r="C25" i="4"/>
  <c r="D39" i="7"/>
  <c r="E39" i="7" s="1"/>
  <c r="C24" i="4"/>
  <c r="D38" i="7"/>
  <c r="E38" i="7" s="1"/>
  <c r="D29" i="7"/>
  <c r="E29" i="7" s="1"/>
  <c r="D33" i="7"/>
  <c r="E33" i="7" s="1"/>
  <c r="D26" i="7"/>
  <c r="E26" i="7" s="1"/>
  <c r="G15" i="8"/>
  <c r="D9" i="7"/>
  <c r="E9" i="7" s="1"/>
  <c r="H15" i="8"/>
  <c r="C34" i="4"/>
  <c r="C30" i="4"/>
  <c r="C19" i="4"/>
  <c r="D11" i="7"/>
  <c r="E11" i="7" s="1"/>
  <c r="D28" i="7"/>
  <c r="D30" i="7"/>
  <c r="E30" i="7" s="1"/>
  <c r="D19" i="7"/>
  <c r="E19" i="7" s="1"/>
  <c r="C35" i="4"/>
  <c r="C21" i="4"/>
  <c r="C16" i="4"/>
  <c r="D31" i="7"/>
  <c r="E31" i="7" s="1"/>
  <c r="C26" i="4"/>
  <c r="C17" i="4"/>
  <c r="H25" i="8"/>
  <c r="D34" i="7"/>
  <c r="E34" i="7" s="1"/>
  <c r="C20" i="4"/>
  <c r="G25" i="8"/>
  <c r="D24" i="7"/>
  <c r="E24" i="7" s="1"/>
  <c r="D21" i="7"/>
  <c r="E21" i="7" s="1"/>
  <c r="D10" i="7"/>
  <c r="E10" i="7" s="1"/>
  <c r="D17" i="7"/>
  <c r="E17" i="7" s="1"/>
  <c r="D22" i="7"/>
  <c r="E22" i="7" s="1"/>
  <c r="C29" i="4"/>
  <c r="C15" i="4"/>
  <c r="C31" i="4"/>
  <c r="C22" i="4"/>
  <c r="D32" i="7"/>
  <c r="E32" i="7" s="1"/>
  <c r="D23" i="7"/>
  <c r="E23" i="7" s="1"/>
  <c r="C18" i="4"/>
  <c r="C27" i="4"/>
  <c r="C32" i="4"/>
  <c r="H7" i="8"/>
  <c r="H7" i="2"/>
  <c r="D20" i="7"/>
  <c r="E20" i="7" s="1"/>
  <c r="D16" i="7"/>
  <c r="E16" i="7" s="1"/>
  <c r="D15" i="7"/>
  <c r="E15" i="7" s="1"/>
  <c r="D18" i="7"/>
  <c r="E18" i="7" s="1"/>
  <c r="D35" i="7"/>
  <c r="E35" i="7" s="1"/>
  <c r="D13" i="7"/>
  <c r="E13" i="7" s="1"/>
  <c r="C14" i="4"/>
  <c r="C28" i="4"/>
  <c r="C13" i="4"/>
  <c r="D20" i="2"/>
  <c r="L33" i="2"/>
  <c r="M7" i="6"/>
  <c r="L15" i="2"/>
  <c r="E8" i="7"/>
  <c r="H30" i="8" s="1"/>
  <c r="L28" i="2"/>
  <c r="L26" i="2"/>
  <c r="L12" i="2"/>
  <c r="E19" i="3"/>
  <c r="N27" i="2"/>
  <c r="D38" i="2"/>
  <c r="D23" i="2"/>
  <c r="D35" i="2"/>
  <c r="D27" i="2"/>
  <c r="N24" i="6"/>
  <c r="N34" i="6"/>
  <c r="N46" i="2"/>
  <c r="D9" i="2"/>
  <c r="D13" i="2"/>
  <c r="F26" i="8"/>
  <c r="E18" i="8"/>
  <c r="F18" i="8"/>
  <c r="L26" i="6"/>
  <c r="N26" i="6"/>
  <c r="N38" i="6"/>
  <c r="N19" i="6"/>
  <c r="L23" i="6"/>
  <c r="D21" i="6"/>
  <c r="D36" i="6"/>
  <c r="D9" i="6"/>
  <c r="F11" i="8"/>
  <c r="E8" i="8"/>
  <c r="F14" i="8"/>
  <c r="D15" i="6"/>
  <c r="D13" i="6"/>
  <c r="E19" i="8"/>
  <c r="D25" i="6"/>
  <c r="D28" i="6"/>
  <c r="H28" i="6" s="1"/>
  <c r="E22" i="8"/>
  <c r="E13" i="8"/>
  <c r="F21" i="8"/>
  <c r="F27" i="8"/>
  <c r="D8" i="6"/>
  <c r="E12" i="8"/>
  <c r="F22" i="8"/>
  <c r="F25" i="8"/>
  <c r="F12" i="8"/>
  <c r="E26" i="8"/>
  <c r="E15" i="8"/>
  <c r="D16" i="6"/>
  <c r="L8" i="6"/>
  <c r="F7" i="8"/>
  <c r="L36" i="6"/>
  <c r="E14" i="8"/>
  <c r="D32" i="6"/>
  <c r="L37" i="6"/>
  <c r="D12" i="6"/>
  <c r="F15" i="8"/>
  <c r="L33" i="6"/>
  <c r="N21" i="6"/>
  <c r="D35" i="6"/>
  <c r="D30" i="6"/>
  <c r="F10" i="8"/>
  <c r="E10" i="8"/>
  <c r="D24" i="6"/>
  <c r="D23" i="6"/>
  <c r="N18" i="6"/>
  <c r="F13" i="8"/>
  <c r="N37" i="6"/>
  <c r="D18" i="6"/>
  <c r="E25" i="8"/>
  <c r="E27" i="8"/>
  <c r="E17" i="8"/>
  <c r="D22" i="6"/>
  <c r="D19" i="6"/>
  <c r="E21" i="8"/>
  <c r="L24" i="6"/>
  <c r="D10" i="6"/>
  <c r="E24" i="8"/>
  <c r="D17" i="6"/>
  <c r="F24" i="8"/>
  <c r="N8" i="6"/>
  <c r="E11" i="8"/>
  <c r="N33" i="6"/>
  <c r="D11" i="6"/>
  <c r="D34" i="6"/>
  <c r="E7" i="8"/>
  <c r="D29" i="6"/>
  <c r="D37" i="6"/>
  <c r="L10" i="6"/>
  <c r="D26" i="6"/>
  <c r="E23" i="8"/>
  <c r="E29" i="8"/>
  <c r="D14" i="6"/>
  <c r="E9" i="8"/>
  <c r="N10" i="6"/>
  <c r="E28" i="7"/>
  <c r="N15" i="6"/>
  <c r="N25" i="6"/>
  <c r="D33" i="6"/>
  <c r="D31" i="6"/>
  <c r="N22" i="6"/>
  <c r="D20" i="6"/>
  <c r="N35" i="6"/>
  <c r="N16" i="6"/>
  <c r="D27" i="6"/>
  <c r="L25" i="6"/>
  <c r="L38" i="6"/>
  <c r="N27" i="6"/>
  <c r="N36" i="6"/>
  <c r="D38" i="6"/>
  <c r="E16" i="8"/>
  <c r="E20" i="8"/>
  <c r="D11" i="2"/>
  <c r="D34" i="2"/>
  <c r="D14" i="2"/>
  <c r="F45" i="2"/>
  <c r="D21" i="2"/>
  <c r="H44" i="2"/>
  <c r="F44" i="2"/>
  <c r="L44" i="2"/>
  <c r="D8" i="2"/>
  <c r="D25" i="2"/>
  <c r="D33" i="2"/>
  <c r="F24" i="5"/>
  <c r="F18" i="5"/>
  <c r="F17" i="5"/>
  <c r="F11" i="5"/>
  <c r="E13" i="5"/>
  <c r="E8" i="5"/>
  <c r="E23" i="5"/>
  <c r="E12" i="5"/>
  <c r="E11" i="5"/>
  <c r="E25" i="5"/>
  <c r="E20" i="5"/>
  <c r="E22" i="5"/>
  <c r="E10" i="5"/>
  <c r="E19" i="5"/>
  <c r="E24" i="5"/>
  <c r="F10" i="5"/>
  <c r="F19" i="5"/>
  <c r="E16" i="5"/>
  <c r="E26" i="5"/>
  <c r="F16" i="5"/>
  <c r="E17" i="5"/>
  <c r="E15" i="5"/>
  <c r="E18" i="5"/>
  <c r="E21" i="5"/>
  <c r="F21" i="5"/>
  <c r="E14" i="5"/>
  <c r="F37" i="6"/>
  <c r="L22" i="6"/>
  <c r="L29" i="6"/>
  <c r="F27" i="5"/>
  <c r="J45" i="2"/>
  <c r="D45" i="2"/>
  <c r="H28" i="5"/>
  <c r="F28" i="5"/>
  <c r="E28" i="5"/>
  <c r="F22" i="5"/>
  <c r="F21" i="6"/>
  <c r="H28" i="8"/>
  <c r="F28" i="8"/>
  <c r="E28" i="8"/>
  <c r="F15" i="5"/>
  <c r="F17" i="6"/>
  <c r="F35" i="6"/>
  <c r="F8" i="5"/>
  <c r="N17" i="6"/>
  <c r="F11" i="6"/>
  <c r="F31" i="6"/>
  <c r="N12" i="6"/>
  <c r="F8" i="6"/>
  <c r="F23" i="6"/>
  <c r="N23" i="6"/>
  <c r="D24" i="2"/>
  <c r="D17" i="2"/>
  <c r="L17" i="6"/>
  <c r="N29" i="6"/>
  <c r="N30" i="6"/>
  <c r="F14" i="6"/>
  <c r="F43" i="2"/>
  <c r="L27" i="6"/>
  <c r="F12" i="6"/>
  <c r="F9" i="6"/>
  <c r="L13" i="6"/>
  <c r="J7" i="6"/>
  <c r="J27" i="6"/>
  <c r="J17" i="6"/>
  <c r="J37" i="6"/>
  <c r="J24" i="6"/>
  <c r="J14" i="6"/>
  <c r="J34" i="6"/>
  <c r="J31" i="6"/>
  <c r="J18" i="6"/>
  <c r="J38" i="6"/>
  <c r="J28" i="6"/>
  <c r="J15" i="6"/>
  <c r="J12" i="6"/>
  <c r="J19" i="6"/>
  <c r="J9" i="6"/>
  <c r="J26" i="6"/>
  <c r="J16" i="6"/>
  <c r="J20" i="6"/>
  <c r="J23" i="6"/>
  <c r="J10" i="6"/>
  <c r="J11" i="6"/>
  <c r="J25" i="6"/>
  <c r="J21" i="6"/>
  <c r="J22" i="6"/>
  <c r="J32" i="6"/>
  <c r="J33" i="6"/>
  <c r="J35" i="6"/>
  <c r="J29" i="6"/>
  <c r="J13" i="6"/>
  <c r="J30" i="6"/>
  <c r="J36" i="6"/>
  <c r="F16" i="8"/>
  <c r="L15" i="6"/>
  <c r="H45" i="2"/>
  <c r="L32" i="6"/>
  <c r="H46" i="2"/>
  <c r="F9" i="8"/>
  <c r="H43" i="2"/>
  <c r="F26" i="6"/>
  <c r="N45" i="2"/>
  <c r="F17" i="8"/>
  <c r="F14" i="5"/>
  <c r="F26" i="5"/>
  <c r="F25" i="6"/>
  <c r="F18" i="6"/>
  <c r="D37" i="2"/>
  <c r="D36" i="2"/>
  <c r="F29" i="6"/>
  <c r="F36" i="6"/>
  <c r="F19" i="6"/>
  <c r="D10" i="2"/>
  <c r="N32" i="6"/>
  <c r="F19" i="8"/>
  <c r="N20" i="6"/>
  <c r="E9" i="5"/>
  <c r="E8" i="3"/>
  <c r="H30" i="5" s="1"/>
  <c r="F20" i="8"/>
  <c r="F8" i="8"/>
  <c r="D19" i="2"/>
  <c r="N43" i="2"/>
  <c r="L16" i="6"/>
  <c r="F9" i="5"/>
  <c r="L11" i="6"/>
  <c r="F28" i="6"/>
  <c r="F34" i="6"/>
  <c r="F38" i="6"/>
  <c r="D12" i="2"/>
  <c r="D29" i="2"/>
  <c r="N13" i="6"/>
  <c r="J43" i="2"/>
  <c r="D43" i="2"/>
  <c r="F24" i="6"/>
  <c r="J44" i="2"/>
  <c r="D44" i="2"/>
  <c r="D46" i="2"/>
  <c r="J46" i="2"/>
  <c r="A28" i="5"/>
  <c r="L21" i="6"/>
  <c r="F10" i="6"/>
  <c r="L20" i="6"/>
  <c r="N11" i="6"/>
  <c r="D26" i="2"/>
  <c r="D31" i="2"/>
  <c r="F22" i="6"/>
  <c r="L12" i="6"/>
  <c r="F25" i="5"/>
  <c r="D16" i="2"/>
  <c r="F20" i="6"/>
  <c r="F13" i="6"/>
  <c r="L30" i="6"/>
  <c r="D18" i="2"/>
  <c r="F32" i="6"/>
  <c r="L18" i="6"/>
  <c r="F13" i="5"/>
  <c r="L34" i="6"/>
  <c r="L19" i="6"/>
  <c r="L35" i="6"/>
  <c r="L31" i="6"/>
  <c r="D22" i="2"/>
  <c r="L28" i="6"/>
  <c r="L14" i="6"/>
  <c r="D28" i="2"/>
  <c r="F27" i="6"/>
  <c r="E29" i="5"/>
  <c r="D15" i="2"/>
  <c r="D32" i="2"/>
  <c r="F33" i="6"/>
  <c r="D30" i="2"/>
  <c r="F30" i="6"/>
  <c r="F16" i="6"/>
  <c r="F15" i="6"/>
  <c r="L9" i="6"/>
  <c r="E27" i="5"/>
  <c r="E7" i="5"/>
  <c r="F20" i="5"/>
  <c r="N7" i="6" l="1"/>
  <c r="N9" i="6"/>
  <c r="N28" i="6"/>
  <c r="N31" i="6"/>
  <c r="N14" i="6"/>
</calcChain>
</file>

<file path=xl/sharedStrings.xml><?xml version="1.0" encoding="utf-8"?>
<sst xmlns="http://schemas.openxmlformats.org/spreadsheetml/2006/main" count="1322" uniqueCount="109">
  <si>
    <t xml:space="preserve">TURISMO EN CIFRAS </t>
  </si>
  <si>
    <t>Plazas turísticas</t>
  </si>
  <si>
    <t>Plazas y número de establecimientos autorizados</t>
  </si>
  <si>
    <t>Alojativos</t>
  </si>
  <si>
    <t>Periodo actual</t>
  </si>
  <si>
    <t>Plazas turísticas autorizadas según tipología del establecimiento: distribución por municipios periodo actual</t>
  </si>
  <si>
    <t>Plazas turísticas autorizadas según municipio tipología y categoría del establecimiento: variación y diferencia respecto al cierre del año anterior</t>
  </si>
  <si>
    <t>Plazas turísticas autorizadas según tipología y categoría del establecimiento periodo actual</t>
  </si>
  <si>
    <t>Establecimientos turísticos autorizados según tipología del establecimiento periodo actual: distribución por municipios</t>
  </si>
  <si>
    <t>Establecimientos turísticos autorizadas según municipio tipología y categoría del establecimiento: variación y diferencia respecto al cierre del año anterior</t>
  </si>
  <si>
    <t>Establecimientos turísticos autorizados según tipología y categoría del establecimiento: distribución por categoría periodo actual</t>
  </si>
  <si>
    <t>Series históricas</t>
  </si>
  <si>
    <t>Evolución anual de plazas turísticas autorizadas según tipología del establecimiento</t>
  </si>
  <si>
    <t>Hoteles</t>
  </si>
  <si>
    <t>Apartamentos</t>
  </si>
  <si>
    <t>Hoteles rurales</t>
  </si>
  <si>
    <t>MUNICIPIO</t>
  </si>
  <si>
    <t>Total</t>
  </si>
  <si>
    <t>Vivienda vacacional</t>
  </si>
  <si>
    <t>Hoteles Rurales</t>
  </si>
  <si>
    <t>Casas Rurales</t>
  </si>
  <si>
    <t>Plazas</t>
  </si>
  <si>
    <t>cuota s/total insular</t>
  </si>
  <si>
    <t>Total Isla</t>
  </si>
  <si>
    <t>Adeje</t>
  </si>
  <si>
    <t>Arafo</t>
  </si>
  <si>
    <t>Arico</t>
  </si>
  <si>
    <t>Arona</t>
  </si>
  <si>
    <t>Buenavista del Norte</t>
  </si>
  <si>
    <t xml:space="preserve">Candelaria </t>
  </si>
  <si>
    <t>Fasnia</t>
  </si>
  <si>
    <t>Garachico</t>
  </si>
  <si>
    <t>Granadilla de Abona</t>
  </si>
  <si>
    <t>La Guancha</t>
  </si>
  <si>
    <t>Guía de Isora</t>
  </si>
  <si>
    <t>Güímar</t>
  </si>
  <si>
    <t>Icod de los Vinos</t>
  </si>
  <si>
    <t>La Laguna</t>
  </si>
  <si>
    <t>La Matanza de Acentejo</t>
  </si>
  <si>
    <t>La Orotava</t>
  </si>
  <si>
    <t>Puerto de la Cruz</t>
  </si>
  <si>
    <t>Los Realejos</t>
  </si>
  <si>
    <t>El Rosario</t>
  </si>
  <si>
    <t>San Juan de la Rambla</t>
  </si>
  <si>
    <t>San Miguel de Abona</t>
  </si>
  <si>
    <t>Santa Cruz De Tenerife</t>
  </si>
  <si>
    <t>Santa Ursula</t>
  </si>
  <si>
    <t>Santiago del Teide</t>
  </si>
  <si>
    <t>El Sauzal</t>
  </si>
  <si>
    <t>Los Silos</t>
  </si>
  <si>
    <t>Tacoronte</t>
  </si>
  <si>
    <t>El Tanque</t>
  </si>
  <si>
    <t>Tegueste</t>
  </si>
  <si>
    <t>La Victoria de Acentejo</t>
  </si>
  <si>
    <t>Vilaflor</t>
  </si>
  <si>
    <t xml:space="preserve">(*) Plazas Autorizadas conforme a Policía Turística.
FUENTE: Policía Turística. Cabildo Insular de Tenerife. ELABORACIÓN: Turismo de Tenerife </t>
  </si>
  <si>
    <t>Sur</t>
  </si>
  <si>
    <t>Norte</t>
  </si>
  <si>
    <t>Zona 2</t>
  </si>
  <si>
    <t>Santa Cruz</t>
  </si>
  <si>
    <t>HOTELES</t>
  </si>
  <si>
    <t>APARTAMENTOS</t>
  </si>
  <si>
    <t>Total hoteles</t>
  </si>
  <si>
    <t>1*</t>
  </si>
  <si>
    <t>2*</t>
  </si>
  <si>
    <t>3*</t>
  </si>
  <si>
    <t>4*</t>
  </si>
  <si>
    <t>5*</t>
  </si>
  <si>
    <t>5* lujo</t>
  </si>
  <si>
    <t>5* gran lujo</t>
  </si>
  <si>
    <t>Hotel emblemático</t>
  </si>
  <si>
    <t>Total apartamentos</t>
  </si>
  <si>
    <t>1LL</t>
  </si>
  <si>
    <t>2LL</t>
  </si>
  <si>
    <t>3LL</t>
  </si>
  <si>
    <t>5LL</t>
  </si>
  <si>
    <t>Casa emblemática</t>
  </si>
  <si>
    <t>categoría única/ sin dato</t>
  </si>
  <si>
    <t>establecimientos</t>
  </si>
  <si>
    <t>dif. respecto cierre año anterior</t>
  </si>
  <si>
    <t>var respecto cierre año anterior</t>
  </si>
  <si>
    <t>-</t>
  </si>
  <si>
    <t>fuente: Estadísticas Establecimientos inscritos en el Registro General de Turismo de Canarias. Datos abieros Gobierno de Canarias</t>
  </si>
  <si>
    <t>datos tomados de INE Estadística experimental. Medición del número de viviendas turísticas en España y su capacidad</t>
  </si>
  <si>
    <t>Elegir un municipio</t>
  </si>
  <si>
    <t>cuota s/total insular sin Vivienda vacacional</t>
  </si>
  <si>
    <t>diferencia respecto al año anterior</t>
  </si>
  <si>
    <t>var respecto al año anterior</t>
  </si>
  <si>
    <t>Casas rurales</t>
  </si>
  <si>
    <t>Total plazas sin vivienda vacacional</t>
  </si>
  <si>
    <t>Vivienda vacacional (2)</t>
  </si>
  <si>
    <t xml:space="preserve">(1) Plazas inscritas en Policía Turística.
(2) Datos abiertos Gobierno de Canarias
FUENTE: Policía Turística. Cabildo Insular de Tenerife. Datos abiertos Gobierno de Canarias para el dato Vivienda Vacacional.
 ELABORACIÓN: Turismo de Tenerife </t>
  </si>
  <si>
    <t>Establecimientos</t>
  </si>
  <si>
    <t>Guia de Isora</t>
  </si>
  <si>
    <t>Güimar</t>
  </si>
  <si>
    <t>Tanque</t>
  </si>
  <si>
    <t>Zona Sur</t>
  </si>
  <si>
    <t>zona Norte</t>
  </si>
  <si>
    <t>Zona 1</t>
  </si>
  <si>
    <t>Total establecimientos sin vivienda vacacional</t>
  </si>
  <si>
    <t>TENERIFE</t>
  </si>
  <si>
    <t>I semestre 2026</t>
  </si>
  <si>
    <t>Plazas turísticas registradas en Tenerife por tipología 
I semestre 2026</t>
  </si>
  <si>
    <t>Plazas turísticas autorizadas* según tipología del establecimiento
Distribución por Municipios
 junio 2026</t>
  </si>
  <si>
    <t>Plazas turísticas autorizadas* según tipología y categoría del establecimiento
Distribución por Municipios
 junio 2026</t>
  </si>
  <si>
    <t>Plazas turísticas autorizadas* en Tenerife según tipología del establecimiento</t>
  </si>
  <si>
    <t>junio 2026</t>
  </si>
  <si>
    <t>Establecimientos turísticos autorizados* según tipología del establecimiento
Distribución por Municipios
 junio 2026</t>
  </si>
  <si>
    <t>Establecimientos turísticos autorizadas* según tipología y categoría del establecimiento
Distribución por Municipios
 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</si>
</sst>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8"/>
      <color theme="1" tint="0.34998626667073579"/>
      <name val="Calibri"/>
      <family val="2"/>
      <scheme val="minor"/>
    </font>
    <font>
      <b/>
      <sz val="18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  <font>
      <b/>
      <sz val="14"/>
      <color theme="9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sz val="10"/>
      <name val="Arial"/>
      <family val="2"/>
    </font>
    <font>
      <b/>
      <sz val="10"/>
      <color theme="1" tint="0.34998626667073579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theme="9"/>
      <name val="Calibri"/>
      <family val="2"/>
      <scheme val="minor"/>
    </font>
    <font>
      <sz val="12"/>
      <color theme="9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sz val="9"/>
      <color theme="1" tint="0.34998626667073579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2"/>
      <color theme="6" tint="-0.249977111117893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color theme="8"/>
      <name val="Calibri"/>
      <family val="2"/>
      <scheme val="minor"/>
    </font>
    <font>
      <sz val="14"/>
      <color theme="1" tint="0.499984740745262"/>
      <name val="Calibri"/>
      <family val="2"/>
      <scheme val="minor"/>
    </font>
    <font>
      <sz val="20"/>
      <color theme="9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1"/>
      <color theme="9" tint="0.39997558519241921"/>
      <name val="Calibri"/>
      <family val="2"/>
      <scheme val="minor"/>
    </font>
    <font>
      <b/>
      <sz val="11"/>
      <color theme="5" tint="0.39997558519241921"/>
      <name val="Calibri"/>
      <family val="2"/>
      <scheme val="minor"/>
    </font>
    <font>
      <b/>
      <sz val="11"/>
      <color theme="7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9"/>
      </bottom>
      <diagonal/>
    </border>
    <border>
      <left/>
      <right/>
      <top/>
      <bottom style="medium">
        <color theme="0" tint="-0.24994659260841701"/>
      </bottom>
      <diagonal/>
    </border>
    <border>
      <left/>
      <right/>
      <top/>
      <bottom style="medium">
        <color theme="9"/>
      </bottom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/>
      </right>
      <top/>
      <bottom/>
      <diagonal/>
    </border>
    <border>
      <left style="thin">
        <color theme="0"/>
      </left>
      <right style="thin">
        <color theme="0" tint="-0.14996795556505021"/>
      </right>
      <top/>
      <bottom/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medium">
        <color theme="9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0.24994659260841701"/>
      </left>
      <right style="thin">
        <color theme="0"/>
      </right>
      <top/>
      <bottom/>
      <diagonal/>
    </border>
    <border>
      <left style="thin">
        <color theme="0"/>
      </left>
      <right style="thin">
        <color theme="0" tint="-0.24994659260841701"/>
      </right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 tint="-0.14996795556505021"/>
      </top>
      <bottom/>
      <diagonal/>
    </border>
    <border>
      <left/>
      <right/>
      <top/>
      <bottom style="thin">
        <color theme="9"/>
      </bottom>
      <diagonal/>
    </border>
    <border>
      <left style="thin">
        <color theme="0" tint="-0.14996795556505021"/>
      </left>
      <right/>
      <top/>
      <bottom style="thin">
        <color theme="9"/>
      </bottom>
      <diagonal/>
    </border>
    <border>
      <left style="thin">
        <color rgb="FFABABAB"/>
      </left>
      <right/>
      <top style="thin">
        <color rgb="FFABABAB"/>
      </top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1" fontId="14" fillId="0" borderId="0">
      <alignment vertical="center"/>
    </xf>
    <xf numFmtId="0" fontId="16" fillId="0" borderId="0"/>
    <xf numFmtId="9" fontId="14" fillId="0" borderId="0" applyFont="0" applyFill="0" applyBorder="0" applyProtection="0">
      <alignment vertical="center"/>
    </xf>
    <xf numFmtId="1" fontId="14" fillId="0" borderId="0">
      <alignment vertical="center"/>
    </xf>
  </cellStyleXfs>
  <cellXfs count="131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0" fontId="9" fillId="0" borderId="1" xfId="0" applyFont="1" applyBorder="1"/>
    <xf numFmtId="0" fontId="10" fillId="0" borderId="2" xfId="0" applyFont="1" applyBorder="1"/>
    <xf numFmtId="0" fontId="11" fillId="2" borderId="0" xfId="2" applyFont="1" applyFill="1" applyAlignment="1">
      <alignment horizontal="left" indent="3"/>
    </xf>
    <xf numFmtId="0" fontId="12" fillId="0" borderId="0" xfId="2" applyFont="1" applyAlignment="1">
      <alignment horizontal="left" indent="1"/>
    </xf>
    <xf numFmtId="0" fontId="13" fillId="0" borderId="0" xfId="2" applyFont="1" applyAlignment="1">
      <alignment horizontal="left" indent="3"/>
    </xf>
    <xf numFmtId="0" fontId="5" fillId="0" borderId="0" xfId="2"/>
    <xf numFmtId="3" fontId="4" fillId="0" borderId="0" xfId="0" applyNumberFormat="1" applyFont="1"/>
    <xf numFmtId="1" fontId="11" fillId="0" borderId="0" xfId="3" applyFont="1" applyAlignment="1" applyProtection="1">
      <alignment horizontal="center" vertical="center" wrapText="1"/>
      <protection hidden="1"/>
    </xf>
    <xf numFmtId="1" fontId="15" fillId="2" borderId="0" xfId="3" applyFont="1" applyFill="1" applyAlignment="1" applyProtection="1">
      <alignment horizontal="center" vertical="center"/>
      <protection hidden="1"/>
    </xf>
    <xf numFmtId="17" fontId="15" fillId="2" borderId="6" xfId="3" applyNumberFormat="1" applyFont="1" applyFill="1" applyBorder="1" applyAlignment="1" applyProtection="1">
      <alignment horizontal="center" vertical="center" wrapText="1"/>
      <protection hidden="1"/>
    </xf>
    <xf numFmtId="1" fontId="15" fillId="2" borderId="7" xfId="3" applyFont="1" applyFill="1" applyBorder="1" applyAlignment="1" applyProtection="1">
      <alignment horizontal="center" vertical="center" wrapText="1"/>
      <protection hidden="1"/>
    </xf>
    <xf numFmtId="0" fontId="17" fillId="0" borderId="0" xfId="4" applyFont="1" applyAlignment="1" applyProtection="1">
      <alignment vertical="center"/>
      <protection hidden="1"/>
    </xf>
    <xf numFmtId="3" fontId="17" fillId="0" borderId="4" xfId="4" applyNumberFormat="1" applyFont="1" applyBorder="1" applyAlignment="1" applyProtection="1">
      <alignment horizontal="right" vertical="center" wrapText="1"/>
      <protection hidden="1"/>
    </xf>
    <xf numFmtId="164" fontId="17" fillId="0" borderId="5" xfId="5" applyNumberFormat="1" applyFont="1" applyBorder="1" applyProtection="1">
      <alignment vertical="center"/>
      <protection hidden="1"/>
    </xf>
    <xf numFmtId="0" fontId="18" fillId="0" borderId="0" xfId="0" applyFont="1"/>
    <xf numFmtId="0" fontId="15" fillId="0" borderId="0" xfId="4" applyFont="1" applyAlignment="1" applyProtection="1">
      <alignment vertical="center"/>
      <protection hidden="1"/>
    </xf>
    <xf numFmtId="3" fontId="15" fillId="0" borderId="4" xfId="4" applyNumberFormat="1" applyFont="1" applyBorder="1" applyAlignment="1" applyProtection="1">
      <alignment horizontal="right" vertical="center" wrapText="1"/>
      <protection hidden="1"/>
    </xf>
    <xf numFmtId="164" fontId="19" fillId="0" borderId="5" xfId="5" applyNumberFormat="1" applyFont="1" applyBorder="1" applyProtection="1">
      <alignment vertical="center"/>
      <protection hidden="1"/>
    </xf>
    <xf numFmtId="3" fontId="19" fillId="0" borderId="4" xfId="4" applyNumberFormat="1" applyFont="1" applyBorder="1" applyAlignment="1" applyProtection="1">
      <alignment horizontal="right" vertical="center" wrapText="1"/>
      <protection hidden="1"/>
    </xf>
    <xf numFmtId="3" fontId="8" fillId="0" borderId="0" xfId="0" applyNumberFormat="1" applyFont="1"/>
    <xf numFmtId="3" fontId="15" fillId="0" borderId="0" xfId="4" applyNumberFormat="1" applyFont="1" applyAlignment="1" applyProtection="1">
      <alignment horizontal="right" vertical="center" wrapText="1"/>
      <protection hidden="1"/>
    </xf>
    <xf numFmtId="164" fontId="19" fillId="0" borderId="0" xfId="5" applyNumberFormat="1" applyFont="1" applyBorder="1" applyProtection="1">
      <alignment vertical="center"/>
      <protection hidden="1"/>
    </xf>
    <xf numFmtId="3" fontId="19" fillId="0" borderId="0" xfId="4" applyNumberFormat="1" applyFont="1" applyAlignment="1" applyProtection="1">
      <alignment horizontal="right" vertical="center" wrapText="1"/>
      <protection hidden="1"/>
    </xf>
    <xf numFmtId="0" fontId="8" fillId="0" borderId="8" xfId="0" applyFont="1" applyBorder="1"/>
    <xf numFmtId="164" fontId="15" fillId="0" borderId="8" xfId="5" applyNumberFormat="1" applyFont="1" applyBorder="1" applyProtection="1">
      <alignment vertical="center"/>
      <protection hidden="1"/>
    </xf>
    <xf numFmtId="0" fontId="20" fillId="0" borderId="0" xfId="4" applyFont="1" applyAlignment="1" applyProtection="1">
      <alignment horizontal="left" vertical="center" wrapText="1"/>
      <protection hidden="1"/>
    </xf>
    <xf numFmtId="3" fontId="0" fillId="0" borderId="0" xfId="0" applyNumberFormat="1"/>
    <xf numFmtId="0" fontId="2" fillId="0" borderId="0" xfId="0" applyFont="1"/>
    <xf numFmtId="1" fontId="10" fillId="0" borderId="3" xfId="3" applyFont="1" applyBorder="1" applyAlignment="1" applyProtection="1">
      <alignment vertical="center" wrapText="1"/>
      <protection hidden="1"/>
    </xf>
    <xf numFmtId="164" fontId="10" fillId="0" borderId="3" xfId="1" applyNumberFormat="1" applyFont="1" applyBorder="1" applyAlignment="1" applyProtection="1">
      <alignment vertical="center" wrapText="1"/>
      <protection hidden="1"/>
    </xf>
    <xf numFmtId="1" fontId="11" fillId="0" borderId="9" xfId="3" applyFont="1" applyBorder="1" applyAlignment="1" applyProtection="1">
      <alignment horizontal="center" vertical="center" wrapText="1"/>
      <protection hidden="1"/>
    </xf>
    <xf numFmtId="3" fontId="15" fillId="0" borderId="9" xfId="4" applyNumberFormat="1" applyFont="1" applyBorder="1" applyAlignment="1" applyProtection="1">
      <alignment horizontal="right" vertical="center" wrapText="1"/>
      <protection hidden="1"/>
    </xf>
    <xf numFmtId="1" fontId="15" fillId="3" borderId="0" xfId="3" applyFont="1" applyFill="1" applyAlignment="1" applyProtection="1">
      <alignment horizontal="center" vertical="center"/>
      <protection hidden="1"/>
    </xf>
    <xf numFmtId="164" fontId="17" fillId="0" borderId="5" xfId="5" applyNumberFormat="1" applyFont="1" applyBorder="1" applyAlignment="1" applyProtection="1">
      <alignment horizontal="right" vertical="center"/>
      <protection hidden="1"/>
    </xf>
    <xf numFmtId="3" fontId="17" fillId="0" borderId="0" xfId="4" applyNumberFormat="1" applyFont="1" applyAlignment="1" applyProtection="1">
      <alignment horizontal="right" vertical="center" wrapText="1"/>
      <protection hidden="1"/>
    </xf>
    <xf numFmtId="17" fontId="15" fillId="3" borderId="6" xfId="3" applyNumberFormat="1" applyFont="1" applyFill="1" applyBorder="1" applyAlignment="1" applyProtection="1">
      <alignment horizontal="center" vertical="center" wrapText="1"/>
      <protection hidden="1"/>
    </xf>
    <xf numFmtId="17" fontId="15" fillId="3" borderId="0" xfId="3" applyNumberFormat="1" applyFont="1" applyFill="1" applyAlignment="1" applyProtection="1">
      <alignment horizontal="center" vertical="center" wrapText="1"/>
      <protection hidden="1"/>
    </xf>
    <xf numFmtId="1" fontId="15" fillId="3" borderId="7" xfId="3" applyFont="1" applyFill="1" applyBorder="1" applyAlignment="1" applyProtection="1">
      <alignment horizontal="center" vertical="center" wrapText="1"/>
      <protection hidden="1"/>
    </xf>
    <xf numFmtId="17" fontId="15" fillId="2" borderId="0" xfId="3" applyNumberFormat="1" applyFont="1" applyFill="1" applyAlignment="1" applyProtection="1">
      <alignment horizontal="center" vertical="center" wrapText="1"/>
      <protection hidden="1"/>
    </xf>
    <xf numFmtId="1" fontId="15" fillId="2" borderId="22" xfId="3" applyFont="1" applyFill="1" applyBorder="1" applyAlignment="1" applyProtection="1">
      <alignment horizontal="center" vertical="center" wrapText="1"/>
      <protection hidden="1"/>
    </xf>
    <xf numFmtId="17" fontId="15" fillId="3" borderId="23" xfId="3" applyNumberFormat="1" applyFont="1" applyFill="1" applyBorder="1" applyAlignment="1" applyProtection="1">
      <alignment horizontal="center" vertical="center" wrapText="1"/>
      <protection hidden="1"/>
    </xf>
    <xf numFmtId="17" fontId="15" fillId="3" borderId="24" xfId="3" applyNumberFormat="1" applyFont="1" applyFill="1" applyBorder="1" applyAlignment="1" applyProtection="1">
      <alignment horizontal="center" vertical="center" wrapText="1"/>
      <protection hidden="1"/>
    </xf>
    <xf numFmtId="1" fontId="15" fillId="3" borderId="25" xfId="3" applyFont="1" applyFill="1" applyBorder="1" applyAlignment="1" applyProtection="1">
      <alignment horizontal="center" vertical="center" wrapText="1"/>
      <protection hidden="1"/>
    </xf>
    <xf numFmtId="1" fontId="15" fillId="3" borderId="24" xfId="3" applyFont="1" applyFill="1" applyBorder="1" applyAlignment="1" applyProtection="1">
      <alignment horizontal="center" vertical="center" wrapText="1"/>
      <protection hidden="1"/>
    </xf>
    <xf numFmtId="17" fontId="15" fillId="2" borderId="26" xfId="3" applyNumberFormat="1" applyFont="1" applyFill="1" applyBorder="1" applyAlignment="1" applyProtection="1">
      <alignment horizontal="center" vertical="center" wrapText="1"/>
      <protection hidden="1"/>
    </xf>
    <xf numFmtId="1" fontId="15" fillId="2" borderId="27" xfId="3" applyFont="1" applyFill="1" applyBorder="1" applyAlignment="1" applyProtection="1">
      <alignment horizontal="center" vertical="center" wrapText="1"/>
      <protection hidden="1"/>
    </xf>
    <xf numFmtId="17" fontId="15" fillId="3" borderId="28" xfId="3" applyNumberFormat="1" applyFont="1" applyFill="1" applyBorder="1" applyAlignment="1" applyProtection="1">
      <alignment horizontal="center" vertical="center" wrapText="1"/>
      <protection hidden="1"/>
    </xf>
    <xf numFmtId="164" fontId="19" fillId="0" borderId="5" xfId="5" applyNumberFormat="1" applyFont="1" applyBorder="1" applyAlignment="1" applyProtection="1">
      <alignment horizontal="right" vertical="center"/>
      <protection hidden="1"/>
    </xf>
    <xf numFmtId="3" fontId="18" fillId="0" borderId="0" xfId="0" applyNumberFormat="1" applyFont="1"/>
    <xf numFmtId="164" fontId="8" fillId="0" borderId="0" xfId="1" applyNumberFormat="1" applyFont="1"/>
    <xf numFmtId="0" fontId="20" fillId="0" borderId="0" xfId="4" applyFont="1" applyAlignment="1" applyProtection="1">
      <alignment vertical="center" wrapText="1"/>
      <protection hidden="1"/>
    </xf>
    <xf numFmtId="0" fontId="8" fillId="2" borderId="0" xfId="0" applyFont="1" applyFill="1" applyAlignment="1">
      <alignment horizontal="center" vertical="center" wrapText="1"/>
    </xf>
    <xf numFmtId="1" fontId="21" fillId="2" borderId="4" xfId="3" applyFont="1" applyFill="1" applyBorder="1" applyAlignment="1" applyProtection="1">
      <alignment horizontal="center" vertical="center"/>
      <protection hidden="1"/>
    </xf>
    <xf numFmtId="1" fontId="21" fillId="2" borderId="4" xfId="3" applyFont="1" applyFill="1" applyBorder="1" applyAlignment="1" applyProtection="1">
      <alignment horizontal="center" vertical="center" wrapText="1"/>
      <protection hidden="1"/>
    </xf>
    <xf numFmtId="1" fontId="17" fillId="0" borderId="30" xfId="6" applyFont="1" applyBorder="1" applyAlignment="1" applyProtection="1">
      <alignment horizontal="center" vertical="center" wrapText="1"/>
      <protection hidden="1"/>
    </xf>
    <xf numFmtId="3" fontId="18" fillId="0" borderId="31" xfId="4" applyNumberFormat="1" applyFont="1" applyBorder="1" applyAlignment="1" applyProtection="1">
      <alignment horizontal="right" vertical="center" wrapText="1"/>
      <protection hidden="1"/>
    </xf>
    <xf numFmtId="3" fontId="22" fillId="0" borderId="31" xfId="4" applyNumberFormat="1" applyFont="1" applyBorder="1" applyAlignment="1" applyProtection="1">
      <alignment horizontal="right" vertical="center" wrapText="1"/>
      <protection hidden="1"/>
    </xf>
    <xf numFmtId="0" fontId="24" fillId="0" borderId="5" xfId="6" applyNumberFormat="1" applyFont="1" applyBorder="1" applyAlignment="1" applyProtection="1">
      <alignment horizontal="right" vertical="center" wrapText="1"/>
      <protection hidden="1"/>
    </xf>
    <xf numFmtId="3" fontId="24" fillId="0" borderId="4" xfId="4" applyNumberFormat="1" applyFont="1" applyBorder="1" applyAlignment="1" applyProtection="1">
      <alignment horizontal="right" vertical="center" wrapText="1"/>
      <protection hidden="1"/>
    </xf>
    <xf numFmtId="3" fontId="23" fillId="0" borderId="4" xfId="4" applyNumberFormat="1" applyFont="1" applyBorder="1" applyAlignment="1" applyProtection="1">
      <alignment horizontal="right" vertical="center" wrapText="1"/>
      <protection hidden="1"/>
    </xf>
    <xf numFmtId="3" fontId="2" fillId="0" borderId="4" xfId="4" applyNumberFormat="1" applyFont="1" applyBorder="1" applyAlignment="1" applyProtection="1">
      <alignment horizontal="right" vertical="center" wrapText="1"/>
      <protection hidden="1"/>
    </xf>
    <xf numFmtId="9" fontId="18" fillId="0" borderId="0" xfId="1" applyFont="1"/>
    <xf numFmtId="0" fontId="8" fillId="0" borderId="5" xfId="6" applyNumberFormat="1" applyFont="1" applyBorder="1" applyAlignment="1" applyProtection="1">
      <alignment horizontal="right" vertical="center" wrapText="1"/>
      <protection hidden="1"/>
    </xf>
    <xf numFmtId="3" fontId="8" fillId="0" borderId="4" xfId="4" applyNumberFormat="1" applyFont="1" applyBorder="1" applyAlignment="1" applyProtection="1">
      <alignment horizontal="right" vertical="center" wrapText="1"/>
      <protection hidden="1"/>
    </xf>
    <xf numFmtId="0" fontId="8" fillId="0" borderId="8" xfId="0" applyFont="1" applyBorder="1" applyAlignment="1">
      <alignment horizontal="center"/>
    </xf>
    <xf numFmtId="0" fontId="26" fillId="0" borderId="0" xfId="0" applyFont="1"/>
    <xf numFmtId="0" fontId="27" fillId="0" borderId="0" xfId="0" applyFont="1"/>
    <xf numFmtId="1" fontId="10" fillId="0" borderId="0" xfId="3" applyFont="1" applyAlignment="1" applyProtection="1">
      <alignment vertical="center" wrapText="1"/>
      <protection hidden="1"/>
    </xf>
    <xf numFmtId="1" fontId="21" fillId="0" borderId="3" xfId="3" applyFont="1" applyBorder="1" applyAlignment="1" applyProtection="1">
      <alignment horizontal="left" vertical="center" wrapText="1"/>
      <protection hidden="1"/>
    </xf>
    <xf numFmtId="1" fontId="28" fillId="0" borderId="0" xfId="3" applyFont="1" applyAlignment="1" applyProtection="1">
      <alignment horizontal="center" vertical="center" wrapText="1"/>
      <protection hidden="1"/>
    </xf>
    <xf numFmtId="1" fontId="15" fillId="2" borderId="0" xfId="3" applyFont="1" applyFill="1" applyAlignment="1" applyProtection="1">
      <alignment horizontal="center" vertical="center" wrapText="1"/>
      <protection hidden="1"/>
    </xf>
    <xf numFmtId="0" fontId="29" fillId="0" borderId="0" xfId="4" applyFont="1" applyAlignment="1" applyProtection="1">
      <alignment horizontal="left" vertical="center" indent="1"/>
      <protection hidden="1"/>
    </xf>
    <xf numFmtId="3" fontId="29" fillId="0" borderId="4" xfId="4" applyNumberFormat="1" applyFont="1" applyBorder="1" applyAlignment="1" applyProtection="1">
      <alignment horizontal="right" vertical="center" wrapText="1"/>
      <protection hidden="1"/>
    </xf>
    <xf numFmtId="164" fontId="29" fillId="0" borderId="5" xfId="5" applyNumberFormat="1" applyFont="1" applyBorder="1" applyProtection="1">
      <alignment vertical="center"/>
      <protection hidden="1"/>
    </xf>
    <xf numFmtId="164" fontId="29" fillId="0" borderId="4" xfId="1" applyNumberFormat="1" applyFont="1" applyBorder="1" applyAlignment="1" applyProtection="1">
      <alignment horizontal="right" vertical="center" wrapText="1"/>
      <protection hidden="1"/>
    </xf>
    <xf numFmtId="0" fontId="19" fillId="0" borderId="0" xfId="4" applyFont="1" applyAlignment="1" applyProtection="1">
      <alignment horizontal="left" vertical="center" indent="4"/>
      <protection hidden="1"/>
    </xf>
    <xf numFmtId="164" fontId="19" fillId="0" borderId="4" xfId="1" applyNumberFormat="1" applyFont="1" applyBorder="1" applyAlignment="1" applyProtection="1">
      <alignment horizontal="right" vertical="center" wrapText="1"/>
      <protection hidden="1"/>
    </xf>
    <xf numFmtId="0" fontId="19" fillId="0" borderId="0" xfId="4" applyFont="1" applyAlignment="1" applyProtection="1">
      <alignment horizontal="left" vertical="center" wrapText="1" indent="4"/>
      <protection hidden="1"/>
    </xf>
    <xf numFmtId="0" fontId="30" fillId="0" borderId="0" xfId="4" applyFont="1" applyAlignment="1" applyProtection="1">
      <alignment horizontal="left" vertical="center" wrapText="1" indent="1"/>
      <protection hidden="1"/>
    </xf>
    <xf numFmtId="3" fontId="30" fillId="0" borderId="4" xfId="4" applyNumberFormat="1" applyFont="1" applyBorder="1" applyAlignment="1" applyProtection="1">
      <alignment horizontal="right" vertical="center" wrapText="1"/>
      <protection hidden="1"/>
    </xf>
    <xf numFmtId="164" fontId="30" fillId="0" borderId="5" xfId="5" applyNumberFormat="1" applyFont="1" applyBorder="1" applyProtection="1">
      <alignment vertical="center"/>
      <protection hidden="1"/>
    </xf>
    <xf numFmtId="164" fontId="30" fillId="0" borderId="4" xfId="1" applyNumberFormat="1" applyFont="1" applyBorder="1" applyAlignment="1" applyProtection="1">
      <alignment horizontal="right" vertical="center" wrapText="1"/>
      <protection hidden="1"/>
    </xf>
    <xf numFmtId="0" fontId="21" fillId="0" borderId="0" xfId="4" applyFont="1" applyAlignment="1" applyProtection="1">
      <alignment horizontal="left" vertical="center" indent="1"/>
      <protection hidden="1"/>
    </xf>
    <xf numFmtId="164" fontId="31" fillId="0" borderId="5" xfId="5" applyNumberFormat="1" applyFont="1" applyBorder="1" applyProtection="1">
      <alignment vertical="center"/>
      <protection hidden="1"/>
    </xf>
    <xf numFmtId="0" fontId="17" fillId="0" borderId="0" xfId="4" applyFont="1" applyAlignment="1" applyProtection="1">
      <alignment horizontal="left" vertical="center" indent="1"/>
      <protection hidden="1"/>
    </xf>
    <xf numFmtId="164" fontId="17" fillId="0" borderId="4" xfId="1" applyNumberFormat="1" applyFont="1" applyBorder="1" applyAlignment="1" applyProtection="1">
      <alignment horizontal="right" vertical="center" wrapText="1"/>
      <protection hidden="1"/>
    </xf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0" fillId="0" borderId="32" xfId="0" applyBorder="1"/>
    <xf numFmtId="0" fontId="0" fillId="0" borderId="0" xfId="0" applyAlignment="1">
      <alignment horizontal="center" vertical="center"/>
    </xf>
    <xf numFmtId="1" fontId="21" fillId="0" borderId="3" xfId="3" applyFont="1" applyBorder="1" applyAlignment="1" applyProtection="1">
      <alignment vertical="center" wrapText="1"/>
      <protection hidden="1"/>
    </xf>
    <xf numFmtId="164" fontId="21" fillId="0" borderId="4" xfId="1" applyNumberFormat="1" applyFont="1" applyBorder="1" applyAlignment="1" applyProtection="1">
      <alignment horizontal="right" vertical="center" wrapText="1"/>
      <protection hidden="1"/>
    </xf>
    <xf numFmtId="0" fontId="2" fillId="0" borderId="0" xfId="0" applyFont="1" applyAlignment="1">
      <alignment wrapText="1"/>
    </xf>
    <xf numFmtId="0" fontId="32" fillId="0" borderId="0" xfId="4" applyFont="1" applyAlignment="1" applyProtection="1">
      <alignment horizontal="left" vertical="center" indent="1"/>
      <protection hidden="1"/>
    </xf>
    <xf numFmtId="3" fontId="31" fillId="0" borderId="4" xfId="4" applyNumberFormat="1" applyFont="1" applyBorder="1" applyAlignment="1" applyProtection="1">
      <alignment horizontal="right" vertical="center" wrapText="1"/>
      <protection hidden="1"/>
    </xf>
    <xf numFmtId="164" fontId="31" fillId="0" borderId="4" xfId="1" applyNumberFormat="1" applyFont="1" applyBorder="1" applyAlignment="1" applyProtection="1">
      <alignment horizontal="right" vertical="center" wrapText="1"/>
      <protection hidden="1"/>
    </xf>
    <xf numFmtId="0" fontId="8" fillId="0" borderId="8" xfId="0" applyFont="1" applyBorder="1" applyAlignment="1">
      <alignment horizontal="left" indent="1"/>
    </xf>
    <xf numFmtId="1" fontId="9" fillId="0" borderId="3" xfId="3" applyFont="1" applyBorder="1" applyAlignment="1" applyProtection="1">
      <alignment horizontal="left" vertical="center" wrapText="1"/>
      <protection hidden="1"/>
    </xf>
    <xf numFmtId="0" fontId="23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0" fontId="20" fillId="0" borderId="0" xfId="4" applyFont="1" applyAlignment="1" applyProtection="1">
      <alignment horizontal="left" vertical="center" wrapText="1"/>
      <protection hidden="1"/>
    </xf>
    <xf numFmtId="0" fontId="2" fillId="0" borderId="0" xfId="0" applyFont="1" applyAlignment="1">
      <alignment horizontal="center"/>
    </xf>
    <xf numFmtId="1" fontId="10" fillId="0" borderId="3" xfId="3" applyFont="1" applyBorder="1" applyAlignment="1" applyProtection="1">
      <alignment horizontal="left" vertical="center" wrapText="1"/>
      <protection hidden="1"/>
    </xf>
    <xf numFmtId="1" fontId="15" fillId="2" borderId="0" xfId="3" applyFont="1" applyFill="1" applyAlignment="1" applyProtection="1">
      <alignment horizontal="center" vertical="center"/>
      <protection hidden="1"/>
    </xf>
    <xf numFmtId="1" fontId="15" fillId="2" borderId="4" xfId="3" applyFont="1" applyFill="1" applyBorder="1" applyAlignment="1" applyProtection="1">
      <alignment horizontal="center" vertical="center"/>
      <protection hidden="1"/>
    </xf>
    <xf numFmtId="1" fontId="15" fillId="2" borderId="5" xfId="3" applyFont="1" applyFill="1" applyBorder="1" applyAlignment="1" applyProtection="1">
      <alignment horizontal="center" vertical="center"/>
      <protection hidden="1"/>
    </xf>
    <xf numFmtId="1" fontId="15" fillId="2" borderId="14" xfId="3" applyFont="1" applyFill="1" applyBorder="1" applyAlignment="1" applyProtection="1">
      <alignment horizontal="center" vertical="center"/>
      <protection hidden="1"/>
    </xf>
    <xf numFmtId="1" fontId="15" fillId="2" borderId="15" xfId="3" applyFont="1" applyFill="1" applyBorder="1" applyAlignment="1" applyProtection="1">
      <alignment horizontal="center" vertical="center"/>
      <protection hidden="1"/>
    </xf>
    <xf numFmtId="1" fontId="15" fillId="2" borderId="19" xfId="3" applyFont="1" applyFill="1" applyBorder="1" applyAlignment="1" applyProtection="1">
      <alignment horizontal="center" vertical="center"/>
      <protection hidden="1"/>
    </xf>
    <xf numFmtId="1" fontId="15" fillId="3" borderId="16" xfId="3" applyFont="1" applyFill="1" applyBorder="1" applyAlignment="1" applyProtection="1">
      <alignment horizontal="center" vertical="center"/>
      <protection hidden="1"/>
    </xf>
    <xf numFmtId="1" fontId="15" fillId="3" borderId="17" xfId="3" applyFont="1" applyFill="1" applyBorder="1" applyAlignment="1" applyProtection="1">
      <alignment horizontal="center" vertical="center"/>
      <protection hidden="1"/>
    </xf>
    <xf numFmtId="1" fontId="15" fillId="3" borderId="18" xfId="3" applyFont="1" applyFill="1" applyBorder="1" applyAlignment="1" applyProtection="1">
      <alignment horizontal="center" vertical="center"/>
      <protection hidden="1"/>
    </xf>
    <xf numFmtId="1" fontId="15" fillId="3" borderId="20" xfId="3" applyFont="1" applyFill="1" applyBorder="1" applyAlignment="1" applyProtection="1">
      <alignment horizontal="center" vertical="center"/>
      <protection hidden="1"/>
    </xf>
    <xf numFmtId="1" fontId="15" fillId="3" borderId="0" xfId="3" applyFont="1" applyFill="1" applyAlignment="1" applyProtection="1">
      <alignment horizontal="center" vertical="center"/>
      <protection hidden="1"/>
    </xf>
    <xf numFmtId="1" fontId="15" fillId="3" borderId="21" xfId="3" applyFont="1" applyFill="1" applyBorder="1" applyAlignment="1" applyProtection="1">
      <alignment horizontal="center" vertical="center"/>
      <protection hidden="1"/>
    </xf>
    <xf numFmtId="1" fontId="15" fillId="2" borderId="10" xfId="3" applyFont="1" applyFill="1" applyBorder="1" applyAlignment="1" applyProtection="1">
      <alignment horizontal="center" vertical="center"/>
      <protection hidden="1"/>
    </xf>
    <xf numFmtId="1" fontId="15" fillId="2" borderId="11" xfId="3" applyFont="1" applyFill="1" applyBorder="1" applyAlignment="1" applyProtection="1">
      <alignment horizontal="center" vertical="center"/>
      <protection hidden="1"/>
    </xf>
    <xf numFmtId="1" fontId="15" fillId="3" borderId="12" xfId="3" applyFont="1" applyFill="1" applyBorder="1" applyAlignment="1" applyProtection="1">
      <alignment horizontal="center" vertical="center"/>
      <protection hidden="1"/>
    </xf>
    <xf numFmtId="1" fontId="15" fillId="3" borderId="13" xfId="3" applyFont="1" applyFill="1" applyBorder="1" applyAlignment="1" applyProtection="1">
      <alignment horizontal="center" vertical="center"/>
      <protection hidden="1"/>
    </xf>
    <xf numFmtId="0" fontId="20" fillId="0" borderId="29" xfId="4" applyFont="1" applyBorder="1" applyAlignment="1" applyProtection="1">
      <alignment horizontal="left" vertical="center" wrapText="1"/>
      <protection hidden="1"/>
    </xf>
    <xf numFmtId="1" fontId="15" fillId="3" borderId="4" xfId="3" applyFont="1" applyFill="1" applyBorder="1" applyAlignment="1" applyProtection="1">
      <alignment horizontal="center" vertical="center"/>
      <protection hidden="1"/>
    </xf>
    <xf numFmtId="1" fontId="15" fillId="3" borderId="5" xfId="3" applyFont="1" applyFill="1" applyBorder="1" applyAlignment="1" applyProtection="1">
      <alignment horizontal="center" vertical="center"/>
      <protection hidden="1"/>
    </xf>
    <xf numFmtId="1" fontId="10" fillId="0" borderId="0" xfId="3" applyFont="1" applyAlignment="1" applyProtection="1">
      <alignment horizontal="left" vertical="center" wrapText="1"/>
      <protection hidden="1"/>
    </xf>
    <xf numFmtId="1" fontId="21" fillId="0" borderId="3" xfId="3" applyFont="1" applyBorder="1" applyAlignment="1" applyProtection="1">
      <alignment horizontal="left" vertical="center" wrapText="1"/>
      <protection hidden="1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7">
    <cellStyle name="Hipervínculo" xfId="2" builtinId="8"/>
    <cellStyle name="Normal" xfId="0" builtinId="0"/>
    <cellStyle name="Normal 2" xfId="3" xr:uid="{22364EF0-976B-455F-BBAB-F1EFE7F6AC34}"/>
    <cellStyle name="Normal 2 2" xfId="6" xr:uid="{51612F53-3DC9-47FD-94EC-B411067D772B}"/>
    <cellStyle name="Normal_PlazasEstablecimientosMunicipioAutAños" xfId="4" xr:uid="{AF3EDB14-011C-4809-AF9B-00C1BD1A19E6}"/>
    <cellStyle name="Porcentaje" xfId="1" builtinId="5"/>
    <cellStyle name="Porcentual 2" xfId="5" xr:uid="{4D77CC5F-7987-4462-9B5C-5AEA3AFAD3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678463642319058"/>
          <c:y val="0.27045275590551182"/>
          <c:w val="0.45519569782425451"/>
          <c:h val="0.61957203266258387"/>
        </c:manualLayout>
      </c:layout>
      <c:doughnutChart>
        <c:varyColors val="1"/>
        <c:ser>
          <c:idx val="0"/>
          <c:order val="0"/>
          <c:explosion val="6"/>
          <c:dPt>
            <c:idx val="0"/>
            <c:bubble3D val="0"/>
            <c:spPr>
              <a:solidFill>
                <a:schemeClr val="accent6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A9E-48CB-B012-2088F5117169}"/>
              </c:ext>
            </c:extLst>
          </c:dPt>
          <c:dPt>
            <c:idx val="1"/>
            <c:bubble3D val="0"/>
            <c:spPr>
              <a:solidFill>
                <a:schemeClr val="accent6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A9E-48CB-B012-2088F5117169}"/>
              </c:ext>
            </c:extLst>
          </c:dPt>
          <c:dPt>
            <c:idx val="2"/>
            <c:bubble3D val="0"/>
            <c:spPr>
              <a:solidFill>
                <a:schemeClr val="accent6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A9E-48CB-B012-2088F5117169}"/>
              </c:ext>
            </c:extLst>
          </c:dPt>
          <c:dPt>
            <c:idx val="3"/>
            <c:bubble3D val="0"/>
            <c:spPr>
              <a:solidFill>
                <a:schemeClr val="accent6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A9E-48CB-B012-2088F5117169}"/>
              </c:ext>
            </c:extLst>
          </c:dPt>
          <c:dPt>
            <c:idx val="4"/>
            <c:bubble3D val="0"/>
            <c:spPr>
              <a:solidFill>
                <a:schemeClr val="accent6">
                  <a:tint val="5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A9E-48CB-B012-2088F5117169}"/>
              </c:ext>
            </c:extLst>
          </c:dPt>
          <c:dLbls>
            <c:dLbl>
              <c:idx val="0"/>
              <c:layout>
                <c:manualLayout>
                  <c:x val="0.25736956855936427"/>
                  <c:y val="0.11897807912899765"/>
                </c:manualLayout>
              </c:layout>
              <c:tx>
                <c:rich>
                  <a:bodyPr/>
                  <a:lstStyle/>
                  <a:p>
                    <a:fld id="{2DC7828A-65F7-4F0A-B018-79C6FE8E10E6}" type="CATEGORYNAME">
                      <a:rPr lang="en-US"/>
                      <a:pPr/>
                      <a:t>[NOMBRE DE CATEGORÍA]</a:t>
                    </a:fld>
                    <a:endParaRPr lang="en-US" baseline="0"/>
                  </a:p>
                  <a:p>
                    <a:fld id="{44995874-6158-4D30-88BC-B9E79A47C25D}" type="VALUE">
                      <a:rPr lang="en-US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</a:rPr>
                      <a:pPr/>
                      <a:t>[VALOR]</a:t>
                    </a:fld>
                    <a:endParaRPr lang="en-US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endParaRPr>
                  </a:p>
                  <a:p>
                    <a:fld id="{00E83CF0-E472-4DFB-BE0B-657B80FF7628}" type="PERCENTAGE">
                      <a:rPr lang="en-US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</a:rPr>
                      <a:pPr/>
                      <a:t>[PORCENTAJE]</a:t>
                    </a:fld>
                    <a:endParaRPr lang="es-ES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BA9E-48CB-B012-2088F5117169}"/>
                </c:ext>
              </c:extLst>
            </c:dLbl>
            <c:dLbl>
              <c:idx val="1"/>
              <c:layout>
                <c:manualLayout>
                  <c:x val="-0.18622463509478546"/>
                  <c:y val="0.1111111111111111"/>
                </c:manualLayout>
              </c:layout>
              <c:tx>
                <c:rich>
                  <a:bodyPr/>
                  <a:lstStyle/>
                  <a:p>
                    <a:fld id="{AA73D047-D73A-4D7D-AD86-E7EC8AB3730E}" type="CATEGORYNAME">
                      <a:rPr lang="en-US"/>
                      <a:pPr/>
                      <a:t>[NOMBRE DE CATEGORÍA]</a:t>
                    </a:fld>
                    <a:endParaRPr lang="en-US" baseline="0"/>
                  </a:p>
                  <a:p>
                    <a:fld id="{C48D5433-8906-4D5F-AC19-80173D11E6E9}" type="VALUE">
                      <a:rPr lang="en-US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</a:rPr>
                      <a:pPr/>
                      <a:t>[VALOR]</a:t>
                    </a:fld>
                    <a:endParaRPr lang="en-US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endParaRPr>
                  </a:p>
                  <a:p>
                    <a:fld id="{D16C2AD2-915C-454E-A405-B28964845CC6}" type="PERCENTAGE">
                      <a:rPr lang="en-US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</a:rPr>
                      <a:pPr/>
                      <a:t>[PORCENTAJE]</a:t>
                    </a:fld>
                    <a:endParaRPr lang="es-ES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0314046402405694"/>
                      <c:h val="0.2699196619451852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BA9E-48CB-B012-2088F5117169}"/>
                </c:ext>
              </c:extLst>
            </c:dLbl>
            <c:dLbl>
              <c:idx val="2"/>
              <c:layout>
                <c:manualLayout>
                  <c:x val="-0.22352621573620873"/>
                  <c:y val="3.3038422280548208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400" b="1" i="0" u="none" strike="noStrike" kern="1200" baseline="0">
                        <a:solidFill>
                          <a:schemeClr val="accent6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691E7C5-6512-4764-8EF4-E72B5F8CD64C}" type="CATEGORYNAME">
                      <a:rPr lang="en-US"/>
                      <a:pPr>
                        <a:defRPr b="1"/>
                      </a:pPr>
                      <a:t>[NOMBRE DE CATEGORÍA]</a:t>
                    </a:fld>
                    <a:endParaRPr lang="en-US" baseline="0"/>
                  </a:p>
                  <a:p>
                    <a:pPr>
                      <a:defRPr b="1"/>
                    </a:pPr>
                    <a:fld id="{9484C588-55B2-4A93-AE03-E5375194BF12}" type="VALUE">
                      <a:rPr lang="en-US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</a:rPr>
                      <a:pPr>
                        <a:defRPr b="1"/>
                      </a:pPr>
                      <a:t>[VALOR]</a:t>
                    </a:fld>
                    <a:endParaRPr lang="en-US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endParaRPr>
                  </a:p>
                  <a:p>
                    <a:pPr>
                      <a:defRPr b="1"/>
                    </a:pPr>
                    <a:fld id="{2312508B-589D-426C-8722-737BA7FC961C}" type="PERCENTAGE">
                      <a:rPr lang="en-US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</a:rPr>
                      <a:pPr>
                        <a:defRPr b="1"/>
                      </a:pPr>
                      <a:t>[PORCENTAJE]</a:t>
                    </a:fld>
                    <a:endParaRPr lang="es-ES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1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5911559999364359"/>
                      <c:h val="0.330370369929133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BA9E-48CB-B012-2088F5117169}"/>
                </c:ext>
              </c:extLst>
            </c:dLbl>
            <c:dLbl>
              <c:idx val="3"/>
              <c:layout>
                <c:manualLayout>
                  <c:x val="-0.16224486899050675"/>
                  <c:y val="-0.20720229415767477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400" b="1" i="0" u="none" strike="noStrike" kern="1200" baseline="0">
                        <a:solidFill>
                          <a:schemeClr val="accent6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96CC90B-DD90-4B91-BDD6-23D3DACAD489}" type="CATEGORYNAME">
                      <a:rPr lang="en-US"/>
                      <a:pPr>
                        <a:defRPr b="1"/>
                      </a:pPr>
                      <a:t>[NOMBRE DE CATEGORÍA]</a:t>
                    </a:fld>
                    <a:endParaRPr lang="en-US" baseline="0"/>
                  </a:p>
                  <a:p>
                    <a:pPr>
                      <a:defRPr b="1"/>
                    </a:pPr>
                    <a:fld id="{65FF16E5-06AC-4C22-8594-E56852A0B9E8}" type="VALUE">
                      <a:rPr lang="en-US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</a:rPr>
                      <a:pPr>
                        <a:defRPr b="1"/>
                      </a:pPr>
                      <a:t>[VALOR]</a:t>
                    </a:fld>
                    <a:endParaRPr lang="en-US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endParaRPr>
                  </a:p>
                  <a:p>
                    <a:pPr>
                      <a:defRPr b="1"/>
                    </a:pPr>
                    <a:fld id="{27D6B57C-C1CD-44A0-9058-DB0D78DE3BFC}" type="PERCENTAGE">
                      <a:rPr lang="en-US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</a:rPr>
                      <a:pPr>
                        <a:defRPr b="1"/>
                      </a:pPr>
                      <a:t>[PORCENTAJE]</a:t>
                    </a:fld>
                    <a:endParaRPr lang="es-ES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1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BA9E-48CB-B012-2088F5117169}"/>
                </c:ext>
              </c:extLst>
            </c:dLbl>
            <c:dLbl>
              <c:idx val="4"/>
              <c:layout>
                <c:manualLayout>
                  <c:x val="0.30009475599572266"/>
                  <c:y val="-4.067512394284048E-2"/>
                </c:manualLayout>
              </c:layout>
              <c:tx>
                <c:rich>
                  <a:bodyPr/>
                  <a:lstStyle/>
                  <a:p>
                    <a:fld id="{D6EA037B-DDCA-49E4-AA3E-D18263678D2F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</a:t>
                    </a:r>
                    <a:fld id="{B1CD1A88-07FC-48AB-88E0-9470D8D2D422}" type="VALUE">
                      <a:rPr lang="en-US" baseline="0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</a:rPr>
                      <a:pPr/>
                      <a:t>[VALOR]</a:t>
                    </a:fld>
                    <a:r>
                      <a:rPr lang="en-US" baseline="0"/>
                      <a:t>
</a:t>
                    </a:r>
                    <a:fld id="{59B275F1-BB39-461C-B481-A19BCA3A3DAA}" type="PERCENTAGE">
                      <a:rPr lang="en-US" baseline="0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</a:rPr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BA9E-48CB-B012-2088F51171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accent6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('plazas aut munic cuota aloj'!$E$1:$H$1,'plazas aut munic cuota aloj'!$I$5:$J$5)</c:f>
              <c:strCache>
                <c:ptCount val="5"/>
                <c:pt idx="0">
                  <c:v>Hoteles</c:v>
                </c:pt>
                <c:pt idx="1">
                  <c:v>Apartamentos</c:v>
                </c:pt>
                <c:pt idx="2">
                  <c:v>Hoteles rurales</c:v>
                </c:pt>
                <c:pt idx="3">
                  <c:v>Casas Rurales</c:v>
                </c:pt>
                <c:pt idx="4">
                  <c:v>Vivienda vacacional</c:v>
                </c:pt>
              </c:strCache>
            </c:strRef>
          </c:cat>
          <c:val>
            <c:numRef>
              <c:f>('plazas aut munic cuota aloj'!$E$7,'plazas aut munic cuota aloj'!$G$7,'plazas aut munic cuota aloj'!$K$7,'plazas aut munic cuota aloj'!$M$7,'plazas aut munic cuota aloj'!$I$7)</c:f>
              <c:numCache>
                <c:formatCode>#,##0</c:formatCode>
                <c:ptCount val="5"/>
                <c:pt idx="0">
                  <c:v>89523</c:v>
                </c:pt>
                <c:pt idx="1">
                  <c:v>46170</c:v>
                </c:pt>
                <c:pt idx="2">
                  <c:v>567</c:v>
                </c:pt>
                <c:pt idx="3">
                  <c:v>1074</c:v>
                </c:pt>
                <c:pt idx="4">
                  <c:v>128856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A9E-48CB-B012-2088F5117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5"/>
        <c:holeSize val="46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accent6">
              <a:lumMod val="75000"/>
            </a:schemeClr>
          </a:solidFill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'plazas aut catg cuota'!$C$3:$E$3</c:f>
          <c:strCache>
            <c:ptCount val="3"/>
            <c:pt idx="0">
              <c:v>Plazas turísticas inscritas (1) en Total Isla según tipología y categoría del establecimiento
Distribución por categoría</c:v>
            </c:pt>
          </c:strCache>
        </c:strRef>
      </c:tx>
      <c:layout>
        <c:manualLayout>
          <c:xMode val="edge"/>
          <c:yMode val="edge"/>
          <c:x val="9.074174114040265E-7"/>
          <c:y val="1.3832689490832996E-3"/>
        </c:manualLayout>
      </c:layout>
      <c:overlay val="0"/>
      <c:spPr>
        <a:noFill/>
        <a:ln w="25400">
          <a:noFill/>
        </a:ln>
      </c:spPr>
      <c:txPr>
        <a:bodyPr/>
        <a:lstStyle/>
        <a:p>
          <a:pPr algn="l">
            <a:defRPr sz="1400" b="1" i="0" u="none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2.1757178948575265E-2"/>
          <c:y val="0.28086520910774476"/>
          <c:w val="0.97760879170679205"/>
          <c:h val="0.512019196129895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'plazas aut catg cuota'!$C$4:$E$4</c:f>
              <c:strCache>
                <c:ptCount val="1"/>
                <c:pt idx="0">
                  <c:v>junio 2026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5.3362263149246423E-3"/>
                  <c:y val="1.18815957133998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C8-4376-8696-C9A8F7CFD1A6}"/>
                </c:ext>
              </c:extLst>
            </c:dLbl>
            <c:dLbl>
              <c:idx val="1"/>
              <c:layout>
                <c:manualLayout>
                  <c:x val="-4.1179054449789225E-3"/>
                  <c:y val="-1.48035852364936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C8-4376-8696-C9A8F7CFD1A6}"/>
                </c:ext>
              </c:extLst>
            </c:dLbl>
            <c:dLbl>
              <c:idx val="2"/>
              <c:layout>
                <c:manualLayout>
                  <c:x val="-8.7475461406770604E-3"/>
                  <c:y val="5.149366702606253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BC8-4376-8696-C9A8F7CFD1A6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BC8-4376-8696-C9A8F7CFD1A6}"/>
                </c:ext>
              </c:extLst>
            </c:dLbl>
            <c:dLbl>
              <c:idx val="4"/>
              <c:layout>
                <c:manualLayout>
                  <c:x val="3.1566642404993496E-4"/>
                  <c:y val="1.45735081267875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BC8-4376-8696-C9A8F7CFD1A6}"/>
                </c:ext>
              </c:extLst>
            </c:dLbl>
            <c:dLbl>
              <c:idx val="5"/>
              <c:layout>
                <c:manualLayout>
                  <c:x val="-5.0925835308417841E-3"/>
                  <c:y val="1.355049498480736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BC8-4376-8696-C9A8F7CFD1A6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 algn="ctr">
                  <a:defRPr sz="1400" b="0" i="0" u="none" strike="noStrike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('plazas aut catg cuota'!$C$30,'plazas aut catg cuota'!$C$7,'plazas aut catg cuota'!$C$16,'plazas aut catg cuota'!$C$29,'plazas aut catg cuota'!$C$26,'plazas aut catg cuota'!$C$27)</c:f>
              <c:strCache>
                <c:ptCount val="6"/>
                <c:pt idx="0">
                  <c:v>Total</c:v>
                </c:pt>
                <c:pt idx="1">
                  <c:v>Hoteles</c:v>
                </c:pt>
                <c:pt idx="2">
                  <c:v>Apartamentos</c:v>
                </c:pt>
                <c:pt idx="3">
                  <c:v>Vivienda vacacional (2)</c:v>
                </c:pt>
                <c:pt idx="4">
                  <c:v>Hoteles rurales</c:v>
                </c:pt>
                <c:pt idx="5">
                  <c:v>Casas rurales</c:v>
                </c:pt>
              </c:strCache>
            </c:strRef>
          </c:cat>
          <c:val>
            <c:numRef>
              <c:f>('plazas aut catg cuota'!$D$30,'plazas aut catg cuota'!$D$7,'plazas aut catg cuota'!$D$16,'plazas aut catg cuota'!$D$29,'plazas aut catg cuota'!$D$26,'plazas aut catg cuota'!$D$27)</c:f>
              <c:numCache>
                <c:formatCode>#,##0</c:formatCode>
                <c:ptCount val="6"/>
                <c:pt idx="0">
                  <c:v>266190</c:v>
                </c:pt>
                <c:pt idx="1">
                  <c:v>89523</c:v>
                </c:pt>
                <c:pt idx="2">
                  <c:v>46170</c:v>
                </c:pt>
                <c:pt idx="3">
                  <c:v>128856</c:v>
                </c:pt>
                <c:pt idx="4">
                  <c:v>567</c:v>
                </c:pt>
                <c:pt idx="5">
                  <c:v>1074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BC8-4376-8696-C9A8F7CFD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8982352"/>
        <c:axId val="128997584"/>
      </c:barChart>
      <c:barChart>
        <c:barDir val="col"/>
        <c:grouping val="clustered"/>
        <c:varyColors val="0"/>
        <c:ser>
          <c:idx val="1"/>
          <c:order val="1"/>
          <c:tx>
            <c:strRef>
              <c:f>'plazas aut catg cuota'!$H$6</c:f>
              <c:strCache>
                <c:ptCount val="1"/>
                <c:pt idx="0">
                  <c:v>var respecto al año anterior</c:v>
                </c:pt>
              </c:strCache>
            </c:strRef>
          </c:tx>
          <c:spPr>
            <a:noFill/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-3.841400374944892E-3"/>
                  <c:y val="-0.2473543369227164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BC8-4376-8696-C9A8F7CFD1A6}"/>
                </c:ext>
              </c:extLst>
            </c:dLbl>
            <c:dLbl>
              <c:idx val="1"/>
              <c:layout>
                <c:manualLayout>
                  <c:x val="-5.7621005624173115E-3"/>
                  <c:y val="-0.1438424088691659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BC8-4376-8696-C9A8F7CFD1A6}"/>
                </c:ext>
              </c:extLst>
            </c:dLbl>
            <c:dLbl>
              <c:idx val="2"/>
              <c:layout>
                <c:manualLayout>
                  <c:x val="-9.6035009373622564E-3"/>
                  <c:y val="0.1595355553079824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BC8-4376-8696-C9A8F7CFD1A6}"/>
                </c:ext>
              </c:extLst>
            </c:dLbl>
            <c:dLbl>
              <c:idx val="3"/>
              <c:layout>
                <c:manualLayout>
                  <c:x val="0"/>
                  <c:y val="0.1827898951393778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BC8-4376-8696-C9A8F7CFD1A6}"/>
                </c:ext>
              </c:extLst>
            </c:dLbl>
            <c:dLbl>
              <c:idx val="4"/>
              <c:layout>
                <c:manualLayout>
                  <c:x val="5.7621005624173115E-3"/>
                  <c:y val="8.379492605644044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BC8-4376-8696-C9A8F7CFD1A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solidFill>
                      <a:schemeClr val="accent3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('plazas aut catg cuota'!$H$30,'plazas aut catg cuota'!$H$7,'plazas aut catg cuota'!$H$16,'plazas aut catg cuota'!$H$29,'plazas aut catg cuota'!$H$26,'plazas aut catg cuota'!$H$27)</c:f>
              <c:numCache>
                <c:formatCode>0.0%</c:formatCode>
                <c:ptCount val="6"/>
                <c:pt idx="0">
                  <c:v>-1.0995072856430088E-3</c:v>
                </c:pt>
                <c:pt idx="1">
                  <c:v>8.164598301763526E-3</c:v>
                </c:pt>
                <c:pt idx="2">
                  <c:v>1.2300822973209558E-2</c:v>
                </c:pt>
                <c:pt idx="3">
                  <c:v>-1.0888581952117837E-2</c:v>
                </c:pt>
                <c:pt idx="4">
                  <c:v>1.795332136445249E-2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BC8-4376-8696-C9A8F7CFD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951651007"/>
        <c:axId val="1951644287"/>
      </c:barChart>
      <c:catAx>
        <c:axId val="128982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800" b="0" i="0" u="none" strike="noStrike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s-ES" sz="8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</a:rPr>
                  <a:t>FUENTE: Policía Turística. Cabildo Insular de Tenerife. ELABORACIÓN: Turismo de Tenerife   (*) Plazas Autorizadas conforme a Policía Turística.</a:t>
                </a:r>
              </a:p>
            </c:rich>
          </c:tx>
          <c:layout>
            <c:manualLayout>
              <c:xMode val="edge"/>
              <c:yMode val="edge"/>
              <c:x val="4.9561234895038951E-4"/>
              <c:y val="0.916989634058479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noFill/>
            <a:prstDash val="solid"/>
          </a:ln>
        </c:spPr>
        <c:txPr>
          <a:bodyPr rot="0" vert="horz"/>
          <a:lstStyle/>
          <a:p>
            <a:pPr rtl="0">
              <a:defRPr sz="1100" b="0" i="0" u="none" strike="noStrike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28997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899758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128982352"/>
        <c:crosses val="autoZero"/>
        <c:crossBetween val="between"/>
      </c:valAx>
      <c:valAx>
        <c:axId val="1951644287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one"/>
        <c:crossAx val="1951651007"/>
        <c:crosses val="max"/>
        <c:crossBetween val="between"/>
      </c:valAx>
      <c:catAx>
        <c:axId val="1951651007"/>
        <c:scaling>
          <c:orientation val="minMax"/>
        </c:scaling>
        <c:delete val="1"/>
        <c:axPos val="b"/>
        <c:majorTickMark val="out"/>
        <c:minorTickMark val="none"/>
        <c:tickLblPos val="nextTo"/>
        <c:crossAx val="1951644287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t"/>
      <c:legendEntry>
        <c:idx val="1"/>
        <c:txPr>
          <a:bodyPr/>
          <a:lstStyle/>
          <a:p>
            <a:pPr>
              <a:defRPr sz="1000">
                <a:solidFill>
                  <a:schemeClr val="accent3">
                    <a:lumMod val="75000"/>
                  </a:schemeClr>
                </a:solidFill>
              </a:defRPr>
            </a:pPr>
            <a:endParaRPr lang="es-ES"/>
          </a:p>
        </c:txPr>
      </c:legendEntry>
      <c:layout>
        <c:manualLayout>
          <c:xMode val="edge"/>
          <c:yMode val="edge"/>
          <c:x val="0.19042971053989519"/>
          <c:y val="0.20027709283570408"/>
          <c:w val="0.5244896682753738"/>
          <c:h val="5.7718097209567061E-2"/>
        </c:manualLayout>
      </c:layout>
      <c:overlay val="0"/>
      <c:txPr>
        <a:bodyPr/>
        <a:lstStyle/>
        <a:p>
          <a:pPr>
            <a:defRPr sz="10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layout>
        <c:manualLayout>
          <c:xMode val="edge"/>
          <c:yMode val="edge"/>
          <c:x val="1.3344936407563221E-2"/>
          <c:y val="0.15771970811340891"/>
        </c:manualLayout>
      </c:layout>
      <c:overlay val="0"/>
      <c:txPr>
        <a:bodyPr/>
        <a:lstStyle/>
        <a:p>
          <a:pPr>
            <a:defRPr sz="1200" b="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175149891824237"/>
          <c:y val="0.37312076375068504"/>
          <c:w val="0.66612275733341031"/>
          <c:h val="0.55478670935363861"/>
        </c:manualLayout>
      </c:layout>
      <c:pie3DChart>
        <c:varyColors val="1"/>
        <c:ser>
          <c:idx val="0"/>
          <c:order val="0"/>
          <c:tx>
            <c:strRef>
              <c:f>'plazas aut catg cuota'!$C$4:$E$4</c:f>
              <c:strCache>
                <c:ptCount val="1"/>
                <c:pt idx="0">
                  <c:v>junio 2026</c:v>
                </c:pt>
              </c:strCache>
            </c:strRef>
          </c:tx>
          <c:spPr>
            <a:ln w="19050">
              <a:solidFill>
                <a:schemeClr val="bg1"/>
              </a:solidFill>
            </a:ln>
          </c:spPr>
          <c:dLbls>
            <c:dLbl>
              <c:idx val="0"/>
              <c:layout>
                <c:manualLayout>
                  <c:x val="7.2193942003102807E-2"/>
                  <c:y val="1.603266585996903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AFE-4B88-8F20-42662B7ACE85}"/>
                </c:ext>
              </c:extLst>
            </c:dLbl>
            <c:dLbl>
              <c:idx val="1"/>
              <c:layout>
                <c:manualLayout>
                  <c:x val="0.11494980248438262"/>
                  <c:y val="0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FE-4B88-8F20-42662B7ACE85}"/>
                </c:ext>
              </c:extLst>
            </c:dLbl>
            <c:dLbl>
              <c:idx val="2"/>
              <c:layout>
                <c:manualLayout>
                  <c:x val="-5.2203044777807475E-2"/>
                  <c:y val="3.751893132342162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FE-4B88-8F20-42662B7ACE85}"/>
                </c:ext>
              </c:extLst>
            </c:dLbl>
            <c:dLbl>
              <c:idx val="3"/>
              <c:layout>
                <c:manualLayout>
                  <c:x val="-7.0840200698852343E-2"/>
                  <c:y val="-5.401727627475905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FE-4B88-8F20-42662B7ACE85}"/>
                </c:ext>
              </c:extLst>
            </c:dLbl>
            <c:dLbl>
              <c:idx val="4"/>
              <c:layout>
                <c:manualLayout>
                  <c:x val="0.25488316433609481"/>
                  <c:y val="-2.73138467310466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AFE-4B88-8F20-42662B7ACE85}"/>
                </c:ext>
              </c:extLst>
            </c:dLbl>
            <c:dLbl>
              <c:idx val="5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AFE-4B88-8F20-42662B7ACE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('plazas aut catg cuota'!$C$7,'plazas aut catg cuota'!$C$16,'plazas aut catg cuota'!$C$29,'plazas aut catg cuota'!$C$26,'plazas aut catg cuota'!$C$27)</c:f>
              <c:strCache>
                <c:ptCount val="5"/>
                <c:pt idx="0">
                  <c:v>Hoteles</c:v>
                </c:pt>
                <c:pt idx="1">
                  <c:v>Apartamentos</c:v>
                </c:pt>
                <c:pt idx="2">
                  <c:v>Vivienda vacacional (2)</c:v>
                </c:pt>
                <c:pt idx="3">
                  <c:v>Hoteles rurales</c:v>
                </c:pt>
                <c:pt idx="4">
                  <c:v>Casas rurales</c:v>
                </c:pt>
              </c:strCache>
            </c:strRef>
          </c:cat>
          <c:val>
            <c:numRef>
              <c:f>('plazas aut catg cuota'!$D$7,'plazas aut catg cuota'!$D$16,'plazas aut catg cuota'!$D$29,'plazas aut catg cuota'!$D$26,'plazas aut catg cuota'!$D$27)</c:f>
              <c:numCache>
                <c:formatCode>#,##0</c:formatCode>
                <c:ptCount val="5"/>
                <c:pt idx="0">
                  <c:v>89523</c:v>
                </c:pt>
                <c:pt idx="1">
                  <c:v>46170</c:v>
                </c:pt>
                <c:pt idx="2">
                  <c:v>128856</c:v>
                </c:pt>
                <c:pt idx="3">
                  <c:v>567</c:v>
                </c:pt>
                <c:pt idx="4">
                  <c:v>1074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AFE-4B88-8F20-42662B7AC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 alignWithMargins="0"/>
    <c:pageMargins b="1" l="0.75000000000001465" r="0.75000000000001465" t="1" header="0" footer="0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'estab aut catg cuota aloj'!$C$3:$E$3</c:f>
          <c:strCache>
            <c:ptCount val="3"/>
            <c:pt idx="0">
              <c:v>Establecimientos turísticos inscritos (1) en Total Isla según tipología y categoría del establecimiento
Distribución por categoría</c:v>
            </c:pt>
          </c:strCache>
        </c:strRef>
      </c:tx>
      <c:layout>
        <c:manualLayout>
          <c:xMode val="edge"/>
          <c:yMode val="edge"/>
          <c:x val="9.1959308006207253E-7"/>
          <c:y val="1.3832394173477131E-3"/>
        </c:manualLayout>
      </c:layout>
      <c:overlay val="0"/>
      <c:spPr>
        <a:noFill/>
        <a:ln w="25400">
          <a:noFill/>
        </a:ln>
      </c:spPr>
      <c:txPr>
        <a:bodyPr/>
        <a:lstStyle/>
        <a:p>
          <a:pPr algn="l">
            <a:defRPr sz="1600" b="1" i="0" u="none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1965965252783343E-3"/>
          <c:y val="0.33813842841497088"/>
          <c:w val="0.97760879170679205"/>
          <c:h val="0.461514213397548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'estab aut catg cuota aloj'!$C$4:$E$4</c:f>
              <c:strCache>
                <c:ptCount val="1"/>
                <c:pt idx="0">
                  <c:v>junio 2026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5.3362263149246423E-3"/>
                  <c:y val="1.18815957133998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6F-4F03-AC5A-6A1C34579896}"/>
                </c:ext>
              </c:extLst>
            </c:dLbl>
            <c:dLbl>
              <c:idx val="1"/>
              <c:layout>
                <c:manualLayout>
                  <c:x val="-4.1179054449789225E-3"/>
                  <c:y val="-1.48035852364936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6F-4F03-AC5A-6A1C34579896}"/>
                </c:ext>
              </c:extLst>
            </c:dLbl>
            <c:dLbl>
              <c:idx val="2"/>
              <c:layout>
                <c:manualLayout>
                  <c:x val="-8.7475461406770604E-3"/>
                  <c:y val="5.149366702606253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26F-4F03-AC5A-6A1C34579896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6F-4F03-AC5A-6A1C34579896}"/>
                </c:ext>
              </c:extLst>
            </c:dLbl>
            <c:dLbl>
              <c:idx val="4"/>
              <c:layout>
                <c:manualLayout>
                  <c:x val="3.1566642404993496E-4"/>
                  <c:y val="1.45735081267875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26F-4F03-AC5A-6A1C34579896}"/>
                </c:ext>
              </c:extLst>
            </c:dLbl>
            <c:dLbl>
              <c:idx val="5"/>
              <c:layout>
                <c:manualLayout>
                  <c:x val="-5.0925835308417841E-3"/>
                  <c:y val="1.355049498480736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26F-4F03-AC5A-6A1C34579896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 algn="ctr">
                  <a:defRPr sz="1400" b="0" i="0" u="none" strike="noStrike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('estab aut catg cuota aloj'!$C$30,'estab aut catg cuota aloj'!$C$7,'estab aut catg cuota aloj'!$C$16,'estab aut catg cuota aloj'!$C$29,'estab aut catg cuota aloj'!$C$26,'estab aut catg cuota aloj'!$C$27)</c:f>
              <c:strCache>
                <c:ptCount val="6"/>
                <c:pt idx="0">
                  <c:v>Total</c:v>
                </c:pt>
                <c:pt idx="1">
                  <c:v>Hoteles</c:v>
                </c:pt>
                <c:pt idx="2">
                  <c:v>Apartamentos</c:v>
                </c:pt>
                <c:pt idx="3">
                  <c:v>Vivienda vacacional (2)</c:v>
                </c:pt>
                <c:pt idx="4">
                  <c:v>Hoteles rurales</c:v>
                </c:pt>
                <c:pt idx="5">
                  <c:v>Casas rurales</c:v>
                </c:pt>
              </c:strCache>
            </c:strRef>
          </c:cat>
          <c:val>
            <c:numRef>
              <c:f>('estab aut catg cuota aloj'!$D$30,'estab aut catg cuota aloj'!$D$7,'estab aut catg cuota aloj'!$D$16,'estab aut catg cuota aloj'!$D$29,'estab aut catg cuota aloj'!$D$26,'estab aut catg cuota aloj'!$D$27)</c:f>
              <c:numCache>
                <c:formatCode>#,##0</c:formatCode>
                <c:ptCount val="6"/>
                <c:pt idx="0">
                  <c:v>31423</c:v>
                </c:pt>
                <c:pt idx="1">
                  <c:v>289</c:v>
                </c:pt>
                <c:pt idx="2">
                  <c:v>236</c:v>
                </c:pt>
                <c:pt idx="3">
                  <c:v>30707</c:v>
                </c:pt>
                <c:pt idx="4">
                  <c:v>24</c:v>
                </c:pt>
                <c:pt idx="5">
                  <c:v>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26F-4F03-AC5A-6A1C34579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8982352"/>
        <c:axId val="128997584"/>
      </c:barChart>
      <c:barChart>
        <c:barDir val="col"/>
        <c:grouping val="clustered"/>
        <c:varyColors val="0"/>
        <c:ser>
          <c:idx val="1"/>
          <c:order val="1"/>
          <c:tx>
            <c:strRef>
              <c:f>'estab aut catg cuota aloj'!$H$6</c:f>
              <c:strCache>
                <c:ptCount val="1"/>
                <c:pt idx="0">
                  <c:v>var respecto al año anterior</c:v>
                </c:pt>
              </c:strCache>
            </c:strRef>
          </c:tx>
          <c:spPr>
            <a:noFill/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-4.1601664066562667E-3"/>
                  <c:y val="-7.07070894528194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26F-4F03-AC5A-6A1C34579896}"/>
                </c:ext>
              </c:extLst>
            </c:dLbl>
            <c:dLbl>
              <c:idx val="1"/>
              <c:layout>
                <c:manualLayout>
                  <c:x val="-2.0800832033281711E-3"/>
                  <c:y val="-7.74410979721355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26F-4F03-AC5A-6A1C34579896}"/>
                </c:ext>
              </c:extLst>
            </c:dLbl>
            <c:dLbl>
              <c:idx val="2"/>
              <c:layout>
                <c:manualLayout>
                  <c:x val="-7.6268836391258615E-17"/>
                  <c:y val="-5.0505063894870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26F-4F03-AC5A-6A1C34579896}"/>
                </c:ext>
              </c:extLst>
            </c:dLbl>
            <c:dLbl>
              <c:idx val="3"/>
              <c:layout>
                <c:manualLayout>
                  <c:x val="-7.6268836391258615E-17"/>
                  <c:y val="-0.168350212982903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26F-4F03-AC5A-6A1C34579896}"/>
                </c:ext>
              </c:extLst>
            </c:dLbl>
            <c:dLbl>
              <c:idx val="4"/>
              <c:layout>
                <c:manualLayout>
                  <c:x val="-7.6268836391258615E-17"/>
                  <c:y val="2.69360340772644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26F-4F03-AC5A-6A1C34579896}"/>
                </c:ext>
              </c:extLst>
            </c:dLbl>
            <c:dLbl>
              <c:idx val="5"/>
              <c:layout>
                <c:manualLayout>
                  <c:x val="0"/>
                  <c:y val="-5.0505063894870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26F-4F03-AC5A-6A1C3457989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>
                    <a:solidFill>
                      <a:schemeClr val="accent3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('estab aut catg cuota aloj'!$H$30,'estab aut catg cuota aloj'!$H$7,'estab aut catg cuota aloj'!$H$16,'estab aut catg cuota aloj'!$H$29,'estab aut catg cuota aloj'!$H$26,'estab aut catg cuota aloj'!$H$27)</c:f>
              <c:numCache>
                <c:formatCode>0.0%</c:formatCode>
                <c:ptCount val="6"/>
                <c:pt idx="0">
                  <c:v>-7.1408259344687419E-3</c:v>
                </c:pt>
                <c:pt idx="1">
                  <c:v>6.9686411149825211E-3</c:v>
                </c:pt>
                <c:pt idx="2">
                  <c:v>4.2553191489360653E-3</c:v>
                </c:pt>
                <c:pt idx="3">
                  <c:v>-7.3700543056632872E-3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26F-4F03-AC5A-6A1C34579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91561888"/>
        <c:axId val="1091550368"/>
      </c:barChart>
      <c:catAx>
        <c:axId val="128982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800" b="0" i="0" u="none" strike="noStrike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s-ES" sz="8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</a:rPr>
                  <a:t>FUENTE: Policía Turística. Cabildo Insular de Tenerife. ELABORACIÓN: Turismo de Tenerife   (*) Plazas Autorizadas conforme a Policía Turística.</a:t>
                </a:r>
              </a:p>
            </c:rich>
          </c:tx>
          <c:layout>
            <c:manualLayout>
              <c:xMode val="edge"/>
              <c:yMode val="edge"/>
              <c:x val="1.2971857456975445E-2"/>
              <c:y val="0.920372250423011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noFill/>
            <a:prstDash val="solid"/>
          </a:ln>
        </c:spPr>
        <c:txPr>
          <a:bodyPr rot="0" vert="horz"/>
          <a:lstStyle/>
          <a:p>
            <a:pPr rtl="0">
              <a:defRPr sz="1100" b="0" i="0" u="none" strike="noStrike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28997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899758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128982352"/>
        <c:crosses val="autoZero"/>
        <c:crossBetween val="between"/>
      </c:valAx>
      <c:valAx>
        <c:axId val="1091550368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one"/>
        <c:spPr>
          <a:noFill/>
          <a:ln>
            <a:noFill/>
          </a:ln>
        </c:spPr>
        <c:crossAx val="1091561888"/>
        <c:crosses val="max"/>
        <c:crossBetween val="between"/>
      </c:valAx>
      <c:catAx>
        <c:axId val="1091561888"/>
        <c:scaling>
          <c:orientation val="minMax"/>
        </c:scaling>
        <c:delete val="1"/>
        <c:axPos val="b"/>
        <c:majorTickMark val="out"/>
        <c:minorTickMark val="none"/>
        <c:tickLblPos val="nextTo"/>
        <c:crossAx val="109155036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t"/>
      <c:legendEntry>
        <c:idx val="1"/>
        <c:txPr>
          <a:bodyPr/>
          <a:lstStyle/>
          <a:p>
            <a:pPr>
              <a:defRPr sz="1000">
                <a:solidFill>
                  <a:schemeClr val="accent3">
                    <a:lumMod val="75000"/>
                  </a:schemeClr>
                </a:solidFill>
              </a:defRPr>
            </a:pPr>
            <a:endParaRPr lang="es-ES"/>
          </a:p>
        </c:txPr>
      </c:legendEntry>
      <c:layout>
        <c:manualLayout>
          <c:xMode val="edge"/>
          <c:yMode val="edge"/>
          <c:x val="2.8046494188226496E-4"/>
          <c:y val="0.20027699207501976"/>
          <c:w val="0.52466757567940514"/>
          <c:h val="5.7451962526037945E-2"/>
        </c:manualLayout>
      </c:layout>
      <c:overlay val="0"/>
      <c:txPr>
        <a:bodyPr/>
        <a:lstStyle/>
        <a:p>
          <a:pPr>
            <a:defRPr sz="10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layout>
        <c:manualLayout>
          <c:xMode val="edge"/>
          <c:yMode val="edge"/>
          <c:x val="1.3344936407563221E-2"/>
          <c:y val="0.15771970811340891"/>
        </c:manualLayout>
      </c:layout>
      <c:overlay val="0"/>
      <c:txPr>
        <a:bodyPr/>
        <a:lstStyle/>
        <a:p>
          <a:pPr>
            <a:defRPr sz="1200" b="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175149891824237"/>
          <c:y val="0.37312076375068504"/>
          <c:w val="0.66612275733341031"/>
          <c:h val="0.55478670935363861"/>
        </c:manualLayout>
      </c:layout>
      <c:pie3DChart>
        <c:varyColors val="1"/>
        <c:ser>
          <c:idx val="0"/>
          <c:order val="0"/>
          <c:tx>
            <c:strRef>
              <c:f>'estab aut catg cuota aloj'!$C$4:$E$4</c:f>
              <c:strCache>
                <c:ptCount val="1"/>
                <c:pt idx="0">
                  <c:v>junio 2026</c:v>
                </c:pt>
              </c:strCache>
            </c:strRef>
          </c:tx>
          <c:spPr>
            <a:ln w="19050">
              <a:solidFill>
                <a:schemeClr val="bg1"/>
              </a:solidFill>
            </a:ln>
          </c:spPr>
          <c:dLbls>
            <c:dLbl>
              <c:idx val="0"/>
              <c:layout>
                <c:manualLayout>
                  <c:x val="0.10232331393358439"/>
                  <c:y val="-7.693497560453846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40E-4C95-ADB5-0B10BF1058CA}"/>
                </c:ext>
              </c:extLst>
            </c:dLbl>
            <c:dLbl>
              <c:idx val="1"/>
              <c:layout>
                <c:manualLayout>
                  <c:x val="0.28235864429989732"/>
                  <c:y val="4.567060778844650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0E-4C95-ADB5-0B10BF1058CA}"/>
                </c:ext>
              </c:extLst>
            </c:dLbl>
            <c:dLbl>
              <c:idx val="2"/>
              <c:layout>
                <c:manualLayout>
                  <c:x val="-0.3745438776674655"/>
                  <c:y val="-0.1190600547972255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40E-4C95-ADB5-0B10BF1058CA}"/>
                </c:ext>
              </c:extLst>
            </c:dLbl>
            <c:dLbl>
              <c:idx val="3"/>
              <c:layout>
                <c:manualLayout>
                  <c:x val="-0.24018568983224931"/>
                  <c:y val="8.933790799661013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0E-4C95-ADB5-0B10BF1058CA}"/>
                </c:ext>
              </c:extLst>
            </c:dLbl>
            <c:dLbl>
              <c:idx val="4"/>
              <c:layout>
                <c:manualLayout>
                  <c:x val="-5.3808604359237788E-2"/>
                  <c:y val="-3.211281975333020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40E-4C95-ADB5-0B10BF1058CA}"/>
                </c:ext>
              </c:extLst>
            </c:dLbl>
            <c:dLbl>
              <c:idx val="5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40E-4C95-ADB5-0B10BF1058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('estab aut catg cuota aloj'!$C$7,'estab aut catg cuota aloj'!$C$16,'estab aut catg cuota aloj'!$C$29,'estab aut catg cuota aloj'!$C$26,'estab aut catg cuota aloj'!$C$27)</c:f>
              <c:strCache>
                <c:ptCount val="5"/>
                <c:pt idx="0">
                  <c:v>Hoteles</c:v>
                </c:pt>
                <c:pt idx="1">
                  <c:v>Apartamentos</c:v>
                </c:pt>
                <c:pt idx="2">
                  <c:v>Vivienda vacacional (2)</c:v>
                </c:pt>
                <c:pt idx="3">
                  <c:v>Hoteles rurales</c:v>
                </c:pt>
                <c:pt idx="4">
                  <c:v>Casas rurales</c:v>
                </c:pt>
              </c:strCache>
            </c:strRef>
          </c:cat>
          <c:val>
            <c:numRef>
              <c:f>('estab aut catg cuota aloj'!$D$7,'estab aut catg cuota aloj'!$D$16,'estab aut catg cuota aloj'!$D$29,'estab aut catg cuota aloj'!$D$26,'estab aut catg cuota aloj'!$D$27)</c:f>
              <c:numCache>
                <c:formatCode>#,##0</c:formatCode>
                <c:ptCount val="5"/>
                <c:pt idx="0">
                  <c:v>289</c:v>
                </c:pt>
                <c:pt idx="1">
                  <c:v>236</c:v>
                </c:pt>
                <c:pt idx="2">
                  <c:v>30707</c:v>
                </c:pt>
                <c:pt idx="3">
                  <c:v>24</c:v>
                </c:pt>
                <c:pt idx="4">
                  <c:v>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40E-4C95-ADB5-0B10BF105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 alignWithMargins="0"/>
    <c:pageMargins b="1" l="0.75000000000001465" r="0.75000000000001465" t="1" header="0" footer="0"/>
    <c:pageSetup paperSize="9" orientation="landscape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Men&#250; principal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5" Type="http://schemas.openxmlformats.org/officeDocument/2006/relationships/image" Target="../media/image3.png"/><Relationship Id="rId4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hyperlink" Target="#'Men&#250; principal'!A1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hyperlink" Target="#'Men&#250; principal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image" Target="../media/image3.png"/><Relationship Id="rId4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hyperlink" Target="#'Men&#250; principal'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6696074</xdr:colOff>
      <xdr:row>0</xdr:row>
      <xdr:rowOff>104775</xdr:rowOff>
    </xdr:from>
    <xdr:to>
      <xdr:col>2</xdr:col>
      <xdr:colOff>17540</xdr:colOff>
      <xdr:row>2</xdr:row>
      <xdr:rowOff>335176</xdr:rowOff>
    </xdr:to>
    <xdr:pic>
      <xdr:nvPicPr>
        <xdr:cNvPr id="2" name="Imagen 1">
          <a:hlinkClick xmlns:r="http://schemas.openxmlformats.org/officeDocument/2006/relationships" r:id="rId1" tooltip="Volver al menú principal"/>
          <a:extLst>
            <a:ext uri="{FF2B5EF4-FFF2-40B4-BE49-F238E27FC236}">
              <a16:creationId xmlns:a16="http://schemas.microsoft.com/office/drawing/2014/main" id="{D69B2D4D-745F-4EDB-9AB5-AFE145AA3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074" y="104775"/>
          <a:ext cx="3217941" cy="87810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742950</xdr:colOff>
      <xdr:row>2</xdr:row>
      <xdr:rowOff>428625</xdr:rowOff>
    </xdr:from>
    <xdr:to>
      <xdr:col>11</xdr:col>
      <xdr:colOff>1550670</xdr:colOff>
      <xdr:row>21</xdr:row>
      <xdr:rowOff>30479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2A3A419A-E855-440D-9C83-7A0CCF2B3B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8</xdr:col>
      <xdr:colOff>674370</xdr:colOff>
      <xdr:row>22</xdr:row>
      <xdr:rowOff>68579</xdr:rowOff>
    </xdr:from>
    <xdr:to>
      <xdr:col>11</xdr:col>
      <xdr:colOff>857250</xdr:colOff>
      <xdr:row>34</xdr:row>
      <xdr:rowOff>49529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2F76A4C9-AB58-47E2-BD7C-44B2E79CA2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123825</xdr:colOff>
      <xdr:row>0</xdr:row>
      <xdr:rowOff>0</xdr:rowOff>
    </xdr:from>
    <xdr:to>
      <xdr:col>7</xdr:col>
      <xdr:colOff>617220</xdr:colOff>
      <xdr:row>1</xdr:row>
      <xdr:rowOff>114300</xdr:rowOff>
    </xdr:to>
    <xdr:pic>
      <xdr:nvPicPr>
        <xdr:cNvPr id="4" name="4 Imagen" descr="https://encrypted-tbn3.gstatic.com/images?q=tbn:ANd9GcS9dv_h_mgRl4NU7cIhTzv3MoOn0ZiT6qdeiJWxJuzUuUnUnoR-">
          <a:hlinkClick xmlns:r="http://schemas.openxmlformats.org/officeDocument/2006/relationships" r:id="rId3" tooltip="Ir al índice"/>
          <a:extLst>
            <a:ext uri="{FF2B5EF4-FFF2-40B4-BE49-F238E27FC236}">
              <a16:creationId xmlns:a16="http://schemas.microsoft.com/office/drawing/2014/main" id="{D4344333-E20D-468D-9F06-1C80AD791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0"/>
          <a:ext cx="49339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123825</xdr:colOff>
      <xdr:row>0</xdr:row>
      <xdr:rowOff>0</xdr:rowOff>
    </xdr:from>
    <xdr:to>
      <xdr:col>7</xdr:col>
      <xdr:colOff>617220</xdr:colOff>
      <xdr:row>1</xdr:row>
      <xdr:rowOff>114300</xdr:rowOff>
    </xdr:to>
    <xdr:pic>
      <xdr:nvPicPr>
        <xdr:cNvPr id="5" name="7 Imagen" descr="https://encrypted-tbn3.gstatic.com/images?q=tbn:ANd9GcS9dv_h_mgRl4NU7cIhTzv3MoOn0ZiT6qdeiJWxJuzUuUnUnoR-">
          <a:hlinkClick xmlns:r="http://schemas.openxmlformats.org/officeDocument/2006/relationships" r:id="rId3" tooltip="Ir al índice"/>
          <a:extLst>
            <a:ext uri="{FF2B5EF4-FFF2-40B4-BE49-F238E27FC236}">
              <a16:creationId xmlns:a16="http://schemas.microsoft.com/office/drawing/2014/main" id="{621C9848-6A5D-4548-997E-96A2D3BAE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0"/>
          <a:ext cx="49339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47625</xdr:rowOff>
    </xdr:from>
    <xdr:to>
      <xdr:col>1</xdr:col>
      <xdr:colOff>1020105</xdr:colOff>
      <xdr:row>1</xdr:row>
      <xdr:rowOff>152400</xdr:rowOff>
    </xdr:to>
    <xdr:pic>
      <xdr:nvPicPr>
        <xdr:cNvPr id="6" name="Imagen 5">
          <a:hlinkClick xmlns:r="http://schemas.openxmlformats.org/officeDocument/2006/relationships" r:id="rId3" tooltip="Volver al menú principal"/>
          <a:extLst>
            <a:ext uri="{FF2B5EF4-FFF2-40B4-BE49-F238E27FC236}">
              <a16:creationId xmlns:a16="http://schemas.microsoft.com/office/drawing/2014/main" id="{F0267695-D4D6-4AFD-A026-5759ADD536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625"/>
          <a:ext cx="1782105" cy="485775"/>
        </a:xfrm>
        <a:prstGeom prst="rect">
          <a:avLst/>
        </a:prstGeom>
      </xdr:spPr>
    </xdr:pic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0.18681</cdr:y>
    </cdr:to>
    <cdr:sp macro="" textlink="'estab aut catg cuota aloj'!$I$21">
      <cdr:nvSpPr>
        <cdr:cNvPr id="4" name="3 CuadroTexto">
          <a:extLst xmlns:a="http://schemas.openxmlformats.org/drawingml/2006/main">
            <a:ext uri="{FF2B5EF4-FFF2-40B4-BE49-F238E27FC236}">
              <a16:creationId xmlns:a16="http://schemas.microsoft.com/office/drawing/2014/main" id="{E02FAD24-C82A-4993-81B6-146A2CA00A34}"/>
            </a:ext>
          </a:extLst>
        </cdr:cNvPr>
        <cdr:cNvSpPr txBox="1"/>
      </cdr:nvSpPr>
      <cdr:spPr>
        <a:xfrm xmlns:a="http://schemas.openxmlformats.org/drawingml/2006/main">
          <a:off x="0" y="0"/>
          <a:ext cx="5472113" cy="647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fld id="{86F4B1A7-6DFE-45E9-BC4B-DBFD8F1B6DA8}" type="TxLink">
            <a:rPr lang="en-US" sz="1600" b="1" i="0" u="none" strike="noStrike">
              <a:solidFill>
                <a:schemeClr val="tx1">
                  <a:lumMod val="75000"/>
                  <a:lumOff val="25000"/>
                </a:schemeClr>
              </a:solidFill>
              <a:latin typeface="Calibri"/>
              <a:ea typeface="Calibri"/>
              <a:cs typeface="Calibri"/>
            </a:rPr>
            <a:pPr algn="l"/>
            <a:t> </a:t>
          </a:fld>
          <a:endParaRPr lang="es-ES" sz="1600" b="1">
            <a:solidFill>
              <a:schemeClr val="tx1">
                <a:lumMod val="75000"/>
                <a:lumOff val="2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0.93407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D57FAF6C-FC67-438E-972A-B60A16D500BC}"/>
            </a:ext>
          </a:extLst>
        </cdr:cNvPr>
        <cdr:cNvSpPr txBox="1"/>
      </cdr:nvSpPr>
      <cdr:spPr>
        <a:xfrm xmlns:a="http://schemas.openxmlformats.org/drawingml/2006/main">
          <a:off x="0" y="3238501"/>
          <a:ext cx="5472113" cy="2285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Policía Turística.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0.18</cdr:y>
    </cdr:to>
    <cdr:sp macro="" textlink="">
      <cdr:nvSpPr>
        <cdr:cNvPr id="8" name="CuadroTexto 1">
          <a:extLst xmlns:a="http://schemas.openxmlformats.org/drawingml/2006/main">
            <a:ext uri="{FF2B5EF4-FFF2-40B4-BE49-F238E27FC236}">
              <a16:creationId xmlns:a16="http://schemas.microsoft.com/office/drawing/2014/main" id="{2BCEF525-9626-440E-8B79-0EE48C575EA4}"/>
            </a:ext>
          </a:extLst>
        </cdr:cNvPr>
        <cdr:cNvSpPr txBox="1"/>
      </cdr:nvSpPr>
      <cdr:spPr>
        <a:xfrm xmlns:a="http://schemas.openxmlformats.org/drawingml/2006/main">
          <a:off x="0" y="0"/>
          <a:ext cx="5472113" cy="6000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600" b="1">
              <a:solidFill>
                <a:schemeClr val="tx1">
                  <a:lumMod val="75000"/>
                  <a:lumOff val="25000"/>
                </a:schemeClr>
              </a:solidFill>
            </a:rPr>
            <a:t>Distribución de los establecimientos alojativos de Tenerife por</a:t>
          </a:r>
          <a:r>
            <a:rPr lang="es-ES" sz="1600" b="1" baseline="0">
              <a:solidFill>
                <a:schemeClr val="tx1">
                  <a:lumMod val="75000"/>
                  <a:lumOff val="25000"/>
                </a:schemeClr>
              </a:solidFill>
            </a:rPr>
            <a:t> tipología de alojamiento</a:t>
          </a:r>
          <a:endParaRPr lang="es-ES" sz="1200" b="1">
            <a:solidFill>
              <a:schemeClr val="tx1">
                <a:lumMod val="75000"/>
                <a:lumOff val="25000"/>
              </a:schemeClr>
            </a:solidFill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190500</xdr:colOff>
      <xdr:row>0</xdr:row>
      <xdr:rowOff>9525</xdr:rowOff>
    </xdr:from>
    <xdr:to>
      <xdr:col>14</xdr:col>
      <xdr:colOff>685800</xdr:colOff>
      <xdr:row>1</xdr:row>
      <xdr:rowOff>123825</xdr:rowOff>
    </xdr:to>
    <xdr:pic>
      <xdr:nvPicPr>
        <xdr:cNvPr id="2" name="2 Imagen" descr="https://encrypted-tbn3.gstatic.com/images?q=tbn:ANd9GcS9dv_h_mgRl4NU7cIhTzv3MoOn0ZiT6qdeiJWxJuzUuUnUnoR-">
          <a:hlinkClick xmlns:r="http://schemas.openxmlformats.org/officeDocument/2006/relationships" r:id="rId1" tooltip="Ir al índice"/>
          <a:extLst>
            <a:ext uri="{FF2B5EF4-FFF2-40B4-BE49-F238E27FC236}">
              <a16:creationId xmlns:a16="http://schemas.microsoft.com/office/drawing/2014/main" id="{2A768080-7FCB-49D7-A7CD-89E1A1026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0" y="9525"/>
          <a:ext cx="4953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190500</xdr:colOff>
      <xdr:row>0</xdr:row>
      <xdr:rowOff>9525</xdr:rowOff>
    </xdr:from>
    <xdr:to>
      <xdr:col>14</xdr:col>
      <xdr:colOff>685800</xdr:colOff>
      <xdr:row>1</xdr:row>
      <xdr:rowOff>123825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1" tooltip="Ir al índice"/>
          <a:extLst>
            <a:ext uri="{FF2B5EF4-FFF2-40B4-BE49-F238E27FC236}">
              <a16:creationId xmlns:a16="http://schemas.microsoft.com/office/drawing/2014/main" id="{56334BEC-54D1-4231-8790-DE0A6F18A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0" y="9525"/>
          <a:ext cx="4953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542923</xdr:colOff>
      <xdr:row>2</xdr:row>
      <xdr:rowOff>76200</xdr:rowOff>
    </xdr:from>
    <xdr:to>
      <xdr:col>22</xdr:col>
      <xdr:colOff>47624</xdr:colOff>
      <xdr:row>21</xdr:row>
      <xdr:rowOff>19050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1B5AA4D-8C7A-48D9-AC5B-3B229D7FA1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599100</xdr:colOff>
      <xdr:row>1</xdr:row>
      <xdr:rowOff>104775</xdr:rowOff>
    </xdr:to>
    <xdr:pic>
      <xdr:nvPicPr>
        <xdr:cNvPr id="5" name="Imagen 4">
          <a:hlinkClick xmlns:r="http://schemas.openxmlformats.org/officeDocument/2006/relationships" r:id="rId1" tooltip="Volver al menú principal"/>
          <a:extLst>
            <a:ext uri="{FF2B5EF4-FFF2-40B4-BE49-F238E27FC236}">
              <a16:creationId xmlns:a16="http://schemas.microsoft.com/office/drawing/2014/main" id="{7296D79B-5E3B-4C7A-9C17-FCC55D0B8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80200" cy="485775"/>
        </a:xfrm>
        <a:prstGeom prst="rect">
          <a:avLst/>
        </a:prstGeom>
      </xdr:spPr>
    </xdr:pic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0.94658</cdr:y>
    </cdr:from>
    <cdr:to>
      <cdr:x>0.97704</cdr:x>
      <cdr:y>1</cdr:y>
    </cdr:to>
    <cdr:sp macro="" textlink="">
      <cdr:nvSpPr>
        <cdr:cNvPr id="3" name="4 CuadroTexto">
          <a:extLst xmlns:a="http://schemas.openxmlformats.org/drawingml/2006/main">
            <a:ext uri="{FF2B5EF4-FFF2-40B4-BE49-F238E27FC236}">
              <a16:creationId xmlns:a16="http://schemas.microsoft.com/office/drawing/2014/main" id="{80C57082-7B49-4943-8346-F35EB3825B89}"/>
            </a:ext>
          </a:extLst>
        </cdr:cNvPr>
        <cdr:cNvSpPr txBox="1"/>
      </cdr:nvSpPr>
      <cdr:spPr>
        <a:xfrm xmlns:a="http://schemas.openxmlformats.org/drawingml/2006/main">
          <a:off x="0" y="3895006"/>
          <a:ext cx="5472113" cy="2197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Policía Turística.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0.00907</cdr:x>
      <cdr:y>0.01235</cdr:y>
    </cdr:from>
    <cdr:to>
      <cdr:x>0.98611</cdr:x>
      <cdr:y>0.1637</cdr:y>
    </cdr:to>
    <cdr:sp macro="" textlink="'plazas aut munic cuota aloj'!$P$1">
      <cdr:nvSpPr>
        <cdr:cNvPr id="4" name="3 CuadroTexto">
          <a:extLst xmlns:a="http://schemas.openxmlformats.org/drawingml/2006/main">
            <a:ext uri="{FF2B5EF4-FFF2-40B4-BE49-F238E27FC236}">
              <a16:creationId xmlns:a16="http://schemas.microsoft.com/office/drawing/2014/main" id="{67C8AA62-8B18-44AE-8003-ED76DA2172B8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5472113" cy="6227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fld id="{7331B23F-EAD3-4076-8E05-ACE72074B259}" type="TxLink">
            <a:rPr lang="en-US" sz="18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Calibri"/>
              <a:ea typeface="Calibri"/>
              <a:cs typeface="Calibri"/>
            </a:rPr>
            <a:pPr algn="l"/>
            <a:t>Plazas turísticas registradas en Tenerife por tipología 
I semestre 2026</a:t>
          </a:fld>
          <a:endParaRPr lang="es-ES" sz="2800" b="1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599100</xdr:colOff>
      <xdr:row>1</xdr:row>
      <xdr:rowOff>104775</xdr:rowOff>
    </xdr:to>
    <xdr:pic>
      <xdr:nvPicPr>
        <xdr:cNvPr id="2" name="Imagen 1">
          <a:hlinkClick xmlns:r="http://schemas.openxmlformats.org/officeDocument/2006/relationships" r:id="rId1" tooltip="Volver al menú principal"/>
          <a:extLst>
            <a:ext uri="{FF2B5EF4-FFF2-40B4-BE49-F238E27FC236}">
              <a16:creationId xmlns:a16="http://schemas.microsoft.com/office/drawing/2014/main" id="{F2286341-F702-4F99-B6CC-990DAFBA5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80200" cy="4857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0</xdr:row>
      <xdr:rowOff>0</xdr:rowOff>
    </xdr:from>
    <xdr:to>
      <xdr:col>14</xdr:col>
      <xdr:colOff>495300</xdr:colOff>
      <xdr:row>1</xdr:row>
      <xdr:rowOff>114300</xdr:rowOff>
    </xdr:to>
    <xdr:pic>
      <xdr:nvPicPr>
        <xdr:cNvPr id="2" name="4 Imagen" descr="https://encrypted-tbn3.gstatic.com/images?q=tbn:ANd9GcS9dv_h_mgRl4NU7cIhTzv3MoOn0ZiT6qdeiJWxJuzUuUnUnoR-">
          <a:hlinkClick xmlns:r="http://schemas.openxmlformats.org/officeDocument/2006/relationships" r:id="rId1" tooltip="Ir al índice"/>
          <a:extLst>
            <a:ext uri="{FF2B5EF4-FFF2-40B4-BE49-F238E27FC236}">
              <a16:creationId xmlns:a16="http://schemas.microsoft.com/office/drawing/2014/main" id="{26181E73-4640-4172-963C-8694AEBEA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25675" y="0"/>
          <a:ext cx="4953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599100</xdr:colOff>
      <xdr:row>1</xdr:row>
      <xdr:rowOff>104775</xdr:rowOff>
    </xdr:to>
    <xdr:pic>
      <xdr:nvPicPr>
        <xdr:cNvPr id="3" name="Imagen 2">
          <a:hlinkClick xmlns:r="http://schemas.openxmlformats.org/officeDocument/2006/relationships" r:id="rId1" tooltip="Volver al menú principal"/>
          <a:extLst>
            <a:ext uri="{FF2B5EF4-FFF2-40B4-BE49-F238E27FC236}">
              <a16:creationId xmlns:a16="http://schemas.microsoft.com/office/drawing/2014/main" id="{3B2F53B8-6241-4E90-A11F-532DA0D033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80200" cy="4857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574400</xdr:colOff>
      <xdr:row>2</xdr:row>
      <xdr:rowOff>638589</xdr:rowOff>
    </xdr:from>
    <xdr:to>
      <xdr:col>12</xdr:col>
      <xdr:colOff>950430</xdr:colOff>
      <xdr:row>21</xdr:row>
      <xdr:rowOff>110987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CBDFB016-37CE-43D8-A817-5CA584ACD7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8</xdr:col>
      <xdr:colOff>367333</xdr:colOff>
      <xdr:row>21</xdr:row>
      <xdr:rowOff>81171</xdr:rowOff>
    </xdr:from>
    <xdr:to>
      <xdr:col>12</xdr:col>
      <xdr:colOff>117612</xdr:colOff>
      <xdr:row>33</xdr:row>
      <xdr:rowOff>14081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5343EDB5-4EE1-4D73-9841-DD930D8293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123825</xdr:colOff>
      <xdr:row>0</xdr:row>
      <xdr:rowOff>0</xdr:rowOff>
    </xdr:from>
    <xdr:to>
      <xdr:col>9</xdr:col>
      <xdr:colOff>619125</xdr:colOff>
      <xdr:row>1</xdr:row>
      <xdr:rowOff>114300</xdr:rowOff>
    </xdr:to>
    <xdr:pic>
      <xdr:nvPicPr>
        <xdr:cNvPr id="4" name="4 Imagen" descr="https://encrypted-tbn3.gstatic.com/images?q=tbn:ANd9GcS9dv_h_mgRl4NU7cIhTzv3MoOn0ZiT6qdeiJWxJuzUuUnUnoR-">
          <a:hlinkClick xmlns:r="http://schemas.openxmlformats.org/officeDocument/2006/relationships" r:id="rId3" tooltip="Ir al índice"/>
          <a:extLst>
            <a:ext uri="{FF2B5EF4-FFF2-40B4-BE49-F238E27FC236}">
              <a16:creationId xmlns:a16="http://schemas.microsoft.com/office/drawing/2014/main" id="{CF8548A8-41C5-41BD-9088-C0E080734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0" y="0"/>
          <a:ext cx="4953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123825</xdr:colOff>
      <xdr:row>0</xdr:row>
      <xdr:rowOff>0</xdr:rowOff>
    </xdr:from>
    <xdr:to>
      <xdr:col>9</xdr:col>
      <xdr:colOff>619125</xdr:colOff>
      <xdr:row>1</xdr:row>
      <xdr:rowOff>114300</xdr:rowOff>
    </xdr:to>
    <xdr:pic>
      <xdr:nvPicPr>
        <xdr:cNvPr id="5" name="7 Imagen" descr="https://encrypted-tbn3.gstatic.com/images?q=tbn:ANd9GcS9dv_h_mgRl4NU7cIhTzv3MoOn0ZiT6qdeiJWxJuzUuUnUnoR-">
          <a:hlinkClick xmlns:r="http://schemas.openxmlformats.org/officeDocument/2006/relationships" r:id="rId3" tooltip="Ir al índice"/>
          <a:extLst>
            <a:ext uri="{FF2B5EF4-FFF2-40B4-BE49-F238E27FC236}">
              <a16:creationId xmlns:a16="http://schemas.microsoft.com/office/drawing/2014/main" id="{FE6F9D55-9775-4BCF-8821-6D729B176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0" y="0"/>
          <a:ext cx="4953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33131</xdr:rowOff>
    </xdr:from>
    <xdr:to>
      <xdr:col>1</xdr:col>
      <xdr:colOff>1016957</xdr:colOff>
      <xdr:row>1</xdr:row>
      <xdr:rowOff>137906</xdr:rowOff>
    </xdr:to>
    <xdr:pic>
      <xdr:nvPicPr>
        <xdr:cNvPr id="6" name="Imagen 5">
          <a:hlinkClick xmlns:r="http://schemas.openxmlformats.org/officeDocument/2006/relationships" r:id="rId3" tooltip="Volver al menú principal"/>
          <a:extLst>
            <a:ext uri="{FF2B5EF4-FFF2-40B4-BE49-F238E27FC236}">
              <a16:creationId xmlns:a16="http://schemas.microsoft.com/office/drawing/2014/main" id="{1FD40DDD-15F6-4479-82CB-E38554850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131"/>
          <a:ext cx="1778957" cy="485775"/>
        </a:xfrm>
        <a:prstGeom prst="rect">
          <a:avLst/>
        </a:prstGeom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0.18681</cdr:y>
    </cdr:to>
    <cdr:sp macro="" textlink="'plazas aut catg cuota'!$J$21">
      <cdr:nvSpPr>
        <cdr:cNvPr id="4" name="3 CuadroTexto">
          <a:extLst xmlns:a="http://schemas.openxmlformats.org/drawingml/2006/main">
            <a:ext uri="{FF2B5EF4-FFF2-40B4-BE49-F238E27FC236}">
              <a16:creationId xmlns:a16="http://schemas.microsoft.com/office/drawing/2014/main" id="{E02FAD24-C82A-4993-81B6-146A2CA00A34}"/>
            </a:ext>
          </a:extLst>
        </cdr:cNvPr>
        <cdr:cNvSpPr txBox="1"/>
      </cdr:nvSpPr>
      <cdr:spPr>
        <a:xfrm xmlns:a="http://schemas.openxmlformats.org/drawingml/2006/main">
          <a:off x="0" y="0"/>
          <a:ext cx="5472113" cy="647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fld id="{86F4B1A7-6DFE-45E9-BC4B-DBFD8F1B6DA8}" type="TxLink">
            <a:rPr lang="en-US" sz="1600" b="1" i="0" u="none" strike="noStrike">
              <a:solidFill>
                <a:schemeClr val="tx1">
                  <a:lumMod val="75000"/>
                  <a:lumOff val="25000"/>
                </a:schemeClr>
              </a:solidFill>
              <a:latin typeface="Calibri"/>
              <a:ea typeface="Calibri"/>
              <a:cs typeface="Calibri"/>
            </a:rPr>
            <a:pPr algn="l"/>
            <a:t> </a:t>
          </a:fld>
          <a:endParaRPr lang="es-ES" sz="1600" b="1">
            <a:solidFill>
              <a:schemeClr val="tx1">
                <a:lumMod val="75000"/>
                <a:lumOff val="2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0.93407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D57FAF6C-FC67-438E-972A-B60A16D500BC}"/>
            </a:ext>
          </a:extLst>
        </cdr:cNvPr>
        <cdr:cNvSpPr txBox="1"/>
      </cdr:nvSpPr>
      <cdr:spPr>
        <a:xfrm xmlns:a="http://schemas.openxmlformats.org/drawingml/2006/main">
          <a:off x="0" y="3238501"/>
          <a:ext cx="5472113" cy="2285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Policía Turística.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0.18</cdr:y>
    </cdr:to>
    <cdr:sp macro="" textlink="">
      <cdr:nvSpPr>
        <cdr:cNvPr id="8" name="CuadroTexto 1">
          <a:extLst xmlns:a="http://schemas.openxmlformats.org/drawingml/2006/main">
            <a:ext uri="{FF2B5EF4-FFF2-40B4-BE49-F238E27FC236}">
              <a16:creationId xmlns:a16="http://schemas.microsoft.com/office/drawing/2014/main" id="{2BCEF525-9626-440E-8B79-0EE48C575EA4}"/>
            </a:ext>
          </a:extLst>
        </cdr:cNvPr>
        <cdr:cNvSpPr txBox="1"/>
      </cdr:nvSpPr>
      <cdr:spPr>
        <a:xfrm xmlns:a="http://schemas.openxmlformats.org/drawingml/2006/main">
          <a:off x="0" y="0"/>
          <a:ext cx="5472113" cy="6000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600" b="1">
              <a:solidFill>
                <a:schemeClr val="tx1">
                  <a:lumMod val="75000"/>
                  <a:lumOff val="25000"/>
                </a:schemeClr>
              </a:solidFill>
            </a:rPr>
            <a:t>Distribución de las plazas alojativas de Tenerife por</a:t>
          </a:r>
          <a:r>
            <a:rPr lang="es-ES" sz="1600" b="1" baseline="0">
              <a:solidFill>
                <a:schemeClr val="tx1">
                  <a:lumMod val="75000"/>
                  <a:lumOff val="25000"/>
                </a:schemeClr>
              </a:solidFill>
            </a:rPr>
            <a:t> tipología de alojamiento</a:t>
          </a:r>
          <a:endParaRPr lang="es-ES" sz="1200" b="1">
            <a:solidFill>
              <a:schemeClr val="tx1">
                <a:lumMod val="75000"/>
                <a:lumOff val="25000"/>
              </a:schemeClr>
            </a:solidFill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104775</xdr:colOff>
      <xdr:row>0</xdr:row>
      <xdr:rowOff>266700</xdr:rowOff>
    </xdr:from>
    <xdr:to>
      <xdr:col>14</xdr:col>
      <xdr:colOff>600075</xdr:colOff>
      <xdr:row>2</xdr:row>
      <xdr:rowOff>190500</xdr:rowOff>
    </xdr:to>
    <xdr:pic>
      <xdr:nvPicPr>
        <xdr:cNvPr id="2" name="2 Imagen" descr="https://encrypted-tbn3.gstatic.com/images?q=tbn:ANd9GcS9dv_h_mgRl4NU7cIhTzv3MoOn0ZiT6qdeiJWxJuzUuUnUnoR-">
          <a:hlinkClick xmlns:r="http://schemas.openxmlformats.org/officeDocument/2006/relationships" r:id="rId1" tooltip="Ir al índice"/>
          <a:extLst>
            <a:ext uri="{FF2B5EF4-FFF2-40B4-BE49-F238E27FC236}">
              <a16:creationId xmlns:a16="http://schemas.microsoft.com/office/drawing/2014/main" id="{EBB1A347-5563-41DF-A28A-CEDF19EEE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77850" y="266700"/>
          <a:ext cx="4953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104775</xdr:colOff>
      <xdr:row>0</xdr:row>
      <xdr:rowOff>266700</xdr:rowOff>
    </xdr:from>
    <xdr:to>
      <xdr:col>14</xdr:col>
      <xdr:colOff>600075</xdr:colOff>
      <xdr:row>2</xdr:row>
      <xdr:rowOff>190500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1" tooltip="Ir al índice"/>
          <a:extLst>
            <a:ext uri="{FF2B5EF4-FFF2-40B4-BE49-F238E27FC236}">
              <a16:creationId xmlns:a16="http://schemas.microsoft.com/office/drawing/2014/main" id="{942291CA-9522-4B49-85F8-632045F7C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77850" y="266700"/>
          <a:ext cx="4953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599100</xdr:colOff>
      <xdr:row>1</xdr:row>
      <xdr:rowOff>104775</xdr:rowOff>
    </xdr:to>
    <xdr:pic>
      <xdr:nvPicPr>
        <xdr:cNvPr id="4" name="Imagen 3">
          <a:hlinkClick xmlns:r="http://schemas.openxmlformats.org/officeDocument/2006/relationships" r:id="rId1" tooltip="Volver al menú principal"/>
          <a:extLst>
            <a:ext uri="{FF2B5EF4-FFF2-40B4-BE49-F238E27FC236}">
              <a16:creationId xmlns:a16="http://schemas.microsoft.com/office/drawing/2014/main" id="{011C0397-03A2-48F6-9CDA-D872EDCA1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80200" cy="4857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599100</xdr:colOff>
      <xdr:row>1</xdr:row>
      <xdr:rowOff>104775</xdr:rowOff>
    </xdr:to>
    <xdr:pic>
      <xdr:nvPicPr>
        <xdr:cNvPr id="2" name="Imagen 1">
          <a:hlinkClick xmlns:r="http://schemas.openxmlformats.org/officeDocument/2006/relationships" r:id="rId1" tooltip="Volver al menú principal"/>
          <a:extLst>
            <a:ext uri="{FF2B5EF4-FFF2-40B4-BE49-F238E27FC236}">
              <a16:creationId xmlns:a16="http://schemas.microsoft.com/office/drawing/2014/main" id="{77840D37-25C3-4895-8404-CC3CBFC7B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80200" cy="48577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Tenerife azul">
      <a:dk1>
        <a:srgbClr val="373A36"/>
      </a:dk1>
      <a:lt1>
        <a:sysClr val="window" lastClr="FFFFFF"/>
      </a:lt1>
      <a:dk2>
        <a:srgbClr val="1F497D"/>
      </a:dk2>
      <a:lt2>
        <a:srgbClr val="EEECE1"/>
      </a:lt2>
      <a:accent1>
        <a:srgbClr val="1226AA"/>
      </a:accent1>
      <a:accent2>
        <a:srgbClr val="0071CE"/>
      </a:accent2>
      <a:accent3>
        <a:srgbClr val="1ECAD3"/>
      </a:accent3>
      <a:accent4>
        <a:srgbClr val="3CB4E5"/>
      </a:accent4>
      <a:accent5>
        <a:srgbClr val="F32735"/>
      </a:accent5>
      <a:accent6>
        <a:srgbClr val="0047BA"/>
      </a:accent6>
      <a:hlink>
        <a:srgbClr val="000B8C"/>
      </a:hlink>
      <a:folHlink>
        <a:srgbClr val="009ADE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892BF-5D38-4670-B484-D85386CDC24A}">
  <dimension ref="B1:B26"/>
  <sheetViews>
    <sheetView showGridLines="0" tabSelected="1" zoomScaleNormal="100" workbookViewId="0">
      <selection activeCell="E5" sqref="E5"/>
    </sheetView>
  </sheetViews>
  <sheetFormatPr baseColWidth="10" defaultRowHeight="15" x14ac:dyDescent="0.25"/>
  <cols>
    <col min="2" max="2" width="148.42578125" customWidth="1"/>
  </cols>
  <sheetData>
    <row r="1" spans="2:2" x14ac:dyDescent="0.25">
      <c r="B1" s="1" t="s">
        <v>17</v>
      </c>
    </row>
    <row r="2" spans="2:2" ht="36" x14ac:dyDescent="0.55000000000000004">
      <c r="B2" s="2" t="s">
        <v>0</v>
      </c>
    </row>
    <row r="3" spans="2:2" ht="36" x14ac:dyDescent="0.55000000000000004">
      <c r="B3" s="2" t="s">
        <v>100</v>
      </c>
    </row>
    <row r="4" spans="2:2" ht="23.25" x14ac:dyDescent="0.35">
      <c r="B4" s="3" t="s">
        <v>101</v>
      </c>
    </row>
    <row r="5" spans="2:2" x14ac:dyDescent="0.25">
      <c r="B5" s="4"/>
    </row>
    <row r="6" spans="2:2" ht="21.75" thickBot="1" x14ac:dyDescent="0.4">
      <c r="B6" s="5" t="s">
        <v>1</v>
      </c>
    </row>
    <row r="7" spans="2:2" ht="15.75" thickTop="1" x14ac:dyDescent="0.25"/>
    <row r="8" spans="2:2" ht="19.5" thickBot="1" x14ac:dyDescent="0.35">
      <c r="B8" s="6" t="s">
        <v>2</v>
      </c>
    </row>
    <row r="9" spans="2:2" ht="15.75" x14ac:dyDescent="0.25">
      <c r="B9" s="7" t="s">
        <v>3</v>
      </c>
    </row>
    <row r="10" spans="2:2" ht="18.75" x14ac:dyDescent="0.3">
      <c r="B10" s="8" t="s">
        <v>4</v>
      </c>
    </row>
    <row r="11" spans="2:2" ht="15.75" x14ac:dyDescent="0.25">
      <c r="B11" s="9" t="s">
        <v>5</v>
      </c>
    </row>
    <row r="12" spans="2:2" ht="15.75" x14ac:dyDescent="0.25">
      <c r="B12" s="9" t="s">
        <v>6</v>
      </c>
    </row>
    <row r="13" spans="2:2" ht="15.75" x14ac:dyDescent="0.25">
      <c r="B13" s="9" t="s">
        <v>7</v>
      </c>
    </row>
    <row r="14" spans="2:2" ht="15.75" x14ac:dyDescent="0.25">
      <c r="B14" s="9" t="s">
        <v>8</v>
      </c>
    </row>
    <row r="15" spans="2:2" ht="15.75" x14ac:dyDescent="0.25">
      <c r="B15" s="9" t="s">
        <v>9</v>
      </c>
    </row>
    <row r="16" spans="2:2" ht="15.75" x14ac:dyDescent="0.25">
      <c r="B16" s="9" t="s">
        <v>10</v>
      </c>
    </row>
    <row r="17" spans="2:2" ht="18.75" x14ac:dyDescent="0.3">
      <c r="B17" s="8" t="s">
        <v>11</v>
      </c>
    </row>
    <row r="18" spans="2:2" ht="15.75" x14ac:dyDescent="0.25">
      <c r="B18" s="9" t="s">
        <v>12</v>
      </c>
    </row>
    <row r="19" spans="2:2" x14ac:dyDescent="0.25">
      <c r="B19" s="10"/>
    </row>
    <row r="20" spans="2:2" x14ac:dyDescent="0.25">
      <c r="B20" s="10"/>
    </row>
    <row r="21" spans="2:2" x14ac:dyDescent="0.25">
      <c r="B21" s="10"/>
    </row>
    <row r="22" spans="2:2" x14ac:dyDescent="0.25">
      <c r="B22" s="10"/>
    </row>
    <row r="23" spans="2:2" x14ac:dyDescent="0.25">
      <c r="B23" s="10"/>
    </row>
    <row r="24" spans="2:2" x14ac:dyDescent="0.25">
      <c r="B24" s="10"/>
    </row>
    <row r="25" spans="2:2" x14ac:dyDescent="0.25">
      <c r="B25" s="10"/>
    </row>
    <row r="26" spans="2:2" x14ac:dyDescent="0.25">
      <c r="B26" s="10"/>
    </row>
  </sheetData>
  <hyperlinks>
    <hyperlink ref="B18" location="'Evolucion anual plazas aloj'!A1" tooltip="Evolución anual de plazas turísticas autorizadas según tipología del establecimiento" display="Evolución anual de plazas turísticas autorizadas según tipología del establecimiento" xr:uid="{4DE5E49F-2C29-4689-9F88-441205ADDC30}"/>
    <hyperlink ref="B11" location="'plazas aut munic cuota aloj'!A1" tooltip="Plazas turísticas autorizadas según tipología del establecimiento: distribución por Municipios" display="Plazas turísticas autorizadas según tipología del establecimiento: distribución por Municipios" xr:uid="{DF0911B4-EFA6-4FC0-A5A1-A242B3E5B65E}"/>
    <hyperlink ref="B13" location="'plazas aut catg cuota'!A1" tooltip="Plazas turísticas autorizadas según tipología y categoría del establecimiento periodo actual" display="Plazas turísticas autorizadas según tipología y categoría del establecimiento periodo actual" xr:uid="{E36B6E7B-3F8B-4319-86E9-FC2137742D34}"/>
    <hyperlink ref="B14" location="'estab aut munic cuota aloj'!A1" tooltip="Establecimientos turísticos autorizados según tipología del establecimiento periodo actual: distribución por municipios" display="Establecimientos turísticos autorizados según tipología del establecimiento periodo actual: distribución por municipios" xr:uid="{417AAC48-7CAB-4DCF-88A7-0B2786F8F436}"/>
    <hyperlink ref="B16" location="'estab aut catg cuota aloj'!A1" tooltip="Establecimientos turísticos autorizados según tipología y categoría del establecimiento: distribución por categoría periodo actual" display="Establecimientos turísticos autorizados según tipología y categoría del establecimiento: distribución por categoría periodo actual" xr:uid="{D7971DB5-9772-4DC7-8D60-370A03D55612}"/>
    <hyperlink ref="B12" location="'plazas aut municipio x cat'!A1" tooltip="Plazas turísticas autorizadas según tipología y categoría del establecimiento" display="Plazas turísticas autorizadas según tipología y categoría del establecimiento: variación y diferencia respecto al cierre del año anterior" xr:uid="{80854639-B32D-4148-BD06-E41922C537E9}"/>
    <hyperlink ref="B15" location="'estab aut municipio x tip y cat'!A1" display="Establecimientos turísticos autorizadas según municipio tipología y categoría del establecimiento: variación y diferencia respecto al cierre del año anterior" xr:uid="{CCAEE75D-D1C1-4753-BEC1-8001618AD29B}"/>
  </hyperlinks>
  <pageMargins left="0.70866141732283472" right="0.70866141732283472" top="0.74803149606299213" bottom="0.74803149606299213" header="0.31496062992125984" footer="0.31496062992125984"/>
  <pageSetup paperSize="9" scale="69" orientation="landscape" r:id="rId1"/>
  <headerFooter>
    <oddFooter>&amp;R_x000D_&amp;1#&amp;"Aptos"&amp;10&amp;K000000 Documento interno</oddFooter>
  </headerFooter>
  <rowBreaks count="1" manualBreakCount="1">
    <brk id="7" min="1" max="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13B80-E8D4-42D9-8E95-DED5E3EF7A3F}">
  <sheetPr>
    <tabColor rgb="FF92D050"/>
  </sheetPr>
  <dimension ref="A1:BJ46"/>
  <sheetViews>
    <sheetView showGridLines="0" zoomScaleNormal="100" workbookViewId="0">
      <selection activeCell="E8" sqref="E8"/>
    </sheetView>
  </sheetViews>
  <sheetFormatPr baseColWidth="10" defaultRowHeight="15" x14ac:dyDescent="0.25"/>
  <cols>
    <col min="1" max="1" width="17.7109375" customWidth="1"/>
    <col min="2" max="2" width="23" customWidth="1"/>
    <col min="6" max="6" width="12.42578125" bestFit="1" customWidth="1"/>
  </cols>
  <sheetData>
    <row r="1" spans="1:62" ht="30" customHeight="1" x14ac:dyDescent="0.25">
      <c r="E1" s="1" t="s">
        <v>13</v>
      </c>
      <c r="F1" s="1" t="s">
        <v>14</v>
      </c>
      <c r="G1" s="1" t="s">
        <v>15</v>
      </c>
      <c r="H1" s="11" t="str">
        <f>M5</f>
        <v>Casas Rurales</v>
      </c>
      <c r="I1" s="1"/>
      <c r="J1" s="1"/>
      <c r="K1" s="1"/>
      <c r="P1" s="1" t="s">
        <v>102</v>
      </c>
    </row>
    <row r="2" spans="1:62" x14ac:dyDescent="0.25">
      <c r="I2" s="106"/>
      <c r="J2" s="106"/>
    </row>
    <row r="3" spans="1:62" s="4" customFormat="1" ht="56.25" customHeight="1" thickBot="1" x14ac:dyDescent="0.3">
      <c r="B3" s="107" t="s">
        <v>103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</row>
    <row r="4" spans="1:62" s="4" customFormat="1" ht="6" customHeight="1" x14ac:dyDescent="0.25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1:62" s="4" customFormat="1" x14ac:dyDescent="0.25">
      <c r="B5" s="108" t="s">
        <v>16</v>
      </c>
      <c r="C5" s="109" t="s">
        <v>17</v>
      </c>
      <c r="D5" s="110"/>
      <c r="E5" s="109" t="s">
        <v>13</v>
      </c>
      <c r="F5" s="110"/>
      <c r="G5" s="109" t="s">
        <v>14</v>
      </c>
      <c r="H5" s="110"/>
      <c r="I5" s="109" t="s">
        <v>18</v>
      </c>
      <c r="J5" s="110"/>
      <c r="K5" s="109" t="s">
        <v>19</v>
      </c>
      <c r="L5" s="110"/>
      <c r="M5" s="109" t="s">
        <v>20</v>
      </c>
      <c r="N5" s="110"/>
    </row>
    <row r="6" spans="1:62" s="4" customFormat="1" ht="25.5" x14ac:dyDescent="0.25">
      <c r="B6" s="108"/>
      <c r="C6" s="14" t="s">
        <v>21</v>
      </c>
      <c r="D6" s="15" t="s">
        <v>22</v>
      </c>
      <c r="E6" s="14" t="str">
        <f>C6</f>
        <v>Plazas</v>
      </c>
      <c r="F6" s="15" t="s">
        <v>22</v>
      </c>
      <c r="G6" s="14" t="str">
        <f>E6</f>
        <v>Plazas</v>
      </c>
      <c r="H6" s="15" t="s">
        <v>22</v>
      </c>
      <c r="I6" s="14" t="s">
        <v>21</v>
      </c>
      <c r="J6" s="15" t="s">
        <v>22</v>
      </c>
      <c r="K6" s="14" t="str">
        <f>G6</f>
        <v>Plazas</v>
      </c>
      <c r="L6" s="15" t="s">
        <v>22</v>
      </c>
      <c r="M6" s="14" t="str">
        <f>K6</f>
        <v>Plazas</v>
      </c>
      <c r="N6" s="15" t="s">
        <v>22</v>
      </c>
    </row>
    <row r="7" spans="1:62" s="19" customFormat="1" ht="15.75" x14ac:dyDescent="0.25">
      <c r="A7" s="16"/>
      <c r="B7" s="16" t="s">
        <v>23</v>
      </c>
      <c r="C7" s="17">
        <f>E7+G7+K7+M7+I7</f>
        <v>266190</v>
      </c>
      <c r="D7" s="18">
        <f>C7/$C$7</f>
        <v>1</v>
      </c>
      <c r="E7" s="17">
        <f>SUM(E8:E38)</f>
        <v>89523</v>
      </c>
      <c r="F7" s="18">
        <f>E7/$E$7</f>
        <v>1</v>
      </c>
      <c r="G7" s="17">
        <f>SUM(G8:G38)</f>
        <v>46170</v>
      </c>
      <c r="H7" s="18">
        <f>VLOOKUP($B$7,'estab aut municipio x tip y cat'!$B$8:$BS$39,5+2,FALSE)</f>
        <v>6.9686411149825211E-3</v>
      </c>
      <c r="I7" s="17">
        <f>'plazas aut municipio x cat'!BK8</f>
        <v>128856</v>
      </c>
      <c r="J7" s="18">
        <f>I7/$I$7</f>
        <v>1</v>
      </c>
      <c r="K7" s="17">
        <f>SUM(K8:K38)</f>
        <v>567</v>
      </c>
      <c r="L7" s="18">
        <f>K7/$K$7</f>
        <v>1</v>
      </c>
      <c r="M7" s="17">
        <f>SUM(M8:M38)</f>
        <v>1074</v>
      </c>
      <c r="N7" s="18">
        <f>M7/$M$7</f>
        <v>1</v>
      </c>
    </row>
    <row r="8" spans="1:62" s="4" customFormat="1" x14ac:dyDescent="0.25">
      <c r="A8" s="20"/>
      <c r="B8" s="20" t="s">
        <v>24</v>
      </c>
      <c r="C8" s="21">
        <f>E8+G8+K8+M8+I8</f>
        <v>73064</v>
      </c>
      <c r="D8" s="22">
        <f>C8/$C$7</f>
        <v>0.27448063413351365</v>
      </c>
      <c r="E8" s="23">
        <v>35167</v>
      </c>
      <c r="F8" s="22">
        <f>E8/$E$7</f>
        <v>0.39282642449426403</v>
      </c>
      <c r="G8" s="23">
        <v>12541</v>
      </c>
      <c r="H8" s="22">
        <f>G8/$G$7</f>
        <v>0.27162659735759154</v>
      </c>
      <c r="I8" s="23">
        <f>'plazas aut municipio x cat'!BK9</f>
        <v>25320</v>
      </c>
      <c r="J8" s="22">
        <f>I8/$I$7</f>
        <v>0.19649841683739988</v>
      </c>
      <c r="K8" s="23">
        <v>22</v>
      </c>
      <c r="L8" s="22">
        <f>K8/$K$7</f>
        <v>3.8800705467372132E-2</v>
      </c>
      <c r="M8" s="23">
        <v>14</v>
      </c>
      <c r="N8" s="22">
        <f>M8/$M$7</f>
        <v>1.3035381750465549E-2</v>
      </c>
      <c r="BJ8" s="4">
        <v>98</v>
      </c>
    </row>
    <row r="9" spans="1:62" s="4" customFormat="1" x14ac:dyDescent="0.25">
      <c r="A9" s="20"/>
      <c r="B9" s="20" t="s">
        <v>25</v>
      </c>
      <c r="C9" s="21">
        <f t="shared" ref="C9:C38" si="0">E9+G9+K9+M9+I9</f>
        <v>401</v>
      </c>
      <c r="D9" s="22">
        <f t="shared" ref="D9:D38" si="1">C9/$C$7</f>
        <v>1.5064427664450205E-3</v>
      </c>
      <c r="E9" s="23">
        <v>0</v>
      </c>
      <c r="F9" s="22">
        <f t="shared" ref="F9:F38" si="2">E9/$E$7</f>
        <v>0</v>
      </c>
      <c r="G9" s="23">
        <v>0</v>
      </c>
      <c r="H9" s="22">
        <f t="shared" ref="H9:H38" si="3">G9/$G$7</f>
        <v>0</v>
      </c>
      <c r="I9" s="23">
        <f>'plazas aut municipio x cat'!BK10</f>
        <v>384</v>
      </c>
      <c r="J9" s="22">
        <f t="shared" ref="J9:J38" si="4">I9/$I$7</f>
        <v>2.9800707766809461E-3</v>
      </c>
      <c r="K9" s="23">
        <v>0</v>
      </c>
      <c r="L9" s="22">
        <f t="shared" ref="L9:L38" si="5">K9/$K$7</f>
        <v>0</v>
      </c>
      <c r="M9" s="23">
        <v>17</v>
      </c>
      <c r="N9" s="22">
        <f t="shared" ref="N9:N38" si="6">M9/$M$7</f>
        <v>1.5828677839851025E-2</v>
      </c>
      <c r="BJ9" s="4">
        <v>0</v>
      </c>
    </row>
    <row r="10" spans="1:62" s="4" customFormat="1" x14ac:dyDescent="0.25">
      <c r="A10" s="20"/>
      <c r="B10" s="20" t="s">
        <v>26</v>
      </c>
      <c r="C10" s="21">
        <f t="shared" si="0"/>
        <v>3675</v>
      </c>
      <c r="D10" s="22">
        <f t="shared" si="1"/>
        <v>1.3805928096472445E-2</v>
      </c>
      <c r="E10" s="23">
        <v>18</v>
      </c>
      <c r="F10" s="22">
        <f t="shared" si="2"/>
        <v>2.0106564793405046E-4</v>
      </c>
      <c r="G10" s="23">
        <v>24</v>
      </c>
      <c r="H10" s="22">
        <f t="shared" si="3"/>
        <v>5.1981806367771275E-4</v>
      </c>
      <c r="I10" s="23">
        <f>'plazas aut municipio x cat'!BK11</f>
        <v>3561</v>
      </c>
      <c r="J10" s="22">
        <f t="shared" si="4"/>
        <v>2.7635500093127211E-2</v>
      </c>
      <c r="K10" s="23">
        <v>0</v>
      </c>
      <c r="L10" s="22">
        <f t="shared" si="5"/>
        <v>0</v>
      </c>
      <c r="M10" s="23">
        <v>72</v>
      </c>
      <c r="N10" s="22">
        <f t="shared" si="6"/>
        <v>6.7039106145251395E-2</v>
      </c>
      <c r="BJ10" s="4">
        <v>20</v>
      </c>
    </row>
    <row r="11" spans="1:62" s="4" customFormat="1" x14ac:dyDescent="0.25">
      <c r="A11" s="20"/>
      <c r="B11" s="20" t="s">
        <v>27</v>
      </c>
      <c r="C11" s="21">
        <f t="shared" si="0"/>
        <v>64407</v>
      </c>
      <c r="D11" s="22">
        <f t="shared" si="1"/>
        <v>0.24195875126789135</v>
      </c>
      <c r="E11" s="23">
        <v>17842</v>
      </c>
      <c r="F11" s="22">
        <f t="shared" si="2"/>
        <v>0.19930073835774048</v>
      </c>
      <c r="G11" s="23">
        <v>20860</v>
      </c>
      <c r="H11" s="22">
        <f t="shared" si="3"/>
        <v>0.45180853367987872</v>
      </c>
      <c r="I11" s="23">
        <f>'plazas aut municipio x cat'!BK12</f>
        <v>25635</v>
      </c>
      <c r="J11" s="22">
        <f t="shared" si="4"/>
        <v>0.19894300614639598</v>
      </c>
      <c r="K11" s="23">
        <v>22</v>
      </c>
      <c r="L11" s="22">
        <f t="shared" si="5"/>
        <v>3.8800705467372132E-2</v>
      </c>
      <c r="M11" s="23">
        <v>48</v>
      </c>
      <c r="N11" s="22">
        <f t="shared" si="6"/>
        <v>4.4692737430167599E-2</v>
      </c>
      <c r="BJ11" s="4">
        <v>0</v>
      </c>
    </row>
    <row r="12" spans="1:62" s="4" customFormat="1" x14ac:dyDescent="0.25">
      <c r="A12" s="20"/>
      <c r="B12" s="20" t="s">
        <v>28</v>
      </c>
      <c r="C12" s="21">
        <f t="shared" si="0"/>
        <v>771</v>
      </c>
      <c r="D12" s="22">
        <f t="shared" si="1"/>
        <v>2.8964273639129944E-3</v>
      </c>
      <c r="E12" s="23">
        <v>234</v>
      </c>
      <c r="F12" s="22">
        <f t="shared" si="2"/>
        <v>2.6138534231426561E-3</v>
      </c>
      <c r="G12" s="23">
        <v>0</v>
      </c>
      <c r="H12" s="22">
        <f t="shared" si="3"/>
        <v>0</v>
      </c>
      <c r="I12" s="23">
        <f>'plazas aut municipio x cat'!BK13</f>
        <v>493</v>
      </c>
      <c r="J12" s="22">
        <f t="shared" si="4"/>
        <v>3.8259762836034021E-3</v>
      </c>
      <c r="K12" s="23">
        <v>0</v>
      </c>
      <c r="L12" s="22">
        <f t="shared" si="5"/>
        <v>0</v>
      </c>
      <c r="M12" s="23">
        <v>44</v>
      </c>
      <c r="N12" s="22">
        <f t="shared" si="6"/>
        <v>4.0968342644320296E-2</v>
      </c>
      <c r="BJ12" s="4">
        <v>0</v>
      </c>
    </row>
    <row r="13" spans="1:62" s="4" customFormat="1" x14ac:dyDescent="0.25">
      <c r="A13" s="20"/>
      <c r="B13" s="20" t="s">
        <v>29</v>
      </c>
      <c r="C13" s="21">
        <f t="shared" si="0"/>
        <v>3862</v>
      </c>
      <c r="D13" s="22">
        <f t="shared" si="1"/>
        <v>1.4508433825463015E-2</v>
      </c>
      <c r="E13" s="23">
        <v>986</v>
      </c>
      <c r="F13" s="22">
        <f t="shared" si="2"/>
        <v>1.101392938127632E-2</v>
      </c>
      <c r="G13" s="23">
        <v>35</v>
      </c>
      <c r="H13" s="22">
        <f t="shared" si="3"/>
        <v>7.5806800952999786E-4</v>
      </c>
      <c r="I13" s="23">
        <f>'plazas aut municipio x cat'!BK14</f>
        <v>2838</v>
      </c>
      <c r="J13" s="22">
        <f t="shared" si="4"/>
        <v>2.2024585583907619E-2</v>
      </c>
      <c r="K13" s="23">
        <v>0</v>
      </c>
      <c r="L13" s="22">
        <f t="shared" si="5"/>
        <v>0</v>
      </c>
      <c r="M13" s="23">
        <v>3</v>
      </c>
      <c r="N13" s="22">
        <f t="shared" si="6"/>
        <v>2.7932960893854749E-3</v>
      </c>
      <c r="BJ13" s="4">
        <v>0</v>
      </c>
    </row>
    <row r="14" spans="1:62" s="4" customFormat="1" x14ac:dyDescent="0.25">
      <c r="A14" s="20"/>
      <c r="B14" s="20" t="s">
        <v>30</v>
      </c>
      <c r="C14" s="21">
        <f>E14+G14+K14+M14+I14</f>
        <v>447</v>
      </c>
      <c r="D14" s="22">
        <f t="shared" si="1"/>
        <v>1.6792516623464443E-3</v>
      </c>
      <c r="E14" s="23">
        <v>0</v>
      </c>
      <c r="F14" s="22">
        <f t="shared" si="2"/>
        <v>0</v>
      </c>
      <c r="G14" s="23">
        <v>4</v>
      </c>
      <c r="H14" s="22">
        <f t="shared" si="3"/>
        <v>8.6636343946285463E-5</v>
      </c>
      <c r="I14" s="23">
        <f>'plazas aut municipio x cat'!BK15</f>
        <v>396</v>
      </c>
      <c r="J14" s="22">
        <f>I14/$I$7</f>
        <v>3.0731979884522256E-3</v>
      </c>
      <c r="K14" s="23">
        <v>0</v>
      </c>
      <c r="L14" s="22">
        <f t="shared" si="5"/>
        <v>0</v>
      </c>
      <c r="M14" s="23">
        <v>47</v>
      </c>
      <c r="N14" s="22">
        <f t="shared" si="6"/>
        <v>4.3761638733705775E-2</v>
      </c>
      <c r="BJ14" s="4">
        <v>0</v>
      </c>
    </row>
    <row r="15" spans="1:62" s="4" customFormat="1" x14ac:dyDescent="0.25">
      <c r="A15" s="20"/>
      <c r="B15" s="20" t="s">
        <v>31</v>
      </c>
      <c r="C15" s="21">
        <f t="shared" si="0"/>
        <v>1321</v>
      </c>
      <c r="D15" s="22">
        <f t="shared" si="1"/>
        <v>4.9626206844734962E-3</v>
      </c>
      <c r="E15" s="23">
        <v>76</v>
      </c>
      <c r="F15" s="22">
        <f t="shared" si="2"/>
        <v>8.489438468326575E-4</v>
      </c>
      <c r="G15" s="23">
        <v>45</v>
      </c>
      <c r="H15" s="22">
        <f t="shared" si="3"/>
        <v>9.7465886939571145E-4</v>
      </c>
      <c r="I15" s="23">
        <f>'plazas aut municipio x cat'!BK16</f>
        <v>1085</v>
      </c>
      <c r="J15" s="22">
        <f t="shared" si="4"/>
        <v>8.4202520643198615E-3</v>
      </c>
      <c r="K15" s="23">
        <v>78</v>
      </c>
      <c r="L15" s="22">
        <f t="shared" si="5"/>
        <v>0.13756613756613756</v>
      </c>
      <c r="M15" s="23">
        <v>37</v>
      </c>
      <c r="N15" s="22">
        <f t="shared" si="6"/>
        <v>3.4450651769087522E-2</v>
      </c>
      <c r="BJ15" s="4">
        <v>4</v>
      </c>
    </row>
    <row r="16" spans="1:62" s="4" customFormat="1" x14ac:dyDescent="0.25">
      <c r="A16" s="20"/>
      <c r="B16" s="20" t="s">
        <v>32</v>
      </c>
      <c r="C16" s="21">
        <f t="shared" si="0"/>
        <v>10377</v>
      </c>
      <c r="D16" s="22">
        <f t="shared" si="1"/>
        <v>3.8983432886284232E-2</v>
      </c>
      <c r="E16" s="23">
        <v>930</v>
      </c>
      <c r="F16" s="22">
        <f t="shared" si="2"/>
        <v>1.0388391809925941E-2</v>
      </c>
      <c r="G16" s="23">
        <v>460</v>
      </c>
      <c r="H16" s="22">
        <f t="shared" si="3"/>
        <v>9.9631795538228287E-3</v>
      </c>
      <c r="I16" s="23">
        <f>'plazas aut municipio x cat'!BK17</f>
        <v>8882</v>
      </c>
      <c r="J16" s="22">
        <f t="shared" si="4"/>
        <v>6.8929657912708761E-2</v>
      </c>
      <c r="K16" s="23">
        <v>42</v>
      </c>
      <c r="L16" s="22">
        <f t="shared" si="5"/>
        <v>7.407407407407407E-2</v>
      </c>
      <c r="M16" s="23">
        <v>63</v>
      </c>
      <c r="N16" s="22">
        <f t="shared" si="6"/>
        <v>5.8659217877094973E-2</v>
      </c>
      <c r="BJ16" s="4">
        <v>6</v>
      </c>
    </row>
    <row r="17" spans="1:62" s="4" customFormat="1" x14ac:dyDescent="0.25">
      <c r="A17" s="20"/>
      <c r="B17" s="20" t="s">
        <v>33</v>
      </c>
      <c r="C17" s="21">
        <f t="shared" si="0"/>
        <v>475</v>
      </c>
      <c r="D17" s="22">
        <f t="shared" si="1"/>
        <v>1.7844396859386152E-3</v>
      </c>
      <c r="E17" s="23">
        <v>0</v>
      </c>
      <c r="F17" s="22">
        <f t="shared" si="2"/>
        <v>0</v>
      </c>
      <c r="G17" s="23">
        <v>0</v>
      </c>
      <c r="H17" s="22">
        <f t="shared" si="3"/>
        <v>0</v>
      </c>
      <c r="I17" s="23">
        <f>'plazas aut municipio x cat'!BK18</f>
        <v>471</v>
      </c>
      <c r="J17" s="22">
        <f t="shared" si="4"/>
        <v>3.6552430620227232E-3</v>
      </c>
      <c r="K17" s="23">
        <v>0</v>
      </c>
      <c r="L17" s="22">
        <f t="shared" si="5"/>
        <v>0</v>
      </c>
      <c r="M17" s="23">
        <v>4</v>
      </c>
      <c r="N17" s="22">
        <f t="shared" si="6"/>
        <v>3.7243947858472998E-3</v>
      </c>
      <c r="BJ17" s="4">
        <v>0</v>
      </c>
    </row>
    <row r="18" spans="1:62" s="4" customFormat="1" x14ac:dyDescent="0.25">
      <c r="A18" s="20"/>
      <c r="B18" s="20" t="s">
        <v>34</v>
      </c>
      <c r="C18" s="21">
        <f t="shared" si="0"/>
        <v>7323</v>
      </c>
      <c r="D18" s="22">
        <f t="shared" si="1"/>
        <v>2.7510424884481011E-2</v>
      </c>
      <c r="E18" s="23">
        <v>2542</v>
      </c>
      <c r="F18" s="22">
        <f t="shared" si="2"/>
        <v>2.839493761379757E-2</v>
      </c>
      <c r="G18" s="23">
        <v>700</v>
      </c>
      <c r="H18" s="22">
        <f t="shared" si="3"/>
        <v>1.5161360190599956E-2</v>
      </c>
      <c r="I18" s="23">
        <f>'plazas aut municipio x cat'!BK19</f>
        <v>4007</v>
      </c>
      <c r="J18" s="22">
        <f t="shared" si="4"/>
        <v>3.1096728130626437E-2</v>
      </c>
      <c r="K18" s="23">
        <v>15</v>
      </c>
      <c r="L18" s="22">
        <f t="shared" si="5"/>
        <v>2.6455026455026454E-2</v>
      </c>
      <c r="M18" s="23">
        <v>59</v>
      </c>
      <c r="N18" s="22">
        <f t="shared" si="6"/>
        <v>5.493482309124767E-2</v>
      </c>
      <c r="BJ18" s="4">
        <v>0</v>
      </c>
    </row>
    <row r="19" spans="1:62" s="4" customFormat="1" x14ac:dyDescent="0.25">
      <c r="A19" s="20"/>
      <c r="B19" s="20" t="s">
        <v>35</v>
      </c>
      <c r="C19" s="21">
        <f t="shared" si="0"/>
        <v>2281</v>
      </c>
      <c r="D19" s="22">
        <f t="shared" si="1"/>
        <v>8.5690672076336443E-3</v>
      </c>
      <c r="E19" s="23">
        <v>8</v>
      </c>
      <c r="F19" s="22">
        <f t="shared" si="2"/>
        <v>8.9362510192911318E-5</v>
      </c>
      <c r="G19" s="23">
        <v>8</v>
      </c>
      <c r="H19" s="22">
        <f t="shared" si="3"/>
        <v>1.7327268789257093E-4</v>
      </c>
      <c r="I19" s="23">
        <f>'plazas aut municipio x cat'!BK20</f>
        <v>2157</v>
      </c>
      <c r="J19" s="22">
        <f t="shared" si="4"/>
        <v>1.6739616315887502E-2</v>
      </c>
      <c r="K19" s="23">
        <v>81</v>
      </c>
      <c r="L19" s="22">
        <f t="shared" si="5"/>
        <v>0.14285714285714285</v>
      </c>
      <c r="M19" s="23">
        <v>27</v>
      </c>
      <c r="N19" s="22">
        <f t="shared" si="6"/>
        <v>2.5139664804469275E-2</v>
      </c>
      <c r="BJ19" s="4">
        <v>0</v>
      </c>
    </row>
    <row r="20" spans="1:62" s="4" customFormat="1" x14ac:dyDescent="0.25">
      <c r="A20" s="20"/>
      <c r="B20" s="20" t="s">
        <v>36</v>
      </c>
      <c r="C20" s="21">
        <f t="shared" si="0"/>
        <v>3716</v>
      </c>
      <c r="D20" s="22">
        <f t="shared" si="1"/>
        <v>1.395995341673241E-2</v>
      </c>
      <c r="E20" s="23">
        <v>36</v>
      </c>
      <c r="F20" s="22">
        <f t="shared" si="2"/>
        <v>4.0213129586810092E-4</v>
      </c>
      <c r="G20" s="23">
        <v>19</v>
      </c>
      <c r="H20" s="22">
        <f t="shared" si="3"/>
        <v>4.1152263374485596E-4</v>
      </c>
      <c r="I20" s="23">
        <f>'plazas aut municipio x cat'!BK21</f>
        <v>3539</v>
      </c>
      <c r="J20" s="22">
        <f t="shared" si="4"/>
        <v>2.7464766871546531E-2</v>
      </c>
      <c r="K20" s="23">
        <v>0</v>
      </c>
      <c r="L20" s="22">
        <f t="shared" si="5"/>
        <v>0</v>
      </c>
      <c r="M20" s="23">
        <v>122</v>
      </c>
      <c r="N20" s="22">
        <f t="shared" si="6"/>
        <v>0.11359404096834265</v>
      </c>
      <c r="BJ20" s="4">
        <v>0</v>
      </c>
    </row>
    <row r="21" spans="1:62" s="4" customFormat="1" x14ac:dyDescent="0.25">
      <c r="A21" s="20"/>
      <c r="B21" s="20" t="s">
        <v>37</v>
      </c>
      <c r="C21" s="21">
        <f t="shared" si="0"/>
        <v>6434</v>
      </c>
      <c r="D21" s="22">
        <f t="shared" si="1"/>
        <v>2.4170705135429581E-2</v>
      </c>
      <c r="E21" s="23">
        <v>1166</v>
      </c>
      <c r="F21" s="22">
        <f t="shared" si="2"/>
        <v>1.3024585860616824E-2</v>
      </c>
      <c r="G21" s="23">
        <v>259</v>
      </c>
      <c r="H21" s="22">
        <f t="shared" si="3"/>
        <v>5.6097032705219839E-3</v>
      </c>
      <c r="I21" s="23">
        <f>'plazas aut municipio x cat'!BK22</f>
        <v>4905</v>
      </c>
      <c r="J21" s="22">
        <f t="shared" si="4"/>
        <v>3.8065747811510522E-2</v>
      </c>
      <c r="K21" s="23">
        <v>22</v>
      </c>
      <c r="L21" s="22">
        <f t="shared" si="5"/>
        <v>3.8800705467372132E-2</v>
      </c>
      <c r="M21" s="23">
        <v>82</v>
      </c>
      <c r="N21" s="22">
        <f t="shared" si="6"/>
        <v>7.6350093109869649E-2</v>
      </c>
      <c r="BJ21" s="4">
        <v>6</v>
      </c>
    </row>
    <row r="22" spans="1:62" s="4" customFormat="1" x14ac:dyDescent="0.25">
      <c r="A22" s="20"/>
      <c r="B22" s="20" t="s">
        <v>38</v>
      </c>
      <c r="C22" s="21">
        <f t="shared" si="0"/>
        <v>1002</v>
      </c>
      <c r="D22" s="22">
        <f t="shared" si="1"/>
        <v>3.7642285585484051E-3</v>
      </c>
      <c r="E22" s="23">
        <v>0</v>
      </c>
      <c r="F22" s="22">
        <f t="shared" si="2"/>
        <v>0</v>
      </c>
      <c r="G22" s="23">
        <v>0</v>
      </c>
      <c r="H22" s="22">
        <f t="shared" si="3"/>
        <v>0</v>
      </c>
      <c r="I22" s="23">
        <f>'plazas aut municipio x cat'!BK23</f>
        <v>976</v>
      </c>
      <c r="J22" s="22">
        <f t="shared" si="4"/>
        <v>7.5743465573974052E-3</v>
      </c>
      <c r="K22" s="23">
        <v>0</v>
      </c>
      <c r="L22" s="22">
        <f t="shared" si="5"/>
        <v>0</v>
      </c>
      <c r="M22" s="23">
        <v>26</v>
      </c>
      <c r="N22" s="22">
        <f t="shared" si="6"/>
        <v>2.4208566108007448E-2</v>
      </c>
      <c r="BJ22" s="4">
        <v>0</v>
      </c>
    </row>
    <row r="23" spans="1:62" s="4" customFormat="1" x14ac:dyDescent="0.25">
      <c r="A23" s="20"/>
      <c r="B23" s="20" t="s">
        <v>39</v>
      </c>
      <c r="C23" s="21">
        <f t="shared" si="0"/>
        <v>2399</v>
      </c>
      <c r="D23" s="22">
        <f t="shared" si="1"/>
        <v>9.0123595927720807E-3</v>
      </c>
      <c r="E23" s="23">
        <v>111</v>
      </c>
      <c r="F23" s="22">
        <f t="shared" si="2"/>
        <v>1.2399048289266446E-3</v>
      </c>
      <c r="G23" s="23">
        <v>48</v>
      </c>
      <c r="H23" s="22">
        <f t="shared" si="3"/>
        <v>1.0396361273554255E-3</v>
      </c>
      <c r="I23" s="23">
        <f>'plazas aut municipio x cat'!BK24</f>
        <v>2146</v>
      </c>
      <c r="J23" s="22">
        <f t="shared" si="4"/>
        <v>1.6654249705097164E-2</v>
      </c>
      <c r="K23" s="23">
        <v>28</v>
      </c>
      <c r="L23" s="22">
        <f t="shared" si="5"/>
        <v>4.9382716049382713E-2</v>
      </c>
      <c r="M23" s="23">
        <v>66</v>
      </c>
      <c r="N23" s="22">
        <f t="shared" si="6"/>
        <v>6.1452513966480445E-2</v>
      </c>
      <c r="BJ23" s="4">
        <v>4</v>
      </c>
    </row>
    <row r="24" spans="1:62" s="4" customFormat="1" x14ac:dyDescent="0.25">
      <c r="A24" s="20"/>
      <c r="B24" s="20" t="s">
        <v>40</v>
      </c>
      <c r="C24" s="21">
        <f t="shared" si="0"/>
        <v>28797</v>
      </c>
      <c r="D24" s="22">
        <f t="shared" si="1"/>
        <v>0.10818212554941958</v>
      </c>
      <c r="E24" s="23">
        <v>17295</v>
      </c>
      <c r="F24" s="22">
        <f t="shared" si="2"/>
        <v>0.19319057672330014</v>
      </c>
      <c r="G24" s="23">
        <v>4278</v>
      </c>
      <c r="H24" s="22">
        <f t="shared" si="3"/>
        <v>9.2657569850552304E-2</v>
      </c>
      <c r="I24" s="23">
        <f>'plazas aut municipio x cat'!BK25</f>
        <v>7224</v>
      </c>
      <c r="J24" s="22">
        <f t="shared" si="4"/>
        <v>5.6062581486310298E-2</v>
      </c>
      <c r="K24" s="23">
        <v>0</v>
      </c>
      <c r="L24" s="22">
        <f t="shared" si="5"/>
        <v>0</v>
      </c>
      <c r="M24" s="23">
        <v>0</v>
      </c>
      <c r="N24" s="22">
        <f t="shared" si="6"/>
        <v>0</v>
      </c>
      <c r="BJ24" s="4">
        <v>0</v>
      </c>
    </row>
    <row r="25" spans="1:62" s="4" customFormat="1" x14ac:dyDescent="0.25">
      <c r="A25" s="20"/>
      <c r="B25" s="20" t="s">
        <v>41</v>
      </c>
      <c r="C25" s="21">
        <f t="shared" si="0"/>
        <v>3637</v>
      </c>
      <c r="D25" s="22">
        <f t="shared" si="1"/>
        <v>1.3663172921597355E-2</v>
      </c>
      <c r="E25" s="23">
        <v>1355</v>
      </c>
      <c r="F25" s="22">
        <f t="shared" si="2"/>
        <v>1.5135775163924354E-2</v>
      </c>
      <c r="G25" s="23">
        <v>355</v>
      </c>
      <c r="H25" s="22">
        <f>G25/$G$7</f>
        <v>7.6889755252328353E-3</v>
      </c>
      <c r="I25" s="23">
        <f>'plazas aut municipio x cat'!BK26</f>
        <v>1682</v>
      </c>
      <c r="J25" s="22">
        <f t="shared" si="4"/>
        <v>1.3053330849941019E-2</v>
      </c>
      <c r="K25" s="23">
        <v>90</v>
      </c>
      <c r="L25" s="22">
        <f t="shared" si="5"/>
        <v>0.15873015873015872</v>
      </c>
      <c r="M25" s="23">
        <v>155</v>
      </c>
      <c r="N25" s="22">
        <f t="shared" si="6"/>
        <v>0.14432029795158285</v>
      </c>
      <c r="BJ25" s="4">
        <v>0</v>
      </c>
    </row>
    <row r="26" spans="1:62" s="4" customFormat="1" x14ac:dyDescent="0.25">
      <c r="A26" s="20"/>
      <c r="B26" s="20" t="s">
        <v>42</v>
      </c>
      <c r="C26" s="21">
        <f>E26+G26+K26+M26+I26</f>
        <v>2353</v>
      </c>
      <c r="D26" s="22">
        <f t="shared" si="1"/>
        <v>8.8395506968706565E-3</v>
      </c>
      <c r="E26" s="23">
        <v>21</v>
      </c>
      <c r="F26" s="22">
        <f t="shared" si="2"/>
        <v>2.345765892563922E-4</v>
      </c>
      <c r="G26" s="23">
        <v>7</v>
      </c>
      <c r="H26" s="22">
        <f t="shared" si="3"/>
        <v>1.5161360190599956E-4</v>
      </c>
      <c r="I26" s="23">
        <f>'plazas aut municipio x cat'!BK27</f>
        <v>2276</v>
      </c>
      <c r="J26" s="22">
        <f>I26/$I$7</f>
        <v>1.766312783261936E-2</v>
      </c>
      <c r="K26" s="23">
        <v>20</v>
      </c>
      <c r="L26" s="22">
        <f t="shared" si="5"/>
        <v>3.5273368606701938E-2</v>
      </c>
      <c r="M26" s="23">
        <v>29</v>
      </c>
      <c r="N26" s="22">
        <f t="shared" si="6"/>
        <v>2.7001862197392923E-2</v>
      </c>
      <c r="BJ26" s="4">
        <v>7</v>
      </c>
    </row>
    <row r="27" spans="1:62" s="4" customFormat="1" x14ac:dyDescent="0.25">
      <c r="A27" s="20"/>
      <c r="B27" s="20" t="s">
        <v>43</v>
      </c>
      <c r="C27" s="21">
        <f t="shared" si="0"/>
        <v>392</v>
      </c>
      <c r="D27" s="22">
        <f t="shared" si="1"/>
        <v>1.4726323302903942E-3</v>
      </c>
      <c r="E27" s="23">
        <v>0</v>
      </c>
      <c r="F27" s="22">
        <f t="shared" si="2"/>
        <v>0</v>
      </c>
      <c r="G27" s="23">
        <v>11</v>
      </c>
      <c r="H27" s="22">
        <f>G27/$G$7</f>
        <v>2.3824994585228503E-4</v>
      </c>
      <c r="I27" s="23">
        <f>'plazas aut municipio x cat'!BK28</f>
        <v>352</v>
      </c>
      <c r="J27" s="22">
        <f t="shared" si="4"/>
        <v>2.7317315452908674E-3</v>
      </c>
      <c r="K27" s="23">
        <v>16</v>
      </c>
      <c r="L27" s="22">
        <f t="shared" si="5"/>
        <v>2.821869488536155E-2</v>
      </c>
      <c r="M27" s="23">
        <v>13</v>
      </c>
      <c r="N27" s="22">
        <f t="shared" si="6"/>
        <v>1.2104283054003724E-2</v>
      </c>
      <c r="BJ27" s="4">
        <v>0</v>
      </c>
    </row>
    <row r="28" spans="1:62" s="4" customFormat="1" x14ac:dyDescent="0.25">
      <c r="A28" s="20"/>
      <c r="B28" s="20" t="s">
        <v>44</v>
      </c>
      <c r="C28" s="21">
        <f t="shared" si="0"/>
        <v>12892</v>
      </c>
      <c r="D28" s="22">
        <f t="shared" si="1"/>
        <v>4.8431571433938163E-2</v>
      </c>
      <c r="E28" s="23">
        <v>3368</v>
      </c>
      <c r="F28" s="22">
        <f t="shared" si="2"/>
        <v>3.7621616791215666E-2</v>
      </c>
      <c r="G28" s="23">
        <v>3133</v>
      </c>
      <c r="H28" s="22">
        <f t="shared" ref="H28:H30" si="7">G28/$G$7</f>
        <v>6.7857916395928086E-2</v>
      </c>
      <c r="I28" s="23">
        <f>'plazas aut municipio x cat'!BK29</f>
        <v>6331</v>
      </c>
      <c r="J28" s="22">
        <f t="shared" si="4"/>
        <v>4.9132364810330911E-2</v>
      </c>
      <c r="K28" s="23">
        <v>32</v>
      </c>
      <c r="L28" s="22">
        <f t="shared" si="5"/>
        <v>5.6437389770723101E-2</v>
      </c>
      <c r="M28" s="23">
        <v>28</v>
      </c>
      <c r="N28" s="22">
        <f t="shared" si="6"/>
        <v>2.6070763500931099E-2</v>
      </c>
      <c r="BJ28" s="4">
        <v>0</v>
      </c>
    </row>
    <row r="29" spans="1:62" s="4" customFormat="1" x14ac:dyDescent="0.25">
      <c r="A29" s="20"/>
      <c r="B29" s="20" t="s">
        <v>45</v>
      </c>
      <c r="C29" s="21">
        <f t="shared" si="0"/>
        <v>13607</v>
      </c>
      <c r="D29" s="22">
        <f t="shared" si="1"/>
        <v>5.1117622750666815E-2</v>
      </c>
      <c r="E29" s="23">
        <v>3032</v>
      </c>
      <c r="F29" s="22">
        <f t="shared" si="2"/>
        <v>3.3868391363113391E-2</v>
      </c>
      <c r="G29" s="23">
        <v>50</v>
      </c>
      <c r="H29" s="22">
        <f t="shared" si="7"/>
        <v>1.0829542993285683E-3</v>
      </c>
      <c r="I29" s="23">
        <f>'plazas aut municipio x cat'!BK30</f>
        <v>10510</v>
      </c>
      <c r="J29" s="22">
        <f t="shared" si="4"/>
        <v>8.1563916309679019E-2</v>
      </c>
      <c r="K29" s="23">
        <v>0</v>
      </c>
      <c r="L29" s="22">
        <f t="shared" si="5"/>
        <v>0</v>
      </c>
      <c r="M29" s="23">
        <v>15</v>
      </c>
      <c r="N29" s="22">
        <f t="shared" si="6"/>
        <v>1.3966480446927373E-2</v>
      </c>
      <c r="BJ29" s="4">
        <v>6</v>
      </c>
    </row>
    <row r="30" spans="1:62" s="4" customFormat="1" x14ac:dyDescent="0.25">
      <c r="A30" s="20"/>
      <c r="B30" s="20" t="s">
        <v>46</v>
      </c>
      <c r="C30" s="21">
        <f t="shared" si="0"/>
        <v>1935</v>
      </c>
      <c r="D30" s="22">
        <f t="shared" si="1"/>
        <v>7.2692437732446748E-3</v>
      </c>
      <c r="E30" s="23">
        <v>0</v>
      </c>
      <c r="F30" s="22">
        <f t="shared" si="2"/>
        <v>0</v>
      </c>
      <c r="G30" s="23">
        <v>0</v>
      </c>
      <c r="H30" s="22">
        <f t="shared" si="7"/>
        <v>0</v>
      </c>
      <c r="I30" s="23">
        <f>'plazas aut municipio x cat'!BK31</f>
        <v>1935</v>
      </c>
      <c r="J30" s="22">
        <f t="shared" si="4"/>
        <v>1.5016762898118831E-2</v>
      </c>
      <c r="K30" s="23">
        <v>0</v>
      </c>
      <c r="L30" s="22">
        <f t="shared" si="5"/>
        <v>0</v>
      </c>
      <c r="M30" s="23">
        <v>0</v>
      </c>
      <c r="N30" s="22">
        <f t="shared" si="6"/>
        <v>0</v>
      </c>
      <c r="BJ30" s="4">
        <v>0</v>
      </c>
    </row>
    <row r="31" spans="1:62" s="4" customFormat="1" x14ac:dyDescent="0.25">
      <c r="A31" s="20"/>
      <c r="B31" s="20" t="s">
        <v>47</v>
      </c>
      <c r="C31" s="21">
        <f t="shared" si="0"/>
        <v>14634</v>
      </c>
      <c r="D31" s="22">
        <f t="shared" si="1"/>
        <v>5.4975769187422516E-2</v>
      </c>
      <c r="E31" s="23">
        <v>5083</v>
      </c>
      <c r="F31" s="22">
        <f t="shared" si="2"/>
        <v>5.6778704913821032E-2</v>
      </c>
      <c r="G31" s="23">
        <v>3010</v>
      </c>
      <c r="H31" s="22">
        <f t="shared" si="3"/>
        <v>6.5193848819579819E-2</v>
      </c>
      <c r="I31" s="23">
        <f>'plazas aut municipio x cat'!BK32</f>
        <v>6541</v>
      </c>
      <c r="J31" s="22">
        <f t="shared" si="4"/>
        <v>5.0762091016328302E-2</v>
      </c>
      <c r="K31" s="23">
        <v>0</v>
      </c>
      <c r="L31" s="22">
        <f t="shared" si="5"/>
        <v>0</v>
      </c>
      <c r="M31" s="23">
        <v>0</v>
      </c>
      <c r="N31" s="22">
        <f t="shared" si="6"/>
        <v>0</v>
      </c>
      <c r="BJ31" s="4">
        <v>0</v>
      </c>
    </row>
    <row r="32" spans="1:62" s="4" customFormat="1" x14ac:dyDescent="0.25">
      <c r="A32" s="20"/>
      <c r="B32" s="20" t="s">
        <v>48</v>
      </c>
      <c r="C32" s="21">
        <f t="shared" si="0"/>
        <v>913</v>
      </c>
      <c r="D32" s="22">
        <f t="shared" si="1"/>
        <v>3.429880912130433E-3</v>
      </c>
      <c r="E32" s="23">
        <v>14</v>
      </c>
      <c r="F32" s="22">
        <f t="shared" si="2"/>
        <v>1.5638439283759481E-4</v>
      </c>
      <c r="G32" s="23">
        <v>0</v>
      </c>
      <c r="H32" s="22">
        <f t="shared" si="3"/>
        <v>0</v>
      </c>
      <c r="I32" s="23">
        <f>'plazas aut municipio x cat'!BK33</f>
        <v>881</v>
      </c>
      <c r="J32" s="22">
        <f t="shared" si="4"/>
        <v>6.8370894642081079E-3</v>
      </c>
      <c r="K32" s="23">
        <v>14</v>
      </c>
      <c r="L32" s="22">
        <f t="shared" si="5"/>
        <v>2.4691358024691357E-2</v>
      </c>
      <c r="M32" s="23">
        <v>4</v>
      </c>
      <c r="N32" s="22">
        <f t="shared" si="6"/>
        <v>3.7243947858472998E-3</v>
      </c>
      <c r="BJ32" s="4">
        <v>0</v>
      </c>
    </row>
    <row r="33" spans="1:62" s="4" customFormat="1" x14ac:dyDescent="0.25">
      <c r="A33" s="20"/>
      <c r="B33" s="20" t="s">
        <v>49</v>
      </c>
      <c r="C33" s="21">
        <f t="shared" si="0"/>
        <v>749</v>
      </c>
      <c r="D33" s="22">
        <f t="shared" si="1"/>
        <v>2.8137796310905745E-3</v>
      </c>
      <c r="E33" s="23">
        <v>98</v>
      </c>
      <c r="F33" s="22">
        <f t="shared" si="2"/>
        <v>1.0946907498631637E-3</v>
      </c>
      <c r="G33" s="23">
        <v>14</v>
      </c>
      <c r="H33" s="22">
        <f t="shared" si="3"/>
        <v>3.0322720381199911E-4</v>
      </c>
      <c r="I33" s="23">
        <f>'plazas aut municipio x cat'!BK34</f>
        <v>592</v>
      </c>
      <c r="J33" s="22">
        <f t="shared" si="4"/>
        <v>4.5942757807164586E-3</v>
      </c>
      <c r="K33" s="23">
        <v>24</v>
      </c>
      <c r="L33" s="22">
        <f t="shared" si="5"/>
        <v>4.2328042328042326E-2</v>
      </c>
      <c r="M33" s="23">
        <v>21</v>
      </c>
      <c r="N33" s="22">
        <f t="shared" si="6"/>
        <v>1.9553072625698324E-2</v>
      </c>
      <c r="BJ33" s="4">
        <v>10</v>
      </c>
    </row>
    <row r="34" spans="1:62" s="4" customFormat="1" x14ac:dyDescent="0.25">
      <c r="A34" s="20"/>
      <c r="B34" s="20" t="s">
        <v>50</v>
      </c>
      <c r="C34" s="21">
        <f t="shared" si="0"/>
        <v>2438</v>
      </c>
      <c r="D34" s="22">
        <f t="shared" si="1"/>
        <v>9.158871482775461E-3</v>
      </c>
      <c r="E34" s="23">
        <v>12</v>
      </c>
      <c r="F34" s="22">
        <f t="shared" si="2"/>
        <v>1.3404376528936698E-4</v>
      </c>
      <c r="G34" s="23">
        <v>272</v>
      </c>
      <c r="H34" s="22">
        <f t="shared" si="3"/>
        <v>5.8912713883474115E-3</v>
      </c>
      <c r="I34" s="23">
        <f>'plazas aut municipio x cat'!BK35</f>
        <v>2119</v>
      </c>
      <c r="J34" s="22">
        <f t="shared" si="4"/>
        <v>1.6444713478611785E-2</v>
      </c>
      <c r="K34" s="23">
        <v>0</v>
      </c>
      <c r="L34" s="22">
        <f t="shared" si="5"/>
        <v>0</v>
      </c>
      <c r="M34" s="23">
        <v>35</v>
      </c>
      <c r="N34" s="22">
        <f t="shared" si="6"/>
        <v>3.2588454376163874E-2</v>
      </c>
      <c r="BJ34" s="4">
        <v>0</v>
      </c>
    </row>
    <row r="35" spans="1:62" s="4" customFormat="1" x14ac:dyDescent="0.25">
      <c r="A35" s="20"/>
      <c r="B35" s="20" t="s">
        <v>51</v>
      </c>
      <c r="C35" s="21">
        <f t="shared" si="0"/>
        <v>373</v>
      </c>
      <c r="D35" s="22">
        <f t="shared" si="1"/>
        <v>1.4012547428528495E-3</v>
      </c>
      <c r="E35" s="23">
        <v>0</v>
      </c>
      <c r="F35" s="22">
        <f t="shared" si="2"/>
        <v>0</v>
      </c>
      <c r="G35" s="23">
        <v>14</v>
      </c>
      <c r="H35" s="22">
        <f t="shared" si="3"/>
        <v>3.0322720381199911E-4</v>
      </c>
      <c r="I35" s="23">
        <f>'plazas aut municipio x cat'!BK36</f>
        <v>326</v>
      </c>
      <c r="J35" s="22">
        <f t="shared" si="4"/>
        <v>2.5299559197864284E-3</v>
      </c>
      <c r="K35" s="23">
        <v>21</v>
      </c>
      <c r="L35" s="22">
        <f t="shared" si="5"/>
        <v>3.7037037037037035E-2</v>
      </c>
      <c r="M35" s="23">
        <v>12</v>
      </c>
      <c r="N35" s="22">
        <f t="shared" si="6"/>
        <v>1.11731843575419E-2</v>
      </c>
      <c r="BJ35" s="4">
        <v>0</v>
      </c>
    </row>
    <row r="36" spans="1:62" s="4" customFormat="1" x14ac:dyDescent="0.25">
      <c r="A36" s="20"/>
      <c r="B36" s="20" t="s">
        <v>52</v>
      </c>
      <c r="C36" s="21">
        <f t="shared" si="0"/>
        <v>440</v>
      </c>
      <c r="D36" s="22">
        <f t="shared" si="1"/>
        <v>1.6529546564484016E-3</v>
      </c>
      <c r="E36" s="23">
        <v>10</v>
      </c>
      <c r="F36" s="22">
        <f t="shared" si="2"/>
        <v>1.1170313774113914E-4</v>
      </c>
      <c r="G36" s="23">
        <v>17</v>
      </c>
      <c r="H36" s="22">
        <f t="shared" si="3"/>
        <v>3.6820446177171322E-4</v>
      </c>
      <c r="I36" s="23">
        <f>'plazas aut municipio x cat'!BK37</f>
        <v>400</v>
      </c>
      <c r="J36" s="22">
        <f t="shared" si="4"/>
        <v>3.1042403923759857E-3</v>
      </c>
      <c r="K36" s="23">
        <v>0</v>
      </c>
      <c r="L36" s="22">
        <f t="shared" si="5"/>
        <v>0</v>
      </c>
      <c r="M36" s="23">
        <v>13</v>
      </c>
      <c r="N36" s="22">
        <f t="shared" si="6"/>
        <v>1.2104283054003724E-2</v>
      </c>
      <c r="P36" s="24"/>
      <c r="BJ36" s="4">
        <v>7</v>
      </c>
    </row>
    <row r="37" spans="1:62" s="4" customFormat="1" x14ac:dyDescent="0.25">
      <c r="A37" s="20"/>
      <c r="B37" s="20" t="s">
        <v>53</v>
      </c>
      <c r="C37" s="21">
        <f t="shared" si="0"/>
        <v>407</v>
      </c>
      <c r="D37" s="22">
        <f t="shared" si="1"/>
        <v>1.5289830572147714E-3</v>
      </c>
      <c r="E37" s="23">
        <v>0</v>
      </c>
      <c r="F37" s="22">
        <f t="shared" si="2"/>
        <v>0</v>
      </c>
      <c r="G37" s="23">
        <v>0</v>
      </c>
      <c r="H37" s="22">
        <f t="shared" si="3"/>
        <v>0</v>
      </c>
      <c r="I37" s="23">
        <f>'plazas aut municipio x cat'!BK38</f>
        <v>395</v>
      </c>
      <c r="J37" s="22">
        <f t="shared" si="4"/>
        <v>3.0654373874712858E-3</v>
      </c>
      <c r="K37" s="23">
        <v>0</v>
      </c>
      <c r="L37" s="22">
        <f t="shared" si="5"/>
        <v>0</v>
      </c>
      <c r="M37" s="23">
        <v>12</v>
      </c>
      <c r="N37" s="22">
        <f t="shared" si="6"/>
        <v>1.11731843575419E-2</v>
      </c>
      <c r="BJ37" s="4">
        <v>0</v>
      </c>
    </row>
    <row r="38" spans="1:62" s="4" customFormat="1" x14ac:dyDescent="0.25">
      <c r="A38" s="20"/>
      <c r="B38" s="20" t="s">
        <v>54</v>
      </c>
      <c r="C38" s="21">
        <f t="shared" si="0"/>
        <v>668</v>
      </c>
      <c r="D38" s="22">
        <f t="shared" si="1"/>
        <v>2.5094857056989369E-3</v>
      </c>
      <c r="E38" s="23">
        <v>119</v>
      </c>
      <c r="F38" s="22">
        <f t="shared" si="2"/>
        <v>1.3292673391195559E-3</v>
      </c>
      <c r="G38" s="23">
        <v>6</v>
      </c>
      <c r="H38" s="22">
        <f t="shared" si="3"/>
        <v>1.2995451591942819E-4</v>
      </c>
      <c r="I38" s="23">
        <f>'plazas aut municipio x cat'!BK39</f>
        <v>497</v>
      </c>
      <c r="J38" s="22">
        <f t="shared" si="4"/>
        <v>3.8570186875271622E-3</v>
      </c>
      <c r="K38" s="23">
        <v>40</v>
      </c>
      <c r="L38" s="22">
        <f t="shared" si="5"/>
        <v>7.0546737213403876E-2</v>
      </c>
      <c r="M38" s="23">
        <v>6</v>
      </c>
      <c r="N38" s="22">
        <f t="shared" si="6"/>
        <v>5.5865921787709499E-3</v>
      </c>
      <c r="BJ38" s="4">
        <v>6</v>
      </c>
    </row>
    <row r="39" spans="1:62" s="4" customFormat="1" x14ac:dyDescent="0.25">
      <c r="B39" s="20"/>
      <c r="C39" s="25"/>
      <c r="D39" s="26"/>
      <c r="E39" s="27"/>
      <c r="F39" s="26"/>
      <c r="G39" s="27"/>
      <c r="H39" s="26"/>
      <c r="I39" s="23"/>
      <c r="J39" s="26"/>
      <c r="K39" s="27"/>
      <c r="L39" s="26"/>
      <c r="M39" s="27"/>
      <c r="N39" s="26"/>
      <c r="BJ39" s="4">
        <v>0</v>
      </c>
    </row>
    <row r="40" spans="1:62" s="4" customFormat="1" ht="6" customHeight="1" x14ac:dyDescent="0.25">
      <c r="A40" s="4">
        <v>0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9"/>
    </row>
    <row r="41" spans="1:62" s="4" customFormat="1" ht="29.25" customHeight="1" x14ac:dyDescent="0.25">
      <c r="B41" s="105" t="s">
        <v>55</v>
      </c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</row>
    <row r="42" spans="1:62" s="4" customFormat="1" x14ac:dyDescent="0.25"/>
    <row r="43" spans="1:62" hidden="1" x14ac:dyDescent="0.25">
      <c r="B43" t="s">
        <v>56</v>
      </c>
      <c r="C43" s="31">
        <f>SUM(C8:C11,C13:C14,C16,C18,C19,C26,C28,C31,C38)</f>
        <v>196384</v>
      </c>
      <c r="D43" s="22">
        <f>C43/$C43</f>
        <v>1</v>
      </c>
      <c r="E43" s="31">
        <f>SUM(E8:E11,E13:E14,E16,E18,E19,E26,E28,E31,E38)</f>
        <v>66084</v>
      </c>
      <c r="F43" s="22">
        <f>E43/$C43</f>
        <v>0.3365039921785889</v>
      </c>
      <c r="G43" s="31">
        <f>SUM(G8:G11,G13:G14,G16,G18,G19,G26,G28,G31,G38)</f>
        <v>40788</v>
      </c>
      <c r="H43" s="22">
        <f>G43/$C43</f>
        <v>0.2076951279126609</v>
      </c>
      <c r="I43" s="31">
        <v>69501</v>
      </c>
      <c r="J43" s="22">
        <f>I43/$C43</f>
        <v>0.35390357666612349</v>
      </c>
      <c r="K43" s="31">
        <f>SUM(K8:K11,K13:K14,K16,K18,K19,K26,K28,K31,K38)</f>
        <v>274</v>
      </c>
      <c r="L43" s="22">
        <f>K43/$C43</f>
        <v>1.3952256802998208E-3</v>
      </c>
      <c r="M43" s="31">
        <f>SUM(M8:M11,M13:M14,M16,M18,M19,M26,M28,M31,M38)</f>
        <v>413</v>
      </c>
      <c r="N43" s="22">
        <f>M43/$C43</f>
        <v>2.1030226495030147E-3</v>
      </c>
    </row>
    <row r="44" spans="1:62" hidden="1" x14ac:dyDescent="0.25">
      <c r="B44" t="s">
        <v>57</v>
      </c>
      <c r="C44" s="31">
        <f>SUM(C12,C15,C17,C20,C22,C23:C25,C27,C30,C32,C33,C35,C37)</f>
        <v>46887</v>
      </c>
      <c r="D44" s="22">
        <f t="shared" ref="D44:F46" si="8">C44/$C44</f>
        <v>1</v>
      </c>
      <c r="E44" s="31">
        <f>SUM(E12,E15,E17,E20,E22,E23:E25,E27,E30,E32,E33,E35,E37)</f>
        <v>19219</v>
      </c>
      <c r="F44" s="22">
        <f t="shared" si="8"/>
        <v>0.40990039883123253</v>
      </c>
      <c r="G44" s="31">
        <f>SUM(G12,G15,G17,G20,G22,G23:G25,G27,G30,G32,G33,G35,G37)</f>
        <v>4784</v>
      </c>
      <c r="H44" s="22">
        <f t="shared" ref="H44:H46" si="9">G44/$C44</f>
        <v>0.10203254633480496</v>
      </c>
      <c r="I44" s="31">
        <v>17463</v>
      </c>
      <c r="J44" s="22">
        <f t="shared" ref="J44:J46" si="10">I44/$C44</f>
        <v>0.37244865314479492</v>
      </c>
      <c r="K44" s="31">
        <f>SUM(K12,K15,K17,K20,K22,K23:K25,K27,K30,K32,K33,K35,K37)</f>
        <v>271</v>
      </c>
      <c r="L44" s="22">
        <f t="shared" ref="L44:L46" si="11">K44/$C44</f>
        <v>5.7798536907884912E-3</v>
      </c>
      <c r="M44" s="31">
        <f>SUM(M12,M15,M17,M20,M22,M23:M25,M27,M30,M32,M33,M35,M37)</f>
        <v>516</v>
      </c>
      <c r="N44" s="22">
        <f t="shared" ref="N44:N46" si="12">M44/$C44</f>
        <v>1.1005182673235652E-2</v>
      </c>
    </row>
    <row r="45" spans="1:62" hidden="1" x14ac:dyDescent="0.25">
      <c r="B45" t="s">
        <v>58</v>
      </c>
      <c r="C45" s="31">
        <f>SUM(C21,C34,C36)</f>
        <v>9312</v>
      </c>
      <c r="D45" s="22">
        <f t="shared" si="8"/>
        <v>1</v>
      </c>
      <c r="E45" s="31">
        <f>SUM(E21,E34,E36)</f>
        <v>1188</v>
      </c>
      <c r="F45" s="22">
        <f t="shared" si="8"/>
        <v>0.12757731958762886</v>
      </c>
      <c r="G45" s="31">
        <f>SUM(G21,G34,G36)</f>
        <v>548</v>
      </c>
      <c r="H45" s="22">
        <f t="shared" si="9"/>
        <v>5.8848797250859106E-2</v>
      </c>
      <c r="I45" s="31">
        <v>6245</v>
      </c>
      <c r="J45" s="22">
        <f t="shared" si="10"/>
        <v>0.67064003436426112</v>
      </c>
      <c r="K45" s="31">
        <f>SUM(K21,K34,K36)</f>
        <v>22</v>
      </c>
      <c r="L45" s="22">
        <f t="shared" si="11"/>
        <v>2.3625429553264603E-3</v>
      </c>
      <c r="M45" s="31">
        <f>SUM(M21,M34,M36)</f>
        <v>130</v>
      </c>
      <c r="N45" s="22">
        <f t="shared" si="12"/>
        <v>1.3960481099656358E-2</v>
      </c>
    </row>
    <row r="46" spans="1:62" hidden="1" x14ac:dyDescent="0.25">
      <c r="B46" t="s">
        <v>59</v>
      </c>
      <c r="C46" s="31">
        <f>C29</f>
        <v>13607</v>
      </c>
      <c r="D46" s="22">
        <f t="shared" si="8"/>
        <v>1</v>
      </c>
      <c r="E46" s="31">
        <f>E29</f>
        <v>3032</v>
      </c>
      <c r="F46" s="22">
        <f t="shared" si="8"/>
        <v>0.22282648636731095</v>
      </c>
      <c r="G46" s="31">
        <f>G29</f>
        <v>50</v>
      </c>
      <c r="H46" s="22">
        <f t="shared" si="9"/>
        <v>3.6745792606746527E-3</v>
      </c>
      <c r="I46" s="31">
        <v>8407</v>
      </c>
      <c r="J46" s="22">
        <f t="shared" si="10"/>
        <v>0.61784375688983606</v>
      </c>
      <c r="K46" s="31">
        <f>K29</f>
        <v>0</v>
      </c>
      <c r="L46" s="22">
        <f t="shared" si="11"/>
        <v>0</v>
      </c>
      <c r="M46" s="31">
        <f>M29</f>
        <v>15</v>
      </c>
      <c r="N46" s="22">
        <f t="shared" si="12"/>
        <v>1.1023737782023958E-3</v>
      </c>
    </row>
  </sheetData>
  <mergeCells count="10">
    <mergeCell ref="B41:N41"/>
    <mergeCell ref="I2:J2"/>
    <mergeCell ref="B3:N3"/>
    <mergeCell ref="B5:B6"/>
    <mergeCell ref="C5:D5"/>
    <mergeCell ref="E5:F5"/>
    <mergeCell ref="G5:H5"/>
    <mergeCell ref="I5:J5"/>
    <mergeCell ref="K5:L5"/>
    <mergeCell ref="M5:N5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&amp;L&amp;G&amp;R_x000D_&amp;1#&amp;"Aptos"&amp;10&amp;K000000 Documento interno</oddFooter>
  </headerFooter>
  <ignoredErrors>
    <ignoredError sqref="F7:O7 F38 F8 H8:J8 F9 H9:J9 F10 H10:J10 F11 H11:J11 F12 H12:J12 F13 H13:J13 F14 H14:J14 F15 H15:J15 F16 H16:J16 F17 H17:J17 F18 H18:J18 F19 H19:J19 F20 H20:J20 F21 H21:J21 F22 H22:J22 F23 H23:J23 F24 H24:J24 F25 H25:J25 F26 H26:J26 F27 H27:J27 F28 H28:J28 F29 H29:J29 F30 H30:J30 F31 H31:J31 F32 H32:J32 F33 H33:J33 F34 H34:J34 F35 H35:J35 F36 H36:J36 F37 H37:J37 H38:J38 L8 N8:O8 L9 N9:O9 L10 N10:O10 L11 N11:O11 L12 N12:O12 L13 N13:O13 L14 N14:O14 L15 N15:O15 L16 N16:O16 L17 N17:O17 L18 N18:O18 L19 N19:O19 L20 N20:O20 L21 N21:O21 L22 N22:O22 L23 N23:O23 L24 N24:O24 L25 N25:O25 L26 N26:O26 L27 N27:O27 L28 N28:O28 L29 N29:O29 L30 N30:O30 L31 N31:O31 L32 N32:O32 L33 N33:O33 L34 N34:O34 L35 N35:O35 L36 N36:O36 L37 N37:O37 L38 N38:O38" formula="1"/>
  </ignoredError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210B3-E7BB-4693-BE37-C3C8B8508F64}">
  <sheetPr>
    <tabColor rgb="FF92D050"/>
  </sheetPr>
  <dimension ref="A1:BS65"/>
  <sheetViews>
    <sheetView showGridLines="0" workbookViewId="0"/>
  </sheetViews>
  <sheetFormatPr baseColWidth="10" defaultRowHeight="15" x14ac:dyDescent="0.25"/>
  <cols>
    <col min="1" max="1" width="17.7109375" customWidth="1"/>
    <col min="2" max="2" width="23" customWidth="1"/>
    <col min="3" max="71" width="9.5703125" customWidth="1"/>
  </cols>
  <sheetData>
    <row r="1" spans="1:71" ht="30" customHeight="1" x14ac:dyDescent="0.25">
      <c r="F1" s="1" t="s">
        <v>13</v>
      </c>
      <c r="H1" s="1" t="s">
        <v>14</v>
      </c>
      <c r="I1" s="1"/>
      <c r="K1" s="1"/>
      <c r="L1" s="1"/>
      <c r="N1" s="32"/>
      <c r="O1" s="32"/>
      <c r="Q1" s="1"/>
      <c r="R1" s="1"/>
      <c r="T1" s="1"/>
      <c r="U1" s="1"/>
      <c r="W1" s="1"/>
      <c r="X1" s="1"/>
      <c r="Z1" s="1"/>
      <c r="AA1" s="1"/>
      <c r="AC1" s="1"/>
      <c r="AD1" s="1"/>
      <c r="AF1" s="1"/>
      <c r="AG1" s="1"/>
      <c r="AI1" s="1"/>
      <c r="AJ1" s="1"/>
      <c r="AL1" s="1"/>
      <c r="AM1" s="1"/>
      <c r="AO1" s="1"/>
      <c r="AP1" s="1"/>
      <c r="AR1" s="1"/>
      <c r="AS1" s="1"/>
      <c r="AU1" s="1"/>
      <c r="AV1" s="1"/>
      <c r="AX1" s="1"/>
      <c r="AY1" s="1"/>
      <c r="BA1" s="1"/>
      <c r="BB1" s="1"/>
      <c r="BD1" s="1"/>
      <c r="BE1" s="1"/>
      <c r="BG1" s="1"/>
      <c r="BH1" s="1"/>
      <c r="BJ1" s="1"/>
      <c r="BK1" s="1"/>
      <c r="BM1" s="1"/>
      <c r="BN1" s="1"/>
      <c r="BP1" s="1"/>
      <c r="BQ1" s="1"/>
      <c r="BS1" s="1"/>
    </row>
    <row r="3" spans="1:71" s="4" customFormat="1" ht="56.25" customHeight="1" thickBot="1" x14ac:dyDescent="0.3">
      <c r="B3" s="107" t="s">
        <v>104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4"/>
      <c r="BL3" s="33"/>
      <c r="BM3" s="33"/>
      <c r="BN3" s="33"/>
      <c r="BO3" s="33"/>
      <c r="BP3" s="33"/>
      <c r="BQ3" s="33"/>
      <c r="BR3" s="33"/>
      <c r="BS3" s="33"/>
    </row>
    <row r="4" spans="1:71" s="4" customFormat="1" ht="9.75" customHeight="1" x14ac:dyDescent="0.25">
      <c r="B4" s="35"/>
      <c r="C4" s="36"/>
      <c r="D4" s="35"/>
      <c r="E4" s="35"/>
      <c r="F4" s="36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6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6"/>
      <c r="BL4" s="35"/>
      <c r="BM4" s="35"/>
      <c r="BN4" s="36"/>
      <c r="BO4" s="35"/>
      <c r="BP4" s="35"/>
      <c r="BQ4" s="36"/>
      <c r="BR4" s="35"/>
      <c r="BS4" s="35"/>
    </row>
    <row r="5" spans="1:71" s="4" customFormat="1" x14ac:dyDescent="0.25">
      <c r="B5" s="13"/>
      <c r="C5" s="37"/>
      <c r="D5" s="37"/>
      <c r="E5" s="37"/>
      <c r="F5" s="120" t="s">
        <v>60</v>
      </c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2" t="s">
        <v>61</v>
      </c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11" t="s">
        <v>18</v>
      </c>
      <c r="BL5" s="112"/>
      <c r="BM5" s="112"/>
      <c r="BN5" s="114" t="s">
        <v>19</v>
      </c>
      <c r="BO5" s="115"/>
      <c r="BP5" s="116"/>
      <c r="BQ5" s="111" t="s">
        <v>20</v>
      </c>
      <c r="BR5" s="112"/>
      <c r="BS5" s="112"/>
    </row>
    <row r="6" spans="1:71" s="4" customFormat="1" x14ac:dyDescent="0.25">
      <c r="B6" s="108" t="s">
        <v>16</v>
      </c>
      <c r="C6" s="125" t="s">
        <v>17</v>
      </c>
      <c r="D6" s="118"/>
      <c r="E6" s="126"/>
      <c r="F6" s="109" t="s">
        <v>62</v>
      </c>
      <c r="G6" s="108"/>
      <c r="H6" s="110"/>
      <c r="I6" s="109" t="s">
        <v>63</v>
      </c>
      <c r="J6" s="108"/>
      <c r="K6" s="110"/>
      <c r="L6" s="109" t="s">
        <v>64</v>
      </c>
      <c r="M6" s="108"/>
      <c r="N6" s="110"/>
      <c r="O6" s="109" t="s">
        <v>65</v>
      </c>
      <c r="P6" s="108"/>
      <c r="Q6" s="110"/>
      <c r="R6" s="109" t="s">
        <v>66</v>
      </c>
      <c r="S6" s="108"/>
      <c r="T6" s="110"/>
      <c r="U6" s="109" t="s">
        <v>67</v>
      </c>
      <c r="V6" s="108"/>
      <c r="W6" s="110"/>
      <c r="X6" s="109" t="s">
        <v>68</v>
      </c>
      <c r="Y6" s="108"/>
      <c r="Z6" s="110"/>
      <c r="AA6" s="109" t="s">
        <v>69</v>
      </c>
      <c r="AB6" s="108"/>
      <c r="AC6" s="110"/>
      <c r="AD6" s="109" t="s">
        <v>70</v>
      </c>
      <c r="AE6" s="108"/>
      <c r="AF6" s="108"/>
      <c r="AG6" s="114" t="s">
        <v>71</v>
      </c>
      <c r="AH6" s="115"/>
      <c r="AI6" s="116"/>
      <c r="AJ6" s="114" t="s">
        <v>72</v>
      </c>
      <c r="AK6" s="115"/>
      <c r="AL6" s="116"/>
      <c r="AM6" s="114" t="s">
        <v>73</v>
      </c>
      <c r="AN6" s="115"/>
      <c r="AO6" s="116"/>
      <c r="AP6" s="114" t="s">
        <v>74</v>
      </c>
      <c r="AQ6" s="115"/>
      <c r="AR6" s="116"/>
      <c r="AS6" s="114" t="s">
        <v>75</v>
      </c>
      <c r="AT6" s="115"/>
      <c r="AU6" s="116"/>
      <c r="AV6" s="114" t="s">
        <v>65</v>
      </c>
      <c r="AW6" s="115"/>
      <c r="AX6" s="116"/>
      <c r="AY6" s="114" t="s">
        <v>66</v>
      </c>
      <c r="AZ6" s="115"/>
      <c r="BA6" s="116"/>
      <c r="BB6" s="114" t="s">
        <v>67</v>
      </c>
      <c r="BC6" s="115"/>
      <c r="BD6" s="116"/>
      <c r="BE6" s="114" t="s">
        <v>76</v>
      </c>
      <c r="BF6" s="115"/>
      <c r="BG6" s="116"/>
      <c r="BH6" s="114" t="s">
        <v>77</v>
      </c>
      <c r="BI6" s="115"/>
      <c r="BJ6" s="115"/>
      <c r="BK6" s="113"/>
      <c r="BL6" s="108"/>
      <c r="BM6" s="108"/>
      <c r="BN6" s="117"/>
      <c r="BO6" s="118"/>
      <c r="BP6" s="119"/>
      <c r="BQ6" s="113"/>
      <c r="BR6" s="108"/>
      <c r="BS6" s="108"/>
    </row>
    <row r="7" spans="1:71" s="4" customFormat="1" ht="51" x14ac:dyDescent="0.25">
      <c r="A7" s="24"/>
      <c r="B7" s="108"/>
      <c r="C7" s="40" t="s">
        <v>21</v>
      </c>
      <c r="D7" s="41" t="s">
        <v>79</v>
      </c>
      <c r="E7" s="42" t="s">
        <v>80</v>
      </c>
      <c r="F7" s="14" t="s">
        <v>21</v>
      </c>
      <c r="G7" s="43" t="s">
        <v>79</v>
      </c>
      <c r="H7" s="15" t="s">
        <v>80</v>
      </c>
      <c r="I7" s="14" t="s">
        <v>21</v>
      </c>
      <c r="J7" s="43" t="s">
        <v>79</v>
      </c>
      <c r="K7" s="15" t="s">
        <v>80</v>
      </c>
      <c r="L7" s="14" t="s">
        <v>21</v>
      </c>
      <c r="M7" s="43" t="s">
        <v>79</v>
      </c>
      <c r="N7" s="15" t="s">
        <v>80</v>
      </c>
      <c r="O7" s="14" t="s">
        <v>21</v>
      </c>
      <c r="P7" s="43" t="s">
        <v>79</v>
      </c>
      <c r="Q7" s="15" t="s">
        <v>80</v>
      </c>
      <c r="R7" s="14" t="s">
        <v>21</v>
      </c>
      <c r="S7" s="43" t="s">
        <v>79</v>
      </c>
      <c r="T7" s="15" t="s">
        <v>80</v>
      </c>
      <c r="U7" s="14" t="s">
        <v>21</v>
      </c>
      <c r="V7" s="43" t="s">
        <v>79</v>
      </c>
      <c r="W7" s="15" t="s">
        <v>80</v>
      </c>
      <c r="X7" s="14" t="s">
        <v>21</v>
      </c>
      <c r="Y7" s="43" t="s">
        <v>79</v>
      </c>
      <c r="Z7" s="15" t="s">
        <v>80</v>
      </c>
      <c r="AA7" s="14" t="s">
        <v>21</v>
      </c>
      <c r="AB7" s="43" t="s">
        <v>79</v>
      </c>
      <c r="AC7" s="15" t="s">
        <v>80</v>
      </c>
      <c r="AD7" s="14" t="s">
        <v>21</v>
      </c>
      <c r="AE7" s="43" t="s">
        <v>79</v>
      </c>
      <c r="AF7" s="44" t="s">
        <v>80</v>
      </c>
      <c r="AG7" s="45" t="s">
        <v>21</v>
      </c>
      <c r="AH7" s="46" t="s">
        <v>79</v>
      </c>
      <c r="AI7" s="47" t="s">
        <v>80</v>
      </c>
      <c r="AJ7" s="45" t="s">
        <v>21</v>
      </c>
      <c r="AK7" s="46" t="s">
        <v>79</v>
      </c>
      <c r="AL7" s="47" t="s">
        <v>80</v>
      </c>
      <c r="AM7" s="45" t="s">
        <v>21</v>
      </c>
      <c r="AN7" s="46" t="s">
        <v>79</v>
      </c>
      <c r="AO7" s="47" t="s">
        <v>80</v>
      </c>
      <c r="AP7" s="45" t="s">
        <v>21</v>
      </c>
      <c r="AQ7" s="46" t="s">
        <v>79</v>
      </c>
      <c r="AR7" s="47" t="s">
        <v>80</v>
      </c>
      <c r="AS7" s="45" t="s">
        <v>21</v>
      </c>
      <c r="AT7" s="46" t="s">
        <v>79</v>
      </c>
      <c r="AU7" s="47" t="s">
        <v>80</v>
      </c>
      <c r="AV7" s="45" t="s">
        <v>21</v>
      </c>
      <c r="AW7" s="46" t="s">
        <v>79</v>
      </c>
      <c r="AX7" s="47" t="s">
        <v>80</v>
      </c>
      <c r="AY7" s="45" t="s">
        <v>21</v>
      </c>
      <c r="AZ7" s="46" t="s">
        <v>79</v>
      </c>
      <c r="BA7" s="47" t="s">
        <v>80</v>
      </c>
      <c r="BB7" s="45" t="s">
        <v>21</v>
      </c>
      <c r="BC7" s="46" t="s">
        <v>79</v>
      </c>
      <c r="BD7" s="47" t="s">
        <v>80</v>
      </c>
      <c r="BE7" s="45" t="s">
        <v>21</v>
      </c>
      <c r="BF7" s="46" t="s">
        <v>79</v>
      </c>
      <c r="BG7" s="47" t="s">
        <v>80</v>
      </c>
      <c r="BH7" s="45" t="s">
        <v>21</v>
      </c>
      <c r="BI7" s="46" t="s">
        <v>79</v>
      </c>
      <c r="BJ7" s="48" t="s">
        <v>80</v>
      </c>
      <c r="BK7" s="49" t="s">
        <v>21</v>
      </c>
      <c r="BL7" s="43" t="s">
        <v>79</v>
      </c>
      <c r="BM7" s="50" t="s">
        <v>80</v>
      </c>
      <c r="BN7" s="51" t="s">
        <v>21</v>
      </c>
      <c r="BO7" s="41" t="s">
        <v>79</v>
      </c>
      <c r="BP7" s="42" t="s">
        <v>80</v>
      </c>
      <c r="BQ7" s="14" t="s">
        <v>21</v>
      </c>
      <c r="BR7" s="43" t="s">
        <v>79</v>
      </c>
      <c r="BS7" s="15" t="s">
        <v>80</v>
      </c>
    </row>
    <row r="8" spans="1:71" s="19" customFormat="1" ht="15.75" x14ac:dyDescent="0.25">
      <c r="A8" s="53"/>
      <c r="B8" s="16" t="s">
        <v>23</v>
      </c>
      <c r="C8" s="17">
        <f>F8+AG8+BK8+BN8+BQ8</f>
        <v>266190</v>
      </c>
      <c r="D8" s="17">
        <f>G8+AH8+BL8+BO8+BR8</f>
        <v>-293</v>
      </c>
      <c r="E8" s="38">
        <f>C8/(C8-D8)-1</f>
        <v>-1.0995072856430088E-3</v>
      </c>
      <c r="F8" s="17">
        <v>89523</v>
      </c>
      <c r="G8" s="39">
        <v>724</v>
      </c>
      <c r="H8" s="18">
        <v>8.164598301763526E-3</v>
      </c>
      <c r="I8" s="17">
        <v>1218</v>
      </c>
      <c r="J8" s="39">
        <v>0</v>
      </c>
      <c r="K8" s="18">
        <v>0</v>
      </c>
      <c r="L8" s="17">
        <v>2080</v>
      </c>
      <c r="M8" s="39">
        <v>0</v>
      </c>
      <c r="N8" s="18">
        <v>0</v>
      </c>
      <c r="O8" s="17">
        <v>12891</v>
      </c>
      <c r="P8" s="39">
        <v>0</v>
      </c>
      <c r="Q8" s="18">
        <v>0</v>
      </c>
      <c r="R8" s="17">
        <v>55529</v>
      </c>
      <c r="S8" s="39">
        <v>766</v>
      </c>
      <c r="T8" s="18">
        <v>1.3987546336029721E-2</v>
      </c>
      <c r="U8" s="17">
        <v>11179</v>
      </c>
      <c r="V8" s="39">
        <v>0</v>
      </c>
      <c r="W8" s="18">
        <v>0</v>
      </c>
      <c r="X8" s="17">
        <v>2822</v>
      </c>
      <c r="Y8" s="39">
        <v>0</v>
      </c>
      <c r="Z8" s="18">
        <v>0</v>
      </c>
      <c r="AA8" s="17">
        <v>3576</v>
      </c>
      <c r="AB8" s="39">
        <v>-11</v>
      </c>
      <c r="AC8" s="18">
        <v>-3.0666294954000417E-3</v>
      </c>
      <c r="AD8" s="17">
        <v>228</v>
      </c>
      <c r="AE8" s="39">
        <v>62</v>
      </c>
      <c r="AF8" s="18">
        <v>0</v>
      </c>
      <c r="AG8" s="17">
        <v>46170</v>
      </c>
      <c r="AH8" s="39">
        <v>402</v>
      </c>
      <c r="AI8" s="18">
        <v>1.2300822973209558E-2</v>
      </c>
      <c r="AJ8" s="17">
        <v>6579</v>
      </c>
      <c r="AK8" s="39">
        <v>0</v>
      </c>
      <c r="AL8" s="18">
        <v>0</v>
      </c>
      <c r="AM8" s="17">
        <v>10541</v>
      </c>
      <c r="AN8" s="39">
        <v>162</v>
      </c>
      <c r="AO8" s="18">
        <v>1.5608440119472045E-2</v>
      </c>
      <c r="AP8" s="17">
        <v>17193</v>
      </c>
      <c r="AQ8" s="39">
        <v>0</v>
      </c>
      <c r="AR8" s="18">
        <v>0</v>
      </c>
      <c r="AS8" s="17">
        <v>218</v>
      </c>
      <c r="AT8" s="39">
        <v>0</v>
      </c>
      <c r="AU8" s="18">
        <v>0</v>
      </c>
      <c r="AV8" s="17">
        <v>7453</v>
      </c>
      <c r="AW8" s="39">
        <v>244</v>
      </c>
      <c r="AX8" s="18">
        <v>3.3846580663060122E-2</v>
      </c>
      <c r="AY8" s="17">
        <v>2103</v>
      </c>
      <c r="AZ8" s="39">
        <v>4</v>
      </c>
      <c r="BA8" s="18">
        <v>1.9056693663648261E-3</v>
      </c>
      <c r="BB8" s="17">
        <v>1579</v>
      </c>
      <c r="BC8" s="39">
        <v>0</v>
      </c>
      <c r="BD8" s="18">
        <v>0</v>
      </c>
      <c r="BE8" s="17">
        <v>406</v>
      </c>
      <c r="BF8" s="39">
        <v>-8</v>
      </c>
      <c r="BG8" s="18">
        <v>-1.9323671497584516E-2</v>
      </c>
      <c r="BH8" s="17">
        <v>98</v>
      </c>
      <c r="BI8" s="39">
        <v>0</v>
      </c>
      <c r="BJ8" s="18">
        <v>0</v>
      </c>
      <c r="BK8" s="17">
        <v>128856</v>
      </c>
      <c r="BL8" s="39">
        <v>-1427</v>
      </c>
      <c r="BM8" s="18">
        <v>-1.0888581952117837E-2</v>
      </c>
      <c r="BN8" s="17">
        <v>567</v>
      </c>
      <c r="BO8" s="39">
        <v>9</v>
      </c>
      <c r="BP8" s="18">
        <v>1.795332136445249E-2</v>
      </c>
      <c r="BQ8" s="17">
        <v>1074</v>
      </c>
      <c r="BR8" s="39">
        <v>-1</v>
      </c>
      <c r="BS8" s="18">
        <v>0</v>
      </c>
    </row>
    <row r="9" spans="1:71" s="4" customFormat="1" x14ac:dyDescent="0.25">
      <c r="A9" s="24"/>
      <c r="B9" s="20" t="s">
        <v>24</v>
      </c>
      <c r="C9" s="21">
        <f t="shared" ref="C9:D39" si="0">F9+AG9+BK9+BN9+BQ9</f>
        <v>73064</v>
      </c>
      <c r="D9" s="25">
        <f t="shared" si="0"/>
        <v>21</v>
      </c>
      <c r="E9" s="52">
        <f t="shared" ref="E9:E39" si="1">C9/(C9-D9)-1</f>
        <v>2.8750188245285635E-4</v>
      </c>
      <c r="F9" s="23">
        <v>35167</v>
      </c>
      <c r="G9" s="25">
        <v>0</v>
      </c>
      <c r="H9" s="52">
        <v>0</v>
      </c>
      <c r="I9" s="23">
        <v>335</v>
      </c>
      <c r="J9" s="25">
        <v>0</v>
      </c>
      <c r="K9" s="52">
        <v>0</v>
      </c>
      <c r="L9" s="23">
        <v>967</v>
      </c>
      <c r="M9" s="25">
        <v>0</v>
      </c>
      <c r="N9" s="52">
        <v>0</v>
      </c>
      <c r="O9" s="23">
        <v>3479</v>
      </c>
      <c r="P9" s="25">
        <v>0</v>
      </c>
      <c r="Q9" s="52">
        <v>0</v>
      </c>
      <c r="R9" s="23">
        <v>20450</v>
      </c>
      <c r="S9" s="25">
        <v>0</v>
      </c>
      <c r="T9" s="52">
        <v>0</v>
      </c>
      <c r="U9" s="23">
        <v>6760</v>
      </c>
      <c r="V9" s="25">
        <v>0</v>
      </c>
      <c r="W9" s="52">
        <v>0</v>
      </c>
      <c r="X9" s="23">
        <v>1062</v>
      </c>
      <c r="Y9" s="25">
        <v>0</v>
      </c>
      <c r="Z9" s="52">
        <v>0</v>
      </c>
      <c r="AA9" s="23">
        <v>2114</v>
      </c>
      <c r="AB9" s="25">
        <v>0</v>
      </c>
      <c r="AC9" s="52">
        <v>0</v>
      </c>
      <c r="AD9" s="23">
        <v>0</v>
      </c>
      <c r="AE9" s="25">
        <v>0</v>
      </c>
      <c r="AF9" s="52" t="s">
        <v>81</v>
      </c>
      <c r="AG9" s="23">
        <v>12541</v>
      </c>
      <c r="AH9" s="25">
        <v>162</v>
      </c>
      <c r="AI9" s="52">
        <v>1.3086679053235351E-2</v>
      </c>
      <c r="AJ9" s="23">
        <v>1162</v>
      </c>
      <c r="AK9" s="25">
        <v>0</v>
      </c>
      <c r="AL9" s="52">
        <v>0</v>
      </c>
      <c r="AM9" s="23">
        <v>4578</v>
      </c>
      <c r="AN9" s="25">
        <v>162</v>
      </c>
      <c r="AO9" s="52">
        <v>3.6684782608695565E-2</v>
      </c>
      <c r="AP9" s="23">
        <v>3406</v>
      </c>
      <c r="AQ9" s="25">
        <v>0</v>
      </c>
      <c r="AR9" s="52">
        <v>0</v>
      </c>
      <c r="AS9" s="23">
        <v>0</v>
      </c>
      <c r="AT9" s="25">
        <v>0</v>
      </c>
      <c r="AU9" s="52" t="s">
        <v>81</v>
      </c>
      <c r="AV9" s="23">
        <v>2774</v>
      </c>
      <c r="AW9" s="25">
        <v>0</v>
      </c>
      <c r="AX9" s="52">
        <v>0</v>
      </c>
      <c r="AY9" s="23">
        <v>265</v>
      </c>
      <c r="AZ9" s="25">
        <v>0</v>
      </c>
      <c r="BA9" s="52">
        <v>0</v>
      </c>
      <c r="BB9" s="23">
        <v>330</v>
      </c>
      <c r="BC9" s="25">
        <v>0</v>
      </c>
      <c r="BD9" s="52">
        <v>0</v>
      </c>
      <c r="BE9" s="23">
        <v>4</v>
      </c>
      <c r="BF9" s="25">
        <v>0</v>
      </c>
      <c r="BG9" s="52">
        <v>0</v>
      </c>
      <c r="BH9" s="23">
        <v>22</v>
      </c>
      <c r="BI9" s="25">
        <v>0</v>
      </c>
      <c r="BJ9" s="52">
        <v>0</v>
      </c>
      <c r="BK9" s="23">
        <v>25320</v>
      </c>
      <c r="BL9" s="25">
        <v>-141</v>
      </c>
      <c r="BM9" s="52">
        <v>-7.3445661992851408E-3</v>
      </c>
      <c r="BN9" s="23">
        <v>22</v>
      </c>
      <c r="BO9" s="25">
        <v>0</v>
      </c>
      <c r="BP9" s="52">
        <v>0</v>
      </c>
      <c r="BQ9" s="23">
        <v>14</v>
      </c>
      <c r="BR9" s="25">
        <v>0</v>
      </c>
      <c r="BS9" s="52">
        <v>0</v>
      </c>
    </row>
    <row r="10" spans="1:71" s="4" customFormat="1" x14ac:dyDescent="0.25">
      <c r="A10" s="24"/>
      <c r="B10" s="20" t="s">
        <v>25</v>
      </c>
      <c r="C10" s="21">
        <f t="shared" si="0"/>
        <v>401</v>
      </c>
      <c r="D10" s="25">
        <f t="shared" si="0"/>
        <v>-6</v>
      </c>
      <c r="E10" s="52">
        <f t="shared" si="1"/>
        <v>-1.4742014742014753E-2</v>
      </c>
      <c r="F10" s="23">
        <v>0</v>
      </c>
      <c r="G10" s="25">
        <v>0</v>
      </c>
      <c r="H10" s="52" t="s">
        <v>81</v>
      </c>
      <c r="I10" s="23">
        <v>0</v>
      </c>
      <c r="J10" s="25">
        <v>0</v>
      </c>
      <c r="K10" s="52" t="s">
        <v>81</v>
      </c>
      <c r="L10" s="23">
        <v>0</v>
      </c>
      <c r="M10" s="25">
        <v>0</v>
      </c>
      <c r="N10" s="52" t="s">
        <v>81</v>
      </c>
      <c r="O10" s="23">
        <v>0</v>
      </c>
      <c r="P10" s="25">
        <v>0</v>
      </c>
      <c r="Q10" s="52" t="s">
        <v>81</v>
      </c>
      <c r="R10" s="23">
        <v>0</v>
      </c>
      <c r="S10" s="25">
        <v>0</v>
      </c>
      <c r="T10" s="52" t="s">
        <v>81</v>
      </c>
      <c r="U10" s="23">
        <v>0</v>
      </c>
      <c r="V10" s="25">
        <v>0</v>
      </c>
      <c r="W10" s="52" t="s">
        <v>81</v>
      </c>
      <c r="X10" s="23">
        <v>0</v>
      </c>
      <c r="Y10" s="25">
        <v>0</v>
      </c>
      <c r="Z10" s="52" t="s">
        <v>81</v>
      </c>
      <c r="AA10" s="23">
        <v>0</v>
      </c>
      <c r="AB10" s="25">
        <v>0</v>
      </c>
      <c r="AC10" s="52" t="s">
        <v>81</v>
      </c>
      <c r="AD10" s="23">
        <v>0</v>
      </c>
      <c r="AE10" s="25">
        <v>0</v>
      </c>
      <c r="AF10" s="52" t="s">
        <v>81</v>
      </c>
      <c r="AG10" s="23">
        <v>0</v>
      </c>
      <c r="AH10" s="25">
        <v>0</v>
      </c>
      <c r="AI10" s="52" t="s">
        <v>81</v>
      </c>
      <c r="AJ10" s="23">
        <v>0</v>
      </c>
      <c r="AK10" s="25">
        <v>0</v>
      </c>
      <c r="AL10" s="52" t="s">
        <v>81</v>
      </c>
      <c r="AM10" s="23">
        <v>0</v>
      </c>
      <c r="AN10" s="25">
        <v>0</v>
      </c>
      <c r="AO10" s="52" t="s">
        <v>81</v>
      </c>
      <c r="AP10" s="23">
        <v>0</v>
      </c>
      <c r="AQ10" s="25">
        <v>0</v>
      </c>
      <c r="AR10" s="52" t="s">
        <v>81</v>
      </c>
      <c r="AS10" s="23">
        <v>0</v>
      </c>
      <c r="AT10" s="25">
        <v>0</v>
      </c>
      <c r="AU10" s="52" t="s">
        <v>81</v>
      </c>
      <c r="AV10" s="23">
        <v>0</v>
      </c>
      <c r="AW10" s="25">
        <v>0</v>
      </c>
      <c r="AX10" s="52" t="s">
        <v>81</v>
      </c>
      <c r="AY10" s="23">
        <v>0</v>
      </c>
      <c r="AZ10" s="25">
        <v>0</v>
      </c>
      <c r="BA10" s="52" t="s">
        <v>81</v>
      </c>
      <c r="BB10" s="23">
        <v>0</v>
      </c>
      <c r="BC10" s="25">
        <v>0</v>
      </c>
      <c r="BD10" s="52" t="s">
        <v>81</v>
      </c>
      <c r="BE10" s="23">
        <v>0</v>
      </c>
      <c r="BF10" s="25">
        <v>0</v>
      </c>
      <c r="BG10" s="52" t="s">
        <v>81</v>
      </c>
      <c r="BH10" s="23">
        <v>0</v>
      </c>
      <c r="BI10" s="25">
        <v>0</v>
      </c>
      <c r="BJ10" s="52" t="s">
        <v>81</v>
      </c>
      <c r="BK10" s="23">
        <v>384</v>
      </c>
      <c r="BL10" s="25">
        <v>-6</v>
      </c>
      <c r="BM10" s="52">
        <v>0</v>
      </c>
      <c r="BN10" s="23">
        <v>0</v>
      </c>
      <c r="BO10" s="25">
        <v>0</v>
      </c>
      <c r="BP10" s="52" t="s">
        <v>81</v>
      </c>
      <c r="BQ10" s="23">
        <v>17</v>
      </c>
      <c r="BR10" s="25">
        <v>0</v>
      </c>
      <c r="BS10" s="52">
        <v>0</v>
      </c>
    </row>
    <row r="11" spans="1:71" s="4" customFormat="1" x14ac:dyDescent="0.25">
      <c r="A11" s="24"/>
      <c r="B11" s="20" t="s">
        <v>26</v>
      </c>
      <c r="C11" s="21">
        <f t="shared" si="0"/>
        <v>3675</v>
      </c>
      <c r="D11" s="25">
        <f t="shared" si="0"/>
        <v>-17</v>
      </c>
      <c r="E11" s="52">
        <f t="shared" si="1"/>
        <v>-4.6045503791982689E-3</v>
      </c>
      <c r="F11" s="23">
        <v>18</v>
      </c>
      <c r="G11" s="25">
        <v>0</v>
      </c>
      <c r="H11" s="52">
        <v>0</v>
      </c>
      <c r="I11" s="23">
        <v>0</v>
      </c>
      <c r="J11" s="25">
        <v>0</v>
      </c>
      <c r="K11" s="52" t="s">
        <v>81</v>
      </c>
      <c r="L11" s="23">
        <v>18</v>
      </c>
      <c r="M11" s="25">
        <v>0</v>
      </c>
      <c r="N11" s="52">
        <v>0</v>
      </c>
      <c r="O11" s="23">
        <v>0</v>
      </c>
      <c r="P11" s="25">
        <v>0</v>
      </c>
      <c r="Q11" s="52" t="s">
        <v>81</v>
      </c>
      <c r="R11" s="23">
        <v>0</v>
      </c>
      <c r="S11" s="25">
        <v>0</v>
      </c>
      <c r="T11" s="52" t="s">
        <v>81</v>
      </c>
      <c r="U11" s="23">
        <v>0</v>
      </c>
      <c r="V11" s="25">
        <v>0</v>
      </c>
      <c r="W11" s="52" t="s">
        <v>81</v>
      </c>
      <c r="X11" s="23">
        <v>0</v>
      </c>
      <c r="Y11" s="25">
        <v>0</v>
      </c>
      <c r="Z11" s="52" t="s">
        <v>81</v>
      </c>
      <c r="AA11" s="23">
        <v>0</v>
      </c>
      <c r="AB11" s="25">
        <v>0</v>
      </c>
      <c r="AC11" s="52" t="s">
        <v>81</v>
      </c>
      <c r="AD11" s="23">
        <v>0</v>
      </c>
      <c r="AE11" s="25">
        <v>0</v>
      </c>
      <c r="AF11" s="52" t="s">
        <v>81</v>
      </c>
      <c r="AG11" s="23">
        <v>24</v>
      </c>
      <c r="AH11" s="25">
        <v>0</v>
      </c>
      <c r="AI11" s="52">
        <v>0</v>
      </c>
      <c r="AJ11" s="23">
        <v>0</v>
      </c>
      <c r="AK11" s="25">
        <v>0</v>
      </c>
      <c r="AL11" s="52" t="s">
        <v>81</v>
      </c>
      <c r="AM11" s="23">
        <v>0</v>
      </c>
      <c r="AN11" s="25">
        <v>0</v>
      </c>
      <c r="AO11" s="52" t="s">
        <v>81</v>
      </c>
      <c r="AP11" s="23">
        <v>0</v>
      </c>
      <c r="AQ11" s="25">
        <v>0</v>
      </c>
      <c r="AR11" s="52" t="s">
        <v>81</v>
      </c>
      <c r="AS11" s="23">
        <v>0</v>
      </c>
      <c r="AT11" s="25">
        <v>0</v>
      </c>
      <c r="AU11" s="52" t="s">
        <v>81</v>
      </c>
      <c r="AV11" s="23">
        <v>0</v>
      </c>
      <c r="AW11" s="25">
        <v>0</v>
      </c>
      <c r="AX11" s="52" t="s">
        <v>81</v>
      </c>
      <c r="AY11" s="23">
        <v>0</v>
      </c>
      <c r="AZ11" s="25">
        <v>0</v>
      </c>
      <c r="BA11" s="52" t="s">
        <v>81</v>
      </c>
      <c r="BB11" s="23">
        <v>0</v>
      </c>
      <c r="BC11" s="25">
        <v>0</v>
      </c>
      <c r="BD11" s="52" t="s">
        <v>81</v>
      </c>
      <c r="BE11" s="23">
        <v>4</v>
      </c>
      <c r="BF11" s="25">
        <v>0</v>
      </c>
      <c r="BG11" s="52">
        <v>0</v>
      </c>
      <c r="BH11" s="23">
        <v>20</v>
      </c>
      <c r="BI11" s="25">
        <v>0</v>
      </c>
      <c r="BJ11" s="52" t="s">
        <v>81</v>
      </c>
      <c r="BK11" s="23">
        <v>3561</v>
      </c>
      <c r="BL11" s="25">
        <v>-17</v>
      </c>
      <c r="BM11" s="52">
        <v>-5.3102291783119204E-3</v>
      </c>
      <c r="BN11" s="23">
        <v>0</v>
      </c>
      <c r="BO11" s="25">
        <v>0</v>
      </c>
      <c r="BP11" s="52" t="s">
        <v>81</v>
      </c>
      <c r="BQ11" s="23">
        <v>72</v>
      </c>
      <c r="BR11" s="25">
        <v>0</v>
      </c>
      <c r="BS11" s="52">
        <v>0</v>
      </c>
    </row>
    <row r="12" spans="1:71" s="4" customFormat="1" x14ac:dyDescent="0.25">
      <c r="A12" s="24"/>
      <c r="B12" s="20" t="s">
        <v>27</v>
      </c>
      <c r="C12" s="21">
        <f t="shared" si="0"/>
        <v>64407</v>
      </c>
      <c r="D12" s="25">
        <f t="shared" si="0"/>
        <v>440</v>
      </c>
      <c r="E12" s="52">
        <f t="shared" si="1"/>
        <v>6.8785467506682352E-3</v>
      </c>
      <c r="F12" s="23">
        <v>17842</v>
      </c>
      <c r="G12" s="25">
        <v>678</v>
      </c>
      <c r="H12" s="52">
        <v>3.9501281752505335E-2</v>
      </c>
      <c r="I12" s="23">
        <v>190</v>
      </c>
      <c r="J12" s="25">
        <v>0</v>
      </c>
      <c r="K12" s="52">
        <v>0</v>
      </c>
      <c r="L12" s="23">
        <v>96</v>
      </c>
      <c r="M12" s="25">
        <v>0</v>
      </c>
      <c r="N12" s="52">
        <v>0</v>
      </c>
      <c r="O12" s="23">
        <v>2824</v>
      </c>
      <c r="P12" s="25">
        <v>0</v>
      </c>
      <c r="Q12" s="52">
        <v>0</v>
      </c>
      <c r="R12" s="23">
        <v>13103</v>
      </c>
      <c r="S12" s="25">
        <v>678</v>
      </c>
      <c r="T12" s="52">
        <v>5.4567404426559385E-2</v>
      </c>
      <c r="U12" s="23">
        <v>1330</v>
      </c>
      <c r="V12" s="25">
        <v>0</v>
      </c>
      <c r="W12" s="52">
        <v>0</v>
      </c>
      <c r="X12" s="23">
        <v>0</v>
      </c>
      <c r="Y12" s="25">
        <v>0</v>
      </c>
      <c r="Z12" s="52" t="s">
        <v>81</v>
      </c>
      <c r="AA12" s="23">
        <v>277</v>
      </c>
      <c r="AB12" s="25">
        <v>0</v>
      </c>
      <c r="AC12" s="52">
        <v>0</v>
      </c>
      <c r="AD12" s="23">
        <v>22</v>
      </c>
      <c r="AE12" s="25">
        <v>0</v>
      </c>
      <c r="AF12" s="52">
        <v>0</v>
      </c>
      <c r="AG12" s="23">
        <v>20860</v>
      </c>
      <c r="AH12" s="25">
        <v>4</v>
      </c>
      <c r="AI12" s="52">
        <v>1.917913310318653E-4</v>
      </c>
      <c r="AJ12" s="23">
        <v>2829</v>
      </c>
      <c r="AK12" s="25">
        <v>0</v>
      </c>
      <c r="AL12" s="52">
        <v>0</v>
      </c>
      <c r="AM12" s="23">
        <v>3852</v>
      </c>
      <c r="AN12" s="25">
        <v>0</v>
      </c>
      <c r="AO12" s="52">
        <v>0</v>
      </c>
      <c r="AP12" s="23">
        <v>9610</v>
      </c>
      <c r="AQ12" s="25">
        <v>0</v>
      </c>
      <c r="AR12" s="52">
        <v>0</v>
      </c>
      <c r="AS12" s="23">
        <v>218</v>
      </c>
      <c r="AT12" s="25">
        <v>0</v>
      </c>
      <c r="AU12" s="52">
        <v>0</v>
      </c>
      <c r="AV12" s="23">
        <v>3259</v>
      </c>
      <c r="AW12" s="25">
        <v>0</v>
      </c>
      <c r="AX12" s="52">
        <v>0</v>
      </c>
      <c r="AY12" s="23">
        <v>1092</v>
      </c>
      <c r="AZ12" s="25">
        <v>4</v>
      </c>
      <c r="BA12" s="52">
        <v>3.6764705882352811E-3</v>
      </c>
      <c r="BB12" s="23">
        <v>0</v>
      </c>
      <c r="BC12" s="25">
        <v>0</v>
      </c>
      <c r="BD12" s="52" t="s">
        <v>81</v>
      </c>
      <c r="BE12" s="23">
        <v>0</v>
      </c>
      <c r="BF12" s="25">
        <v>0</v>
      </c>
      <c r="BG12" s="52" t="s">
        <v>81</v>
      </c>
      <c r="BH12" s="23">
        <v>0</v>
      </c>
      <c r="BI12" s="25">
        <v>0</v>
      </c>
      <c r="BJ12" s="52" t="s">
        <v>81</v>
      </c>
      <c r="BK12" s="23">
        <v>25635</v>
      </c>
      <c r="BL12" s="25">
        <v>-252</v>
      </c>
      <c r="BM12" s="52">
        <v>-9.9277629698304448E-3</v>
      </c>
      <c r="BN12" s="23">
        <v>22</v>
      </c>
      <c r="BO12" s="25">
        <v>10</v>
      </c>
      <c r="BP12" s="52">
        <v>0.83333333333333326</v>
      </c>
      <c r="BQ12" s="23">
        <v>48</v>
      </c>
      <c r="BR12" s="25">
        <v>0</v>
      </c>
      <c r="BS12" s="52">
        <v>0</v>
      </c>
    </row>
    <row r="13" spans="1:71" s="4" customFormat="1" x14ac:dyDescent="0.25">
      <c r="A13" s="54"/>
      <c r="B13" s="20" t="s">
        <v>28</v>
      </c>
      <c r="C13" s="21">
        <f t="shared" si="0"/>
        <v>771</v>
      </c>
      <c r="D13" s="25">
        <f t="shared" si="0"/>
        <v>-7</v>
      </c>
      <c r="E13" s="52">
        <f t="shared" si="1"/>
        <v>-8.9974293059126298E-3</v>
      </c>
      <c r="F13" s="23">
        <v>234</v>
      </c>
      <c r="G13" s="25">
        <v>0</v>
      </c>
      <c r="H13" s="52">
        <v>0</v>
      </c>
      <c r="I13" s="23">
        <v>0</v>
      </c>
      <c r="J13" s="25">
        <v>0</v>
      </c>
      <c r="K13" s="52" t="s">
        <v>81</v>
      </c>
      <c r="L13" s="23">
        <v>0</v>
      </c>
      <c r="M13" s="25">
        <v>0</v>
      </c>
      <c r="N13" s="52" t="s">
        <v>81</v>
      </c>
      <c r="O13" s="23">
        <v>0</v>
      </c>
      <c r="P13" s="25">
        <v>0</v>
      </c>
      <c r="Q13" s="52" t="s">
        <v>81</v>
      </c>
      <c r="R13" s="23">
        <v>0</v>
      </c>
      <c r="S13" s="25">
        <v>0</v>
      </c>
      <c r="T13" s="52" t="s">
        <v>81</v>
      </c>
      <c r="U13" s="23">
        <v>0</v>
      </c>
      <c r="V13" s="25">
        <v>0</v>
      </c>
      <c r="W13" s="52" t="s">
        <v>81</v>
      </c>
      <c r="X13" s="23">
        <v>0</v>
      </c>
      <c r="Y13" s="25">
        <v>0</v>
      </c>
      <c r="Z13" s="52" t="s">
        <v>81</v>
      </c>
      <c r="AA13" s="23">
        <v>234</v>
      </c>
      <c r="AB13" s="25">
        <v>0</v>
      </c>
      <c r="AC13" s="52">
        <v>0</v>
      </c>
      <c r="AD13" s="23">
        <v>0</v>
      </c>
      <c r="AE13" s="25">
        <v>0</v>
      </c>
      <c r="AF13" s="52" t="s">
        <v>81</v>
      </c>
      <c r="AG13" s="23">
        <v>0</v>
      </c>
      <c r="AH13" s="25">
        <v>0</v>
      </c>
      <c r="AI13" s="52" t="s">
        <v>81</v>
      </c>
      <c r="AJ13" s="23">
        <v>0</v>
      </c>
      <c r="AK13" s="25">
        <v>0</v>
      </c>
      <c r="AL13" s="52" t="s">
        <v>81</v>
      </c>
      <c r="AM13" s="23">
        <v>0</v>
      </c>
      <c r="AN13" s="25">
        <v>0</v>
      </c>
      <c r="AO13" s="52" t="s">
        <v>81</v>
      </c>
      <c r="AP13" s="23">
        <v>0</v>
      </c>
      <c r="AQ13" s="25">
        <v>0</v>
      </c>
      <c r="AR13" s="52" t="s">
        <v>81</v>
      </c>
      <c r="AS13" s="23">
        <v>0</v>
      </c>
      <c r="AT13" s="25">
        <v>0</v>
      </c>
      <c r="AU13" s="52" t="s">
        <v>81</v>
      </c>
      <c r="AV13" s="23">
        <v>0</v>
      </c>
      <c r="AW13" s="25">
        <v>0</v>
      </c>
      <c r="AX13" s="52" t="s">
        <v>81</v>
      </c>
      <c r="AY13" s="23">
        <v>0</v>
      </c>
      <c r="AZ13" s="25">
        <v>0</v>
      </c>
      <c r="BA13" s="52" t="s">
        <v>81</v>
      </c>
      <c r="BB13" s="23">
        <v>0</v>
      </c>
      <c r="BC13" s="25">
        <v>0</v>
      </c>
      <c r="BD13" s="52" t="s">
        <v>81</v>
      </c>
      <c r="BE13" s="23">
        <v>0</v>
      </c>
      <c r="BF13" s="25">
        <v>0</v>
      </c>
      <c r="BG13" s="52" t="s">
        <v>81</v>
      </c>
      <c r="BH13" s="23">
        <v>0</v>
      </c>
      <c r="BI13" s="25">
        <v>0</v>
      </c>
      <c r="BJ13" s="52" t="s">
        <v>81</v>
      </c>
      <c r="BK13" s="23">
        <v>493</v>
      </c>
      <c r="BL13" s="25">
        <v>-7</v>
      </c>
      <c r="BM13" s="52">
        <v>-1.4000000000000012E-2</v>
      </c>
      <c r="BN13" s="23">
        <v>0</v>
      </c>
      <c r="BO13" s="25">
        <v>0</v>
      </c>
      <c r="BP13" s="52" t="s">
        <v>81</v>
      </c>
      <c r="BQ13" s="23">
        <v>44</v>
      </c>
      <c r="BR13" s="25">
        <v>0</v>
      </c>
      <c r="BS13" s="52">
        <v>0</v>
      </c>
    </row>
    <row r="14" spans="1:71" s="4" customFormat="1" x14ac:dyDescent="0.25">
      <c r="A14" s="54"/>
      <c r="B14" s="20" t="s">
        <v>29</v>
      </c>
      <c r="C14" s="21">
        <f t="shared" si="0"/>
        <v>3862</v>
      </c>
      <c r="D14" s="25">
        <f t="shared" si="0"/>
        <v>-6</v>
      </c>
      <c r="E14" s="52">
        <f t="shared" si="1"/>
        <v>-1.5511892450879028E-3</v>
      </c>
      <c r="F14" s="23">
        <v>986</v>
      </c>
      <c r="G14" s="25">
        <v>0</v>
      </c>
      <c r="H14" s="52">
        <v>0</v>
      </c>
      <c r="I14" s="23">
        <v>0</v>
      </c>
      <c r="J14" s="25">
        <v>0</v>
      </c>
      <c r="K14" s="52" t="s">
        <v>81</v>
      </c>
      <c r="L14" s="23">
        <v>0</v>
      </c>
      <c r="M14" s="25">
        <v>0</v>
      </c>
      <c r="N14" s="52" t="s">
        <v>81</v>
      </c>
      <c r="O14" s="23">
        <v>180</v>
      </c>
      <c r="P14" s="25">
        <v>0</v>
      </c>
      <c r="Q14" s="52">
        <v>0</v>
      </c>
      <c r="R14" s="23">
        <v>806</v>
      </c>
      <c r="S14" s="25">
        <v>0</v>
      </c>
      <c r="T14" s="52">
        <v>0</v>
      </c>
      <c r="U14" s="23">
        <v>0</v>
      </c>
      <c r="V14" s="25">
        <v>0</v>
      </c>
      <c r="W14" s="52" t="s">
        <v>81</v>
      </c>
      <c r="X14" s="23">
        <v>0</v>
      </c>
      <c r="Y14" s="25">
        <v>0</v>
      </c>
      <c r="Z14" s="52" t="s">
        <v>81</v>
      </c>
      <c r="AA14" s="23">
        <v>0</v>
      </c>
      <c r="AB14" s="25">
        <v>0</v>
      </c>
      <c r="AC14" s="52" t="s">
        <v>81</v>
      </c>
      <c r="AD14" s="23">
        <v>0</v>
      </c>
      <c r="AE14" s="25">
        <v>0</v>
      </c>
      <c r="AF14" s="52" t="s">
        <v>81</v>
      </c>
      <c r="AG14" s="23">
        <v>35</v>
      </c>
      <c r="AH14" s="25">
        <v>0</v>
      </c>
      <c r="AI14" s="52">
        <v>0</v>
      </c>
      <c r="AJ14" s="23">
        <v>0</v>
      </c>
      <c r="AK14" s="25">
        <v>0</v>
      </c>
      <c r="AL14" s="52" t="s">
        <v>81</v>
      </c>
      <c r="AM14" s="23">
        <v>30</v>
      </c>
      <c r="AN14" s="25">
        <v>0</v>
      </c>
      <c r="AO14" s="52">
        <v>0</v>
      </c>
      <c r="AP14" s="23">
        <v>0</v>
      </c>
      <c r="AQ14" s="25">
        <v>0</v>
      </c>
      <c r="AR14" s="52" t="s">
        <v>81</v>
      </c>
      <c r="AS14" s="23">
        <v>0</v>
      </c>
      <c r="AT14" s="25">
        <v>0</v>
      </c>
      <c r="AU14" s="52" t="s">
        <v>81</v>
      </c>
      <c r="AV14" s="23">
        <v>0</v>
      </c>
      <c r="AW14" s="25">
        <v>0</v>
      </c>
      <c r="AX14" s="52" t="s">
        <v>81</v>
      </c>
      <c r="AY14" s="23">
        <v>0</v>
      </c>
      <c r="AZ14" s="25">
        <v>0</v>
      </c>
      <c r="BA14" s="52" t="s">
        <v>81</v>
      </c>
      <c r="BB14" s="23">
        <v>0</v>
      </c>
      <c r="BC14" s="25">
        <v>0</v>
      </c>
      <c r="BD14" s="52" t="s">
        <v>81</v>
      </c>
      <c r="BE14" s="23">
        <v>5</v>
      </c>
      <c r="BF14" s="25">
        <v>0</v>
      </c>
      <c r="BG14" s="52">
        <v>0</v>
      </c>
      <c r="BH14" s="23">
        <v>0</v>
      </c>
      <c r="BI14" s="25">
        <v>0</v>
      </c>
      <c r="BJ14" s="52" t="s">
        <v>81</v>
      </c>
      <c r="BK14" s="23">
        <v>2838</v>
      </c>
      <c r="BL14" s="25">
        <v>-6</v>
      </c>
      <c r="BM14" s="52">
        <v>-7.0323488045009874E-4</v>
      </c>
      <c r="BN14" s="23">
        <v>0</v>
      </c>
      <c r="BO14" s="25">
        <v>0</v>
      </c>
      <c r="BP14" s="52" t="s">
        <v>81</v>
      </c>
      <c r="BQ14" s="23">
        <v>3</v>
      </c>
      <c r="BR14" s="25">
        <v>0</v>
      </c>
      <c r="BS14" s="52">
        <v>0</v>
      </c>
    </row>
    <row r="15" spans="1:71" s="4" customFormat="1" x14ac:dyDescent="0.25">
      <c r="A15" s="54"/>
      <c r="B15" s="20" t="s">
        <v>30</v>
      </c>
      <c r="C15" s="21">
        <f t="shared" si="0"/>
        <v>447</v>
      </c>
      <c r="D15" s="25">
        <f t="shared" si="0"/>
        <v>-4</v>
      </c>
      <c r="E15" s="52">
        <f t="shared" si="1"/>
        <v>-8.8691796008869561E-3</v>
      </c>
      <c r="F15" s="23">
        <v>0</v>
      </c>
      <c r="G15" s="25">
        <v>0</v>
      </c>
      <c r="H15" s="52" t="s">
        <v>81</v>
      </c>
      <c r="I15" s="23">
        <v>0</v>
      </c>
      <c r="J15" s="25">
        <v>0</v>
      </c>
      <c r="K15" s="52" t="s">
        <v>81</v>
      </c>
      <c r="L15" s="23">
        <v>0</v>
      </c>
      <c r="M15" s="25">
        <v>0</v>
      </c>
      <c r="N15" s="52" t="s">
        <v>81</v>
      </c>
      <c r="O15" s="23">
        <v>0</v>
      </c>
      <c r="P15" s="25">
        <v>0</v>
      </c>
      <c r="Q15" s="52" t="s">
        <v>81</v>
      </c>
      <c r="R15" s="23">
        <v>0</v>
      </c>
      <c r="S15" s="25">
        <v>0</v>
      </c>
      <c r="T15" s="52" t="s">
        <v>81</v>
      </c>
      <c r="U15" s="23">
        <v>0</v>
      </c>
      <c r="V15" s="25">
        <v>0</v>
      </c>
      <c r="W15" s="52" t="s">
        <v>81</v>
      </c>
      <c r="X15" s="23">
        <v>0</v>
      </c>
      <c r="Y15" s="25">
        <v>0</v>
      </c>
      <c r="Z15" s="52" t="s">
        <v>81</v>
      </c>
      <c r="AA15" s="23">
        <v>0</v>
      </c>
      <c r="AB15" s="25">
        <v>0</v>
      </c>
      <c r="AC15" s="52" t="s">
        <v>81</v>
      </c>
      <c r="AD15" s="23">
        <v>0</v>
      </c>
      <c r="AE15" s="25">
        <v>0</v>
      </c>
      <c r="AF15" s="52" t="s">
        <v>81</v>
      </c>
      <c r="AG15" s="23">
        <v>4</v>
      </c>
      <c r="AH15" s="25">
        <v>0</v>
      </c>
      <c r="AI15" s="52">
        <v>0</v>
      </c>
      <c r="AJ15" s="23">
        <v>0</v>
      </c>
      <c r="AK15" s="25">
        <v>0</v>
      </c>
      <c r="AL15" s="52" t="s">
        <v>81</v>
      </c>
      <c r="AM15" s="23">
        <v>0</v>
      </c>
      <c r="AN15" s="25">
        <v>0</v>
      </c>
      <c r="AO15" s="52" t="s">
        <v>81</v>
      </c>
      <c r="AP15" s="23">
        <v>0</v>
      </c>
      <c r="AQ15" s="25">
        <v>0</v>
      </c>
      <c r="AR15" s="52" t="s">
        <v>81</v>
      </c>
      <c r="AS15" s="23">
        <v>0</v>
      </c>
      <c r="AT15" s="25">
        <v>0</v>
      </c>
      <c r="AU15" s="52" t="s">
        <v>81</v>
      </c>
      <c r="AV15" s="23">
        <v>0</v>
      </c>
      <c r="AW15" s="25">
        <v>0</v>
      </c>
      <c r="AX15" s="52" t="s">
        <v>81</v>
      </c>
      <c r="AY15" s="23">
        <v>0</v>
      </c>
      <c r="AZ15" s="25">
        <v>0</v>
      </c>
      <c r="BA15" s="52" t="s">
        <v>81</v>
      </c>
      <c r="BB15" s="23">
        <v>0</v>
      </c>
      <c r="BC15" s="25">
        <v>0</v>
      </c>
      <c r="BD15" s="52" t="s">
        <v>81</v>
      </c>
      <c r="BE15" s="23">
        <v>4</v>
      </c>
      <c r="BF15" s="25">
        <v>0</v>
      </c>
      <c r="BG15" s="52">
        <v>0</v>
      </c>
      <c r="BH15" s="23">
        <v>0</v>
      </c>
      <c r="BI15" s="25">
        <v>0</v>
      </c>
      <c r="BJ15" s="52" t="s">
        <v>81</v>
      </c>
      <c r="BK15" s="23">
        <v>396</v>
      </c>
      <c r="BL15" s="25">
        <v>-4</v>
      </c>
      <c r="BM15" s="52">
        <v>0</v>
      </c>
      <c r="BN15" s="23">
        <v>0</v>
      </c>
      <c r="BO15" s="25">
        <v>0</v>
      </c>
      <c r="BP15" s="52" t="s">
        <v>81</v>
      </c>
      <c r="BQ15" s="23">
        <v>47</v>
      </c>
      <c r="BR15" s="25">
        <v>0</v>
      </c>
      <c r="BS15" s="52">
        <v>0</v>
      </c>
    </row>
    <row r="16" spans="1:71" s="4" customFormat="1" x14ac:dyDescent="0.25">
      <c r="A16" s="54"/>
      <c r="B16" s="20" t="s">
        <v>31</v>
      </c>
      <c r="C16" s="21">
        <f t="shared" si="0"/>
        <v>1321</v>
      </c>
      <c r="D16" s="25">
        <f t="shared" si="0"/>
        <v>-3</v>
      </c>
      <c r="E16" s="52">
        <f t="shared" si="1"/>
        <v>-2.2658610271902857E-3</v>
      </c>
      <c r="F16" s="23">
        <v>76</v>
      </c>
      <c r="G16" s="25">
        <v>0</v>
      </c>
      <c r="H16" s="52">
        <v>0</v>
      </c>
      <c r="I16" s="23">
        <v>6</v>
      </c>
      <c r="J16" s="25">
        <v>0</v>
      </c>
      <c r="K16" s="52">
        <v>0</v>
      </c>
      <c r="L16" s="23">
        <v>0</v>
      </c>
      <c r="M16" s="25">
        <v>0</v>
      </c>
      <c r="N16" s="52" t="s">
        <v>81</v>
      </c>
      <c r="O16" s="23">
        <v>0</v>
      </c>
      <c r="P16" s="25">
        <v>0</v>
      </c>
      <c r="Q16" s="52" t="s">
        <v>81</v>
      </c>
      <c r="R16" s="23">
        <v>40</v>
      </c>
      <c r="S16" s="25">
        <v>0</v>
      </c>
      <c r="T16" s="52">
        <v>0</v>
      </c>
      <c r="U16" s="23">
        <v>0</v>
      </c>
      <c r="V16" s="25">
        <v>0</v>
      </c>
      <c r="W16" s="52" t="s">
        <v>81</v>
      </c>
      <c r="X16" s="23">
        <v>0</v>
      </c>
      <c r="Y16" s="25">
        <v>0</v>
      </c>
      <c r="Z16" s="52" t="s">
        <v>81</v>
      </c>
      <c r="AA16" s="23">
        <v>0</v>
      </c>
      <c r="AB16" s="25">
        <v>0</v>
      </c>
      <c r="AC16" s="52" t="s">
        <v>81</v>
      </c>
      <c r="AD16" s="23">
        <v>30</v>
      </c>
      <c r="AE16" s="25">
        <v>0</v>
      </c>
      <c r="AF16" s="52">
        <v>0</v>
      </c>
      <c r="AG16" s="23">
        <v>45</v>
      </c>
      <c r="AH16" s="25">
        <v>0</v>
      </c>
      <c r="AI16" s="52">
        <v>0</v>
      </c>
      <c r="AJ16" s="23">
        <v>0</v>
      </c>
      <c r="AK16" s="25">
        <v>0</v>
      </c>
      <c r="AL16" s="52" t="s">
        <v>81</v>
      </c>
      <c r="AM16" s="23">
        <v>0</v>
      </c>
      <c r="AN16" s="25">
        <v>0</v>
      </c>
      <c r="AO16" s="52" t="s">
        <v>81</v>
      </c>
      <c r="AP16" s="23">
        <v>0</v>
      </c>
      <c r="AQ16" s="25">
        <v>0</v>
      </c>
      <c r="AR16" s="52" t="s">
        <v>81</v>
      </c>
      <c r="AS16" s="23">
        <v>0</v>
      </c>
      <c r="AT16" s="25">
        <v>0</v>
      </c>
      <c r="AU16" s="52" t="s">
        <v>81</v>
      </c>
      <c r="AV16" s="23">
        <v>0</v>
      </c>
      <c r="AW16" s="25">
        <v>0</v>
      </c>
      <c r="AX16" s="52" t="s">
        <v>81</v>
      </c>
      <c r="AY16" s="23">
        <v>0</v>
      </c>
      <c r="AZ16" s="25">
        <v>0</v>
      </c>
      <c r="BA16" s="52" t="s">
        <v>81</v>
      </c>
      <c r="BB16" s="23">
        <v>0</v>
      </c>
      <c r="BC16" s="25">
        <v>0</v>
      </c>
      <c r="BD16" s="52" t="s">
        <v>81</v>
      </c>
      <c r="BE16" s="23">
        <v>41</v>
      </c>
      <c r="BF16" s="25">
        <v>0</v>
      </c>
      <c r="BG16" s="52">
        <v>0</v>
      </c>
      <c r="BH16" s="23">
        <v>4</v>
      </c>
      <c r="BI16" s="25">
        <v>0</v>
      </c>
      <c r="BJ16" s="52" t="s">
        <v>81</v>
      </c>
      <c r="BK16" s="23">
        <v>1085</v>
      </c>
      <c r="BL16" s="25">
        <v>-3</v>
      </c>
      <c r="BM16" s="52">
        <v>-2.7573529411765163E-3</v>
      </c>
      <c r="BN16" s="23">
        <v>78</v>
      </c>
      <c r="BO16" s="25">
        <v>0</v>
      </c>
      <c r="BP16" s="52">
        <v>0</v>
      </c>
      <c r="BQ16" s="23">
        <v>37</v>
      </c>
      <c r="BR16" s="25">
        <v>0</v>
      </c>
      <c r="BS16" s="52">
        <v>0</v>
      </c>
    </row>
    <row r="17" spans="2:71" s="4" customFormat="1" x14ac:dyDescent="0.25">
      <c r="B17" s="20" t="s">
        <v>32</v>
      </c>
      <c r="C17" s="21">
        <f t="shared" si="0"/>
        <v>10377</v>
      </c>
      <c r="D17" s="25">
        <f t="shared" si="0"/>
        <v>-267</v>
      </c>
      <c r="E17" s="52">
        <f t="shared" si="1"/>
        <v>-2.5084554678692195E-2</v>
      </c>
      <c r="F17" s="23">
        <v>930</v>
      </c>
      <c r="G17" s="25">
        <v>0</v>
      </c>
      <c r="H17" s="52">
        <v>0</v>
      </c>
      <c r="I17" s="23">
        <v>54</v>
      </c>
      <c r="J17" s="25">
        <v>0</v>
      </c>
      <c r="K17" s="52">
        <v>0</v>
      </c>
      <c r="L17" s="23">
        <v>84</v>
      </c>
      <c r="M17" s="25">
        <v>0</v>
      </c>
      <c r="N17" s="52">
        <v>0</v>
      </c>
      <c r="O17" s="23">
        <v>472</v>
      </c>
      <c r="P17" s="25">
        <v>0</v>
      </c>
      <c r="Q17" s="52">
        <v>0</v>
      </c>
      <c r="R17" s="23">
        <v>320</v>
      </c>
      <c r="S17" s="25">
        <v>0</v>
      </c>
      <c r="T17" s="52">
        <v>0</v>
      </c>
      <c r="U17" s="23">
        <v>0</v>
      </c>
      <c r="V17" s="25">
        <v>0</v>
      </c>
      <c r="W17" s="52" t="s">
        <v>81</v>
      </c>
      <c r="X17" s="23">
        <v>0</v>
      </c>
      <c r="Y17" s="25">
        <v>0</v>
      </c>
      <c r="Z17" s="52" t="s">
        <v>81</v>
      </c>
      <c r="AA17" s="23">
        <v>0</v>
      </c>
      <c r="AB17" s="25">
        <v>0</v>
      </c>
      <c r="AC17" s="52" t="s">
        <v>81</v>
      </c>
      <c r="AD17" s="23">
        <v>0</v>
      </c>
      <c r="AE17" s="25">
        <v>0</v>
      </c>
      <c r="AF17" s="52" t="s">
        <v>81</v>
      </c>
      <c r="AG17" s="23">
        <v>460</v>
      </c>
      <c r="AH17" s="25">
        <v>0</v>
      </c>
      <c r="AI17" s="52">
        <v>0</v>
      </c>
      <c r="AJ17" s="23">
        <v>124</v>
      </c>
      <c r="AK17" s="25">
        <v>0</v>
      </c>
      <c r="AL17" s="52">
        <v>0</v>
      </c>
      <c r="AM17" s="23">
        <v>211</v>
      </c>
      <c r="AN17" s="25">
        <v>0</v>
      </c>
      <c r="AO17" s="52">
        <v>0</v>
      </c>
      <c r="AP17" s="23">
        <v>0</v>
      </c>
      <c r="AQ17" s="25">
        <v>0</v>
      </c>
      <c r="AR17" s="52" t="s">
        <v>81</v>
      </c>
      <c r="AS17" s="23">
        <v>0</v>
      </c>
      <c r="AT17" s="25">
        <v>0</v>
      </c>
      <c r="AU17" s="52" t="s">
        <v>81</v>
      </c>
      <c r="AV17" s="23">
        <v>0</v>
      </c>
      <c r="AW17" s="25">
        <v>0</v>
      </c>
      <c r="AX17" s="52" t="s">
        <v>81</v>
      </c>
      <c r="AY17" s="23">
        <v>0</v>
      </c>
      <c r="AZ17" s="25">
        <v>0</v>
      </c>
      <c r="BA17" s="52" t="s">
        <v>81</v>
      </c>
      <c r="BB17" s="23">
        <v>0</v>
      </c>
      <c r="BC17" s="25">
        <v>0</v>
      </c>
      <c r="BD17" s="52" t="s">
        <v>81</v>
      </c>
      <c r="BE17" s="23">
        <v>119</v>
      </c>
      <c r="BF17" s="25">
        <v>0</v>
      </c>
      <c r="BG17" s="52">
        <v>0</v>
      </c>
      <c r="BH17" s="23">
        <v>6</v>
      </c>
      <c r="BI17" s="25">
        <v>0</v>
      </c>
      <c r="BJ17" s="52" t="s">
        <v>81</v>
      </c>
      <c r="BK17" s="23">
        <v>8882</v>
      </c>
      <c r="BL17" s="25">
        <v>-267</v>
      </c>
      <c r="BM17" s="52">
        <v>-2.0767296972346694E-2</v>
      </c>
      <c r="BN17" s="23">
        <v>42</v>
      </c>
      <c r="BO17" s="25">
        <v>0</v>
      </c>
      <c r="BP17" s="52">
        <v>0</v>
      </c>
      <c r="BQ17" s="23">
        <v>63</v>
      </c>
      <c r="BR17" s="25">
        <v>0</v>
      </c>
      <c r="BS17" s="52">
        <v>0</v>
      </c>
    </row>
    <row r="18" spans="2:71" s="4" customFormat="1" x14ac:dyDescent="0.25">
      <c r="B18" s="20" t="s">
        <v>33</v>
      </c>
      <c r="C18" s="21">
        <f t="shared" si="0"/>
        <v>475</v>
      </c>
      <c r="D18" s="25">
        <f t="shared" si="0"/>
        <v>0</v>
      </c>
      <c r="E18" s="52">
        <f t="shared" si="1"/>
        <v>0</v>
      </c>
      <c r="F18" s="23">
        <v>0</v>
      </c>
      <c r="G18" s="25">
        <v>0</v>
      </c>
      <c r="H18" s="52" t="s">
        <v>81</v>
      </c>
      <c r="I18" s="23">
        <v>0</v>
      </c>
      <c r="J18" s="25">
        <v>0</v>
      </c>
      <c r="K18" s="52" t="s">
        <v>81</v>
      </c>
      <c r="L18" s="23">
        <v>0</v>
      </c>
      <c r="M18" s="25">
        <v>0</v>
      </c>
      <c r="N18" s="52" t="s">
        <v>81</v>
      </c>
      <c r="O18" s="23">
        <v>0</v>
      </c>
      <c r="P18" s="25">
        <v>0</v>
      </c>
      <c r="Q18" s="52" t="s">
        <v>81</v>
      </c>
      <c r="R18" s="23">
        <v>0</v>
      </c>
      <c r="S18" s="25">
        <v>0</v>
      </c>
      <c r="T18" s="52" t="s">
        <v>81</v>
      </c>
      <c r="U18" s="23">
        <v>0</v>
      </c>
      <c r="V18" s="25">
        <v>0</v>
      </c>
      <c r="W18" s="52" t="s">
        <v>81</v>
      </c>
      <c r="X18" s="23">
        <v>0</v>
      </c>
      <c r="Y18" s="25">
        <v>0</v>
      </c>
      <c r="Z18" s="52" t="s">
        <v>81</v>
      </c>
      <c r="AA18" s="23">
        <v>0</v>
      </c>
      <c r="AB18" s="25">
        <v>0</v>
      </c>
      <c r="AC18" s="52" t="s">
        <v>81</v>
      </c>
      <c r="AD18" s="23">
        <v>0</v>
      </c>
      <c r="AE18" s="25">
        <v>0</v>
      </c>
      <c r="AF18" s="52" t="s">
        <v>81</v>
      </c>
      <c r="AG18" s="23">
        <v>0</v>
      </c>
      <c r="AH18" s="25">
        <v>0</v>
      </c>
      <c r="AI18" s="52" t="s">
        <v>81</v>
      </c>
      <c r="AJ18" s="23">
        <v>0</v>
      </c>
      <c r="AK18" s="25">
        <v>0</v>
      </c>
      <c r="AL18" s="52" t="s">
        <v>81</v>
      </c>
      <c r="AM18" s="23">
        <v>0</v>
      </c>
      <c r="AN18" s="25">
        <v>0</v>
      </c>
      <c r="AO18" s="52" t="s">
        <v>81</v>
      </c>
      <c r="AP18" s="23">
        <v>0</v>
      </c>
      <c r="AQ18" s="25">
        <v>0</v>
      </c>
      <c r="AR18" s="52" t="s">
        <v>81</v>
      </c>
      <c r="AS18" s="23">
        <v>0</v>
      </c>
      <c r="AT18" s="25">
        <v>0</v>
      </c>
      <c r="AU18" s="52" t="s">
        <v>81</v>
      </c>
      <c r="AV18" s="23">
        <v>0</v>
      </c>
      <c r="AW18" s="25">
        <v>0</v>
      </c>
      <c r="AX18" s="52" t="s">
        <v>81</v>
      </c>
      <c r="AY18" s="23">
        <v>0</v>
      </c>
      <c r="AZ18" s="25">
        <v>0</v>
      </c>
      <c r="BA18" s="52" t="s">
        <v>81</v>
      </c>
      <c r="BB18" s="23">
        <v>0</v>
      </c>
      <c r="BC18" s="25">
        <v>0</v>
      </c>
      <c r="BD18" s="52" t="s">
        <v>81</v>
      </c>
      <c r="BE18" s="23">
        <v>0</v>
      </c>
      <c r="BF18" s="25">
        <v>0</v>
      </c>
      <c r="BG18" s="52" t="s">
        <v>81</v>
      </c>
      <c r="BH18" s="23">
        <v>0</v>
      </c>
      <c r="BI18" s="25">
        <v>0</v>
      </c>
      <c r="BJ18" s="52" t="s">
        <v>81</v>
      </c>
      <c r="BK18" s="23">
        <v>471</v>
      </c>
      <c r="BL18" s="25">
        <v>0</v>
      </c>
      <c r="BM18" s="52">
        <v>0</v>
      </c>
      <c r="BN18" s="23">
        <v>0</v>
      </c>
      <c r="BO18" s="25">
        <v>0</v>
      </c>
      <c r="BP18" s="52" t="s">
        <v>81</v>
      </c>
      <c r="BQ18" s="23">
        <v>4</v>
      </c>
      <c r="BR18" s="25">
        <v>0</v>
      </c>
      <c r="BS18" s="52">
        <v>0</v>
      </c>
    </row>
    <row r="19" spans="2:71" s="4" customFormat="1" x14ac:dyDescent="0.25">
      <c r="B19" s="20" t="s">
        <v>34</v>
      </c>
      <c r="C19" s="21">
        <f t="shared" si="0"/>
        <v>7323</v>
      </c>
      <c r="D19" s="25">
        <f t="shared" si="0"/>
        <v>-655</v>
      </c>
      <c r="E19" s="52">
        <f t="shared" si="1"/>
        <v>-8.2100777137127046E-2</v>
      </c>
      <c r="F19" s="23">
        <v>2542</v>
      </c>
      <c r="G19" s="25">
        <v>-635</v>
      </c>
      <c r="H19" s="52">
        <v>-0.19987409505823106</v>
      </c>
      <c r="I19" s="23">
        <v>81</v>
      </c>
      <c r="J19" s="25">
        <v>0</v>
      </c>
      <c r="K19" s="52">
        <v>0</v>
      </c>
      <c r="L19" s="23">
        <v>6</v>
      </c>
      <c r="M19" s="25">
        <v>0</v>
      </c>
      <c r="N19" s="52">
        <v>0</v>
      </c>
      <c r="O19" s="23">
        <v>286</v>
      </c>
      <c r="P19" s="25">
        <v>0</v>
      </c>
      <c r="Q19" s="52">
        <v>0</v>
      </c>
      <c r="R19" s="23">
        <v>0</v>
      </c>
      <c r="S19" s="25">
        <v>-624</v>
      </c>
      <c r="T19" s="52">
        <v>-1</v>
      </c>
      <c r="U19" s="23">
        <v>0</v>
      </c>
      <c r="V19" s="25">
        <v>0</v>
      </c>
      <c r="W19" s="52" t="s">
        <v>81</v>
      </c>
      <c r="X19" s="23">
        <v>1218</v>
      </c>
      <c r="Y19" s="25">
        <v>0</v>
      </c>
      <c r="Z19" s="52">
        <v>0</v>
      </c>
      <c r="AA19" s="23">
        <v>951</v>
      </c>
      <c r="AB19" s="25">
        <v>-11</v>
      </c>
      <c r="AC19" s="52">
        <v>-1.1434511434511463E-2</v>
      </c>
      <c r="AD19" s="23">
        <v>0</v>
      </c>
      <c r="AE19" s="25">
        <v>0</v>
      </c>
      <c r="AF19" s="52" t="s">
        <v>81</v>
      </c>
      <c r="AG19" s="23">
        <v>700</v>
      </c>
      <c r="AH19" s="25">
        <v>0</v>
      </c>
      <c r="AI19" s="52">
        <v>0</v>
      </c>
      <c r="AJ19" s="23">
        <v>0</v>
      </c>
      <c r="AK19" s="25">
        <v>0</v>
      </c>
      <c r="AL19" s="52" t="s">
        <v>81</v>
      </c>
      <c r="AM19" s="23">
        <v>0</v>
      </c>
      <c r="AN19" s="25">
        <v>0</v>
      </c>
      <c r="AO19" s="52" t="s">
        <v>81</v>
      </c>
      <c r="AP19" s="23">
        <v>0</v>
      </c>
      <c r="AQ19" s="25">
        <v>0</v>
      </c>
      <c r="AR19" s="52" t="s">
        <v>81</v>
      </c>
      <c r="AS19" s="23">
        <v>0</v>
      </c>
      <c r="AT19" s="25">
        <v>0</v>
      </c>
      <c r="AU19" s="52" t="s">
        <v>81</v>
      </c>
      <c r="AV19" s="23">
        <v>0</v>
      </c>
      <c r="AW19" s="25">
        <v>0</v>
      </c>
      <c r="AX19" s="52" t="s">
        <v>81</v>
      </c>
      <c r="AY19" s="23">
        <v>0</v>
      </c>
      <c r="AZ19" s="25">
        <v>0</v>
      </c>
      <c r="BA19" s="52" t="s">
        <v>81</v>
      </c>
      <c r="BB19" s="23">
        <v>700</v>
      </c>
      <c r="BC19" s="25">
        <v>0</v>
      </c>
      <c r="BD19" s="52">
        <v>0</v>
      </c>
      <c r="BE19" s="23">
        <v>0</v>
      </c>
      <c r="BF19" s="25">
        <v>0</v>
      </c>
      <c r="BG19" s="52" t="s">
        <v>81</v>
      </c>
      <c r="BH19" s="23">
        <v>0</v>
      </c>
      <c r="BI19" s="25">
        <v>0</v>
      </c>
      <c r="BJ19" s="52" t="s">
        <v>81</v>
      </c>
      <c r="BK19" s="23">
        <v>4007</v>
      </c>
      <c r="BL19" s="25">
        <v>-20</v>
      </c>
      <c r="BM19" s="52">
        <v>-3.7248572138067759E-3</v>
      </c>
      <c r="BN19" s="23">
        <v>15</v>
      </c>
      <c r="BO19" s="25">
        <v>0</v>
      </c>
      <c r="BP19" s="52">
        <v>0</v>
      </c>
      <c r="BQ19" s="23">
        <v>59</v>
      </c>
      <c r="BR19" s="25">
        <v>0</v>
      </c>
      <c r="BS19" s="52">
        <v>0</v>
      </c>
    </row>
    <row r="20" spans="2:71" s="4" customFormat="1" x14ac:dyDescent="0.25">
      <c r="B20" s="20" t="s">
        <v>35</v>
      </c>
      <c r="C20" s="21">
        <f t="shared" si="0"/>
        <v>2281</v>
      </c>
      <c r="D20" s="25">
        <f t="shared" si="0"/>
        <v>-32</v>
      </c>
      <c r="E20" s="52">
        <f t="shared" si="1"/>
        <v>-1.3834846519671373E-2</v>
      </c>
      <c r="F20" s="23">
        <v>8</v>
      </c>
      <c r="G20" s="25">
        <v>0</v>
      </c>
      <c r="H20" s="52">
        <v>0</v>
      </c>
      <c r="I20" s="23">
        <v>0</v>
      </c>
      <c r="J20" s="25">
        <v>0</v>
      </c>
      <c r="K20" s="52" t="s">
        <v>81</v>
      </c>
      <c r="L20" s="23">
        <v>0</v>
      </c>
      <c r="M20" s="25">
        <v>0</v>
      </c>
      <c r="N20" s="52" t="s">
        <v>81</v>
      </c>
      <c r="O20" s="23">
        <v>0</v>
      </c>
      <c r="P20" s="25">
        <v>0</v>
      </c>
      <c r="Q20" s="52" t="s">
        <v>81</v>
      </c>
      <c r="R20" s="23">
        <v>0</v>
      </c>
      <c r="S20" s="25">
        <v>0</v>
      </c>
      <c r="T20" s="52" t="s">
        <v>81</v>
      </c>
      <c r="U20" s="23">
        <v>0</v>
      </c>
      <c r="V20" s="25">
        <v>0</v>
      </c>
      <c r="W20" s="52" t="s">
        <v>81</v>
      </c>
      <c r="X20" s="23">
        <v>0</v>
      </c>
      <c r="Y20" s="25">
        <v>0</v>
      </c>
      <c r="Z20" s="52" t="s">
        <v>81</v>
      </c>
      <c r="AA20" s="23">
        <v>0</v>
      </c>
      <c r="AB20" s="25">
        <v>0</v>
      </c>
      <c r="AC20" s="52" t="s">
        <v>81</v>
      </c>
      <c r="AD20" s="23">
        <v>8</v>
      </c>
      <c r="AE20" s="25">
        <v>0</v>
      </c>
      <c r="AF20" s="52">
        <v>0</v>
      </c>
      <c r="AG20" s="23">
        <v>8</v>
      </c>
      <c r="AH20" s="25">
        <v>0</v>
      </c>
      <c r="AI20" s="52">
        <v>0</v>
      </c>
      <c r="AJ20" s="23">
        <v>0</v>
      </c>
      <c r="AK20" s="25">
        <v>0</v>
      </c>
      <c r="AL20" s="52" t="s">
        <v>81</v>
      </c>
      <c r="AM20" s="23">
        <v>0</v>
      </c>
      <c r="AN20" s="25">
        <v>0</v>
      </c>
      <c r="AO20" s="52" t="s">
        <v>81</v>
      </c>
      <c r="AP20" s="23">
        <v>0</v>
      </c>
      <c r="AQ20" s="25">
        <v>0</v>
      </c>
      <c r="AR20" s="52" t="s">
        <v>81</v>
      </c>
      <c r="AS20" s="23">
        <v>0</v>
      </c>
      <c r="AT20" s="25">
        <v>0</v>
      </c>
      <c r="AU20" s="52" t="s">
        <v>81</v>
      </c>
      <c r="AV20" s="23">
        <v>0</v>
      </c>
      <c r="AW20" s="25">
        <v>0</v>
      </c>
      <c r="AX20" s="52" t="s">
        <v>81</v>
      </c>
      <c r="AY20" s="23">
        <v>0</v>
      </c>
      <c r="AZ20" s="25">
        <v>0</v>
      </c>
      <c r="BA20" s="52" t="s">
        <v>81</v>
      </c>
      <c r="BB20" s="23">
        <v>0</v>
      </c>
      <c r="BC20" s="25">
        <v>0</v>
      </c>
      <c r="BD20" s="52" t="s">
        <v>81</v>
      </c>
      <c r="BE20" s="23">
        <v>8</v>
      </c>
      <c r="BF20" s="25">
        <v>0</v>
      </c>
      <c r="BG20" s="52">
        <v>0</v>
      </c>
      <c r="BH20" s="23">
        <v>0</v>
      </c>
      <c r="BI20" s="25">
        <v>0</v>
      </c>
      <c r="BJ20" s="52" t="s">
        <v>81</v>
      </c>
      <c r="BK20" s="23">
        <v>2157</v>
      </c>
      <c r="BL20" s="25">
        <v>-32</v>
      </c>
      <c r="BM20" s="52">
        <v>-1.4618547281863847E-2</v>
      </c>
      <c r="BN20" s="23">
        <v>81</v>
      </c>
      <c r="BO20" s="25">
        <v>0</v>
      </c>
      <c r="BP20" s="52">
        <v>0</v>
      </c>
      <c r="BQ20" s="23">
        <v>27</v>
      </c>
      <c r="BR20" s="25">
        <v>0</v>
      </c>
      <c r="BS20" s="52">
        <v>0</v>
      </c>
    </row>
    <row r="21" spans="2:71" s="4" customFormat="1" x14ac:dyDescent="0.25">
      <c r="B21" s="20" t="s">
        <v>36</v>
      </c>
      <c r="C21" s="21">
        <f t="shared" si="0"/>
        <v>3716</v>
      </c>
      <c r="D21" s="25">
        <f t="shared" si="0"/>
        <v>-2</v>
      </c>
      <c r="E21" s="52">
        <f t="shared" si="1"/>
        <v>-5.379236148467248E-4</v>
      </c>
      <c r="F21" s="23">
        <v>36</v>
      </c>
      <c r="G21" s="25">
        <v>0</v>
      </c>
      <c r="H21" s="52">
        <v>0</v>
      </c>
      <c r="I21" s="23">
        <v>0</v>
      </c>
      <c r="J21" s="25">
        <v>0</v>
      </c>
      <c r="K21" s="52" t="s">
        <v>81</v>
      </c>
      <c r="L21" s="23">
        <v>0</v>
      </c>
      <c r="M21" s="25">
        <v>0</v>
      </c>
      <c r="N21" s="52" t="s">
        <v>81</v>
      </c>
      <c r="O21" s="23">
        <v>8</v>
      </c>
      <c r="P21" s="25">
        <v>0</v>
      </c>
      <c r="Q21" s="52">
        <v>0</v>
      </c>
      <c r="R21" s="23">
        <v>0</v>
      </c>
      <c r="S21" s="25">
        <v>0</v>
      </c>
      <c r="T21" s="52" t="s">
        <v>81</v>
      </c>
      <c r="U21" s="23">
        <v>0</v>
      </c>
      <c r="V21" s="25">
        <v>0</v>
      </c>
      <c r="W21" s="52" t="s">
        <v>81</v>
      </c>
      <c r="X21" s="23">
        <v>0</v>
      </c>
      <c r="Y21" s="25">
        <v>0</v>
      </c>
      <c r="Z21" s="52" t="s">
        <v>81</v>
      </c>
      <c r="AA21" s="23">
        <v>0</v>
      </c>
      <c r="AB21" s="25">
        <v>0</v>
      </c>
      <c r="AC21" s="52" t="s">
        <v>81</v>
      </c>
      <c r="AD21" s="23">
        <v>28</v>
      </c>
      <c r="AE21" s="25">
        <v>0</v>
      </c>
      <c r="AF21" s="52">
        <v>0</v>
      </c>
      <c r="AG21" s="23">
        <v>19</v>
      </c>
      <c r="AH21" s="25">
        <v>0</v>
      </c>
      <c r="AI21" s="52">
        <v>0</v>
      </c>
      <c r="AJ21" s="23">
        <v>0</v>
      </c>
      <c r="AK21" s="25">
        <v>0</v>
      </c>
      <c r="AL21" s="52" t="s">
        <v>81</v>
      </c>
      <c r="AM21" s="23">
        <v>0</v>
      </c>
      <c r="AN21" s="25">
        <v>0</v>
      </c>
      <c r="AO21" s="52" t="s">
        <v>81</v>
      </c>
      <c r="AP21" s="23">
        <v>0</v>
      </c>
      <c r="AQ21" s="25">
        <v>0</v>
      </c>
      <c r="AR21" s="52" t="s">
        <v>81</v>
      </c>
      <c r="AS21" s="23">
        <v>0</v>
      </c>
      <c r="AT21" s="25">
        <v>0</v>
      </c>
      <c r="AU21" s="52" t="s">
        <v>81</v>
      </c>
      <c r="AV21" s="23">
        <v>0</v>
      </c>
      <c r="AW21" s="25">
        <v>0</v>
      </c>
      <c r="AX21" s="52" t="s">
        <v>81</v>
      </c>
      <c r="AY21" s="23">
        <v>0</v>
      </c>
      <c r="AZ21" s="25">
        <v>0</v>
      </c>
      <c r="BA21" s="52" t="s">
        <v>81</v>
      </c>
      <c r="BB21" s="23">
        <v>0</v>
      </c>
      <c r="BC21" s="25">
        <v>0</v>
      </c>
      <c r="BD21" s="52" t="s">
        <v>81</v>
      </c>
      <c r="BE21" s="23">
        <v>19</v>
      </c>
      <c r="BF21" s="25">
        <v>0</v>
      </c>
      <c r="BG21" s="52">
        <v>0</v>
      </c>
      <c r="BH21" s="23">
        <v>0</v>
      </c>
      <c r="BI21" s="25">
        <v>0</v>
      </c>
      <c r="BJ21" s="52" t="s">
        <v>81</v>
      </c>
      <c r="BK21" s="23">
        <v>3539</v>
      </c>
      <c r="BL21" s="25">
        <v>-2</v>
      </c>
      <c r="BM21" s="52">
        <v>-7.0601524992940368E-3</v>
      </c>
      <c r="BN21" s="23">
        <v>0</v>
      </c>
      <c r="BO21" s="25">
        <v>0</v>
      </c>
      <c r="BP21" s="52" t="s">
        <v>81</v>
      </c>
      <c r="BQ21" s="23">
        <v>122</v>
      </c>
      <c r="BR21" s="25">
        <v>0</v>
      </c>
      <c r="BS21" s="52">
        <v>0</v>
      </c>
    </row>
    <row r="22" spans="2:71" s="4" customFormat="1" x14ac:dyDescent="0.25">
      <c r="B22" s="20" t="s">
        <v>37</v>
      </c>
      <c r="C22" s="21">
        <f t="shared" si="0"/>
        <v>6434</v>
      </c>
      <c r="D22" s="25">
        <f t="shared" si="0"/>
        <v>-149</v>
      </c>
      <c r="E22" s="52">
        <f t="shared" si="1"/>
        <v>-2.263405742062885E-2</v>
      </c>
      <c r="F22" s="23">
        <v>1166</v>
      </c>
      <c r="G22" s="25">
        <v>-30</v>
      </c>
      <c r="H22" s="52">
        <v>-2.5083612040133763E-2</v>
      </c>
      <c r="I22" s="23">
        <v>164</v>
      </c>
      <c r="J22" s="25">
        <v>0</v>
      </c>
      <c r="K22" s="52">
        <v>0</v>
      </c>
      <c r="L22" s="23">
        <v>46</v>
      </c>
      <c r="M22" s="25">
        <v>0</v>
      </c>
      <c r="N22" s="52">
        <v>0</v>
      </c>
      <c r="O22" s="23">
        <v>322</v>
      </c>
      <c r="P22" s="25">
        <v>0</v>
      </c>
      <c r="Q22" s="52">
        <v>0</v>
      </c>
      <c r="R22" s="23">
        <v>612</v>
      </c>
      <c r="S22" s="25">
        <v>0</v>
      </c>
      <c r="T22" s="52">
        <v>0</v>
      </c>
      <c r="U22" s="23">
        <v>0</v>
      </c>
      <c r="V22" s="25">
        <v>0</v>
      </c>
      <c r="W22" s="52" t="s">
        <v>81</v>
      </c>
      <c r="X22" s="23">
        <v>0</v>
      </c>
      <c r="Y22" s="25">
        <v>0</v>
      </c>
      <c r="Z22" s="52" t="s">
        <v>81</v>
      </c>
      <c r="AA22" s="23">
        <v>0</v>
      </c>
      <c r="AB22" s="25">
        <v>0</v>
      </c>
      <c r="AC22" s="52" t="s">
        <v>81</v>
      </c>
      <c r="AD22" s="23">
        <v>10</v>
      </c>
      <c r="AE22" s="25">
        <v>0</v>
      </c>
      <c r="AF22" s="52">
        <v>0</v>
      </c>
      <c r="AG22" s="23">
        <v>259</v>
      </c>
      <c r="AH22" s="25">
        <v>-8</v>
      </c>
      <c r="AI22" s="52">
        <v>-2.9962546816479363E-2</v>
      </c>
      <c r="AJ22" s="23">
        <v>197</v>
      </c>
      <c r="AK22" s="25">
        <v>0</v>
      </c>
      <c r="AL22" s="52">
        <v>0</v>
      </c>
      <c r="AM22" s="23">
        <v>0</v>
      </c>
      <c r="AN22" s="25">
        <v>0</v>
      </c>
      <c r="AO22" s="52" t="s">
        <v>81</v>
      </c>
      <c r="AP22" s="23">
        <v>0</v>
      </c>
      <c r="AQ22" s="25">
        <v>0</v>
      </c>
      <c r="AR22" s="52" t="s">
        <v>81</v>
      </c>
      <c r="AS22" s="23">
        <v>0</v>
      </c>
      <c r="AT22" s="25">
        <v>0</v>
      </c>
      <c r="AU22" s="52" t="s">
        <v>81</v>
      </c>
      <c r="AV22" s="23">
        <v>0</v>
      </c>
      <c r="AW22" s="25">
        <v>0</v>
      </c>
      <c r="AX22" s="52" t="s">
        <v>81</v>
      </c>
      <c r="AY22" s="23">
        <v>0</v>
      </c>
      <c r="AZ22" s="25">
        <v>0</v>
      </c>
      <c r="BA22" s="52" t="s">
        <v>81</v>
      </c>
      <c r="BB22" s="23">
        <v>0</v>
      </c>
      <c r="BC22" s="25">
        <v>0</v>
      </c>
      <c r="BD22" s="52" t="s">
        <v>81</v>
      </c>
      <c r="BE22" s="23">
        <v>56</v>
      </c>
      <c r="BF22" s="25">
        <v>-8</v>
      </c>
      <c r="BG22" s="52">
        <v>-0.125</v>
      </c>
      <c r="BH22" s="23">
        <v>6</v>
      </c>
      <c r="BI22" s="25">
        <v>0</v>
      </c>
      <c r="BJ22" s="52" t="s">
        <v>81</v>
      </c>
      <c r="BK22" s="23">
        <v>4905</v>
      </c>
      <c r="BL22" s="25">
        <v>-111</v>
      </c>
      <c r="BM22" s="52">
        <v>-1.2161084529505595E-2</v>
      </c>
      <c r="BN22" s="23">
        <v>22</v>
      </c>
      <c r="BO22" s="25">
        <v>0</v>
      </c>
      <c r="BP22" s="52">
        <v>0</v>
      </c>
      <c r="BQ22" s="23">
        <v>82</v>
      </c>
      <c r="BR22" s="25">
        <v>0</v>
      </c>
      <c r="BS22" s="52">
        <v>0</v>
      </c>
    </row>
    <row r="23" spans="2:71" s="4" customFormat="1" x14ac:dyDescent="0.25">
      <c r="B23" s="20" t="s">
        <v>38</v>
      </c>
      <c r="C23" s="21">
        <f t="shared" si="0"/>
        <v>1002</v>
      </c>
      <c r="D23" s="25">
        <f t="shared" si="0"/>
        <v>-30</v>
      </c>
      <c r="E23" s="52">
        <f t="shared" si="1"/>
        <v>-2.9069767441860517E-2</v>
      </c>
      <c r="F23" s="23">
        <v>0</v>
      </c>
      <c r="G23" s="25">
        <v>0</v>
      </c>
      <c r="H23" s="52" t="s">
        <v>81</v>
      </c>
      <c r="I23" s="23">
        <v>0</v>
      </c>
      <c r="J23" s="25">
        <v>0</v>
      </c>
      <c r="K23" s="52" t="s">
        <v>81</v>
      </c>
      <c r="L23" s="23">
        <v>0</v>
      </c>
      <c r="M23" s="25">
        <v>0</v>
      </c>
      <c r="N23" s="52" t="s">
        <v>81</v>
      </c>
      <c r="O23" s="23">
        <v>0</v>
      </c>
      <c r="P23" s="25">
        <v>0</v>
      </c>
      <c r="Q23" s="52" t="s">
        <v>81</v>
      </c>
      <c r="R23" s="23">
        <v>0</v>
      </c>
      <c r="S23" s="25">
        <v>0</v>
      </c>
      <c r="T23" s="52" t="s">
        <v>81</v>
      </c>
      <c r="U23" s="23">
        <v>0</v>
      </c>
      <c r="V23" s="25">
        <v>0</v>
      </c>
      <c r="W23" s="52" t="s">
        <v>81</v>
      </c>
      <c r="X23" s="23">
        <v>0</v>
      </c>
      <c r="Y23" s="25">
        <v>0</v>
      </c>
      <c r="Z23" s="52" t="s">
        <v>81</v>
      </c>
      <c r="AA23" s="23">
        <v>0</v>
      </c>
      <c r="AB23" s="25">
        <v>0</v>
      </c>
      <c r="AC23" s="52" t="s">
        <v>81</v>
      </c>
      <c r="AD23" s="23">
        <v>0</v>
      </c>
      <c r="AE23" s="25">
        <v>0</v>
      </c>
      <c r="AF23" s="52" t="s">
        <v>81</v>
      </c>
      <c r="AG23" s="23">
        <v>0</v>
      </c>
      <c r="AH23" s="25">
        <v>0</v>
      </c>
      <c r="AI23" s="52" t="s">
        <v>81</v>
      </c>
      <c r="AJ23" s="23">
        <v>0</v>
      </c>
      <c r="AK23" s="25">
        <v>0</v>
      </c>
      <c r="AL23" s="52" t="s">
        <v>81</v>
      </c>
      <c r="AM23" s="23">
        <v>0</v>
      </c>
      <c r="AN23" s="25">
        <v>0</v>
      </c>
      <c r="AO23" s="52" t="s">
        <v>81</v>
      </c>
      <c r="AP23" s="23">
        <v>0</v>
      </c>
      <c r="AQ23" s="25">
        <v>0</v>
      </c>
      <c r="AR23" s="52" t="s">
        <v>81</v>
      </c>
      <c r="AS23" s="23">
        <v>0</v>
      </c>
      <c r="AT23" s="25">
        <v>0</v>
      </c>
      <c r="AU23" s="52" t="s">
        <v>81</v>
      </c>
      <c r="AV23" s="23">
        <v>0</v>
      </c>
      <c r="AW23" s="25">
        <v>0</v>
      </c>
      <c r="AX23" s="52" t="s">
        <v>81</v>
      </c>
      <c r="AY23" s="23">
        <v>0</v>
      </c>
      <c r="AZ23" s="25">
        <v>0</v>
      </c>
      <c r="BA23" s="52" t="s">
        <v>81</v>
      </c>
      <c r="BB23" s="23">
        <v>0</v>
      </c>
      <c r="BC23" s="25">
        <v>0</v>
      </c>
      <c r="BD23" s="52" t="s">
        <v>81</v>
      </c>
      <c r="BE23" s="23">
        <v>0</v>
      </c>
      <c r="BF23" s="25">
        <v>0</v>
      </c>
      <c r="BG23" s="52" t="s">
        <v>81</v>
      </c>
      <c r="BH23" s="23">
        <v>0</v>
      </c>
      <c r="BI23" s="25">
        <v>0</v>
      </c>
      <c r="BJ23" s="52" t="s">
        <v>81</v>
      </c>
      <c r="BK23" s="23">
        <v>976</v>
      </c>
      <c r="BL23" s="25">
        <v>-30</v>
      </c>
      <c r="BM23" s="52">
        <v>-2.4850894632206799E-2</v>
      </c>
      <c r="BN23" s="23">
        <v>0</v>
      </c>
      <c r="BO23" s="25">
        <v>0</v>
      </c>
      <c r="BP23" s="52" t="s">
        <v>81</v>
      </c>
      <c r="BQ23" s="23">
        <v>26</v>
      </c>
      <c r="BR23" s="25">
        <v>0</v>
      </c>
      <c r="BS23" s="52">
        <v>0</v>
      </c>
    </row>
    <row r="24" spans="2:71" s="4" customFormat="1" x14ac:dyDescent="0.25">
      <c r="B24" s="20" t="s">
        <v>39</v>
      </c>
      <c r="C24" s="21">
        <f t="shared" si="0"/>
        <v>2399</v>
      </c>
      <c r="D24" s="25">
        <f t="shared" si="0"/>
        <v>-46</v>
      </c>
      <c r="E24" s="52">
        <f t="shared" si="1"/>
        <v>-1.8813905930470387E-2</v>
      </c>
      <c r="F24" s="23">
        <v>111</v>
      </c>
      <c r="G24" s="25">
        <v>0</v>
      </c>
      <c r="H24" s="52">
        <v>0</v>
      </c>
      <c r="I24" s="23">
        <v>8</v>
      </c>
      <c r="J24" s="25">
        <v>0</v>
      </c>
      <c r="K24" s="52">
        <v>0</v>
      </c>
      <c r="L24" s="23">
        <v>15</v>
      </c>
      <c r="M24" s="25">
        <v>0</v>
      </c>
      <c r="N24" s="52">
        <v>0</v>
      </c>
      <c r="O24" s="23">
        <v>74</v>
      </c>
      <c r="P24" s="25">
        <v>0</v>
      </c>
      <c r="Q24" s="52">
        <v>0</v>
      </c>
      <c r="R24" s="23">
        <v>0</v>
      </c>
      <c r="S24" s="25">
        <v>0</v>
      </c>
      <c r="T24" s="52" t="s">
        <v>81</v>
      </c>
      <c r="U24" s="23">
        <v>0</v>
      </c>
      <c r="V24" s="25">
        <v>0</v>
      </c>
      <c r="W24" s="52" t="s">
        <v>81</v>
      </c>
      <c r="X24" s="23">
        <v>0</v>
      </c>
      <c r="Y24" s="25">
        <v>0</v>
      </c>
      <c r="Z24" s="52" t="s">
        <v>81</v>
      </c>
      <c r="AA24" s="23">
        <v>0</v>
      </c>
      <c r="AB24" s="25">
        <v>0</v>
      </c>
      <c r="AC24" s="52" t="s">
        <v>81</v>
      </c>
      <c r="AD24" s="23">
        <v>14</v>
      </c>
      <c r="AE24" s="25">
        <v>0</v>
      </c>
      <c r="AF24" s="52">
        <v>0</v>
      </c>
      <c r="AG24" s="23">
        <v>48</v>
      </c>
      <c r="AH24" s="25">
        <v>0</v>
      </c>
      <c r="AI24" s="52">
        <v>0</v>
      </c>
      <c r="AJ24" s="23">
        <v>30</v>
      </c>
      <c r="AK24" s="25">
        <v>0</v>
      </c>
      <c r="AL24" s="52">
        <v>0</v>
      </c>
      <c r="AM24" s="23">
        <v>0</v>
      </c>
      <c r="AN24" s="25">
        <v>0</v>
      </c>
      <c r="AO24" s="52" t="s">
        <v>81</v>
      </c>
      <c r="AP24" s="23">
        <v>0</v>
      </c>
      <c r="AQ24" s="25">
        <v>0</v>
      </c>
      <c r="AR24" s="52" t="s">
        <v>81</v>
      </c>
      <c r="AS24" s="23">
        <v>0</v>
      </c>
      <c r="AT24" s="25">
        <v>0</v>
      </c>
      <c r="AU24" s="52" t="s">
        <v>81</v>
      </c>
      <c r="AV24" s="23">
        <v>0</v>
      </c>
      <c r="AW24" s="25">
        <v>0</v>
      </c>
      <c r="AX24" s="52" t="s">
        <v>81</v>
      </c>
      <c r="AY24" s="23">
        <v>0</v>
      </c>
      <c r="AZ24" s="25">
        <v>0</v>
      </c>
      <c r="BA24" s="52" t="s">
        <v>81</v>
      </c>
      <c r="BB24" s="23">
        <v>0</v>
      </c>
      <c r="BC24" s="25">
        <v>0</v>
      </c>
      <c r="BD24" s="52" t="s">
        <v>81</v>
      </c>
      <c r="BE24" s="23">
        <v>14</v>
      </c>
      <c r="BF24" s="25">
        <v>0</v>
      </c>
      <c r="BG24" s="52">
        <v>0</v>
      </c>
      <c r="BH24" s="23">
        <v>4</v>
      </c>
      <c r="BI24" s="25">
        <v>0</v>
      </c>
      <c r="BJ24" s="52" t="s">
        <v>81</v>
      </c>
      <c r="BK24" s="23">
        <v>2146</v>
      </c>
      <c r="BL24" s="25">
        <v>-46</v>
      </c>
      <c r="BM24" s="52">
        <v>-1.3229927007299302E-2</v>
      </c>
      <c r="BN24" s="23">
        <v>28</v>
      </c>
      <c r="BO24" s="25">
        <v>0</v>
      </c>
      <c r="BP24" s="52">
        <v>0</v>
      </c>
      <c r="BQ24" s="23">
        <v>66</v>
      </c>
      <c r="BR24" s="25">
        <v>0</v>
      </c>
      <c r="BS24" s="52">
        <v>0</v>
      </c>
    </row>
    <row r="25" spans="2:71" s="4" customFormat="1" x14ac:dyDescent="0.25">
      <c r="B25" s="20" t="s">
        <v>40</v>
      </c>
      <c r="C25" s="21">
        <f t="shared" si="0"/>
        <v>28797</v>
      </c>
      <c r="D25" s="25">
        <f t="shared" si="0"/>
        <v>230</v>
      </c>
      <c r="E25" s="52">
        <f t="shared" si="1"/>
        <v>8.0512479434311501E-3</v>
      </c>
      <c r="F25" s="23">
        <v>17295</v>
      </c>
      <c r="G25" s="25">
        <v>0</v>
      </c>
      <c r="H25" s="52">
        <v>0</v>
      </c>
      <c r="I25" s="23">
        <v>131</v>
      </c>
      <c r="J25" s="25">
        <v>0</v>
      </c>
      <c r="K25" s="52">
        <v>0</v>
      </c>
      <c r="L25" s="23">
        <v>317</v>
      </c>
      <c r="M25" s="25">
        <v>0</v>
      </c>
      <c r="N25" s="52">
        <v>0</v>
      </c>
      <c r="O25" s="23">
        <v>2530</v>
      </c>
      <c r="P25" s="25">
        <v>0</v>
      </c>
      <c r="Q25" s="52">
        <v>0</v>
      </c>
      <c r="R25" s="23">
        <v>12977</v>
      </c>
      <c r="S25" s="25">
        <v>0</v>
      </c>
      <c r="T25" s="52">
        <v>0</v>
      </c>
      <c r="U25" s="23">
        <v>798</v>
      </c>
      <c r="V25" s="25">
        <v>0</v>
      </c>
      <c r="W25" s="52">
        <v>0</v>
      </c>
      <c r="X25" s="23">
        <v>542</v>
      </c>
      <c r="Y25" s="25">
        <v>0</v>
      </c>
      <c r="Z25" s="52">
        <v>0</v>
      </c>
      <c r="AA25" s="23">
        <v>0</v>
      </c>
      <c r="AB25" s="25">
        <v>0</v>
      </c>
      <c r="AC25" s="52" t="s">
        <v>81</v>
      </c>
      <c r="AD25" s="23">
        <v>0</v>
      </c>
      <c r="AE25" s="25">
        <v>0</v>
      </c>
      <c r="AF25" s="52" t="s">
        <v>81</v>
      </c>
      <c r="AG25" s="23">
        <v>4278</v>
      </c>
      <c r="AH25" s="25">
        <v>244</v>
      </c>
      <c r="AI25" s="52">
        <v>6.0485870104115103E-2</v>
      </c>
      <c r="AJ25" s="23">
        <v>182</v>
      </c>
      <c r="AK25" s="25">
        <v>0</v>
      </c>
      <c r="AL25" s="52">
        <v>0</v>
      </c>
      <c r="AM25" s="23">
        <v>413</v>
      </c>
      <c r="AN25" s="25">
        <v>0</v>
      </c>
      <c r="AO25" s="52">
        <v>0</v>
      </c>
      <c r="AP25" s="23">
        <v>2592</v>
      </c>
      <c r="AQ25" s="25">
        <v>0</v>
      </c>
      <c r="AR25" s="52">
        <v>0</v>
      </c>
      <c r="AS25" s="23">
        <v>0</v>
      </c>
      <c r="AT25" s="25">
        <v>0</v>
      </c>
      <c r="AU25" s="52" t="s">
        <v>81</v>
      </c>
      <c r="AV25" s="23">
        <v>559</v>
      </c>
      <c r="AW25" s="25">
        <v>244</v>
      </c>
      <c r="AX25" s="52">
        <v>0.77460317460317452</v>
      </c>
      <c r="AY25" s="23">
        <v>512</v>
      </c>
      <c r="AZ25" s="25">
        <v>0</v>
      </c>
      <c r="BA25" s="52">
        <v>0</v>
      </c>
      <c r="BB25" s="23">
        <v>0</v>
      </c>
      <c r="BC25" s="25">
        <v>0</v>
      </c>
      <c r="BD25" s="52" t="s">
        <v>81</v>
      </c>
      <c r="BE25" s="23">
        <v>20</v>
      </c>
      <c r="BF25" s="25">
        <v>0</v>
      </c>
      <c r="BG25" s="52">
        <v>0</v>
      </c>
      <c r="BH25" s="23">
        <v>0</v>
      </c>
      <c r="BI25" s="25">
        <v>0</v>
      </c>
      <c r="BJ25" s="52" t="s">
        <v>81</v>
      </c>
      <c r="BK25" s="23">
        <v>7224</v>
      </c>
      <c r="BL25" s="25">
        <v>-14</v>
      </c>
      <c r="BM25" s="52">
        <v>-1.3815971262779447E-3</v>
      </c>
      <c r="BN25" s="23">
        <v>0</v>
      </c>
      <c r="BO25" s="25">
        <v>0</v>
      </c>
      <c r="BP25" s="52" t="s">
        <v>81</v>
      </c>
      <c r="BQ25" s="23">
        <v>0</v>
      </c>
      <c r="BR25" s="25">
        <v>0</v>
      </c>
      <c r="BS25" s="52" t="s">
        <v>81</v>
      </c>
    </row>
    <row r="26" spans="2:71" s="4" customFormat="1" x14ac:dyDescent="0.25">
      <c r="B26" s="20" t="s">
        <v>41</v>
      </c>
      <c r="C26" s="21">
        <f t="shared" si="0"/>
        <v>3637</v>
      </c>
      <c r="D26" s="25">
        <f t="shared" si="0"/>
        <v>-29</v>
      </c>
      <c r="E26" s="52">
        <f t="shared" si="1"/>
        <v>-7.9105291871249817E-3</v>
      </c>
      <c r="F26" s="23">
        <v>1355</v>
      </c>
      <c r="G26" s="25">
        <v>0</v>
      </c>
      <c r="H26" s="52">
        <v>0</v>
      </c>
      <c r="I26" s="23">
        <v>0</v>
      </c>
      <c r="J26" s="25">
        <v>0</v>
      </c>
      <c r="K26" s="52" t="s">
        <v>81</v>
      </c>
      <c r="L26" s="23">
        <v>0</v>
      </c>
      <c r="M26" s="25">
        <v>0</v>
      </c>
      <c r="N26" s="52" t="s">
        <v>81</v>
      </c>
      <c r="O26" s="23">
        <v>496</v>
      </c>
      <c r="P26" s="25">
        <v>0</v>
      </c>
      <c r="Q26" s="52">
        <v>0</v>
      </c>
      <c r="R26" s="23">
        <v>859</v>
      </c>
      <c r="S26" s="25">
        <v>0</v>
      </c>
      <c r="T26" s="52">
        <v>0</v>
      </c>
      <c r="U26" s="23">
        <v>0</v>
      </c>
      <c r="V26" s="25">
        <v>0</v>
      </c>
      <c r="W26" s="52" t="s">
        <v>81</v>
      </c>
      <c r="X26" s="23">
        <v>0</v>
      </c>
      <c r="Y26" s="25">
        <v>0</v>
      </c>
      <c r="Z26" s="52" t="s">
        <v>81</v>
      </c>
      <c r="AA26" s="23">
        <v>0</v>
      </c>
      <c r="AB26" s="25">
        <v>0</v>
      </c>
      <c r="AC26" s="52" t="s">
        <v>81</v>
      </c>
      <c r="AD26" s="23">
        <v>0</v>
      </c>
      <c r="AE26" s="25">
        <v>0</v>
      </c>
      <c r="AF26" s="52" t="s">
        <v>81</v>
      </c>
      <c r="AG26" s="23">
        <v>355</v>
      </c>
      <c r="AH26" s="25">
        <v>0</v>
      </c>
      <c r="AI26" s="52">
        <v>0</v>
      </c>
      <c r="AJ26" s="23">
        <v>160</v>
      </c>
      <c r="AK26" s="25">
        <v>0</v>
      </c>
      <c r="AL26" s="52">
        <v>0</v>
      </c>
      <c r="AM26" s="23">
        <v>0</v>
      </c>
      <c r="AN26" s="25">
        <v>0</v>
      </c>
      <c r="AO26" s="52" t="s">
        <v>81</v>
      </c>
      <c r="AP26" s="23">
        <v>178</v>
      </c>
      <c r="AQ26" s="25">
        <v>0</v>
      </c>
      <c r="AR26" s="52">
        <v>0</v>
      </c>
      <c r="AS26" s="23">
        <v>0</v>
      </c>
      <c r="AT26" s="25">
        <v>0</v>
      </c>
      <c r="AU26" s="52" t="s">
        <v>81</v>
      </c>
      <c r="AV26" s="23">
        <v>0</v>
      </c>
      <c r="AW26" s="25">
        <v>0</v>
      </c>
      <c r="AX26" s="52" t="s">
        <v>81</v>
      </c>
      <c r="AY26" s="23">
        <v>0</v>
      </c>
      <c r="AZ26" s="25">
        <v>0</v>
      </c>
      <c r="BA26" s="52" t="s">
        <v>81</v>
      </c>
      <c r="BB26" s="23">
        <v>0</v>
      </c>
      <c r="BC26" s="25">
        <v>0</v>
      </c>
      <c r="BD26" s="52" t="s">
        <v>81</v>
      </c>
      <c r="BE26" s="23">
        <v>17</v>
      </c>
      <c r="BF26" s="25">
        <v>0</v>
      </c>
      <c r="BG26" s="52">
        <v>0</v>
      </c>
      <c r="BH26" s="23">
        <v>0</v>
      </c>
      <c r="BI26" s="25">
        <v>0</v>
      </c>
      <c r="BJ26" s="52" t="s">
        <v>81</v>
      </c>
      <c r="BK26" s="23">
        <v>1682</v>
      </c>
      <c r="BL26" s="25">
        <v>-29</v>
      </c>
      <c r="BM26" s="52">
        <v>-1.6949152542372836E-2</v>
      </c>
      <c r="BN26" s="23">
        <v>90</v>
      </c>
      <c r="BO26" s="25">
        <v>0</v>
      </c>
      <c r="BP26" s="52">
        <v>0</v>
      </c>
      <c r="BQ26" s="23">
        <v>155</v>
      </c>
      <c r="BR26" s="25">
        <v>0</v>
      </c>
      <c r="BS26" s="52">
        <v>0</v>
      </c>
    </row>
    <row r="27" spans="2:71" s="4" customFormat="1" x14ac:dyDescent="0.25">
      <c r="B27" s="20" t="s">
        <v>42</v>
      </c>
      <c r="C27" s="21">
        <f t="shared" si="0"/>
        <v>2353</v>
      </c>
      <c r="D27" s="25">
        <f t="shared" si="0"/>
        <v>-22</v>
      </c>
      <c r="E27" s="52">
        <f t="shared" si="1"/>
        <v>-9.263157894736862E-3</v>
      </c>
      <c r="F27" s="23">
        <v>21</v>
      </c>
      <c r="G27" s="25">
        <v>0</v>
      </c>
      <c r="H27" s="52">
        <v>0</v>
      </c>
      <c r="I27" s="23">
        <v>14</v>
      </c>
      <c r="J27" s="25">
        <v>0</v>
      </c>
      <c r="K27" s="52">
        <v>0</v>
      </c>
      <c r="L27" s="23">
        <v>7</v>
      </c>
      <c r="M27" s="25">
        <v>0</v>
      </c>
      <c r="N27" s="52">
        <v>0</v>
      </c>
      <c r="O27" s="23">
        <v>0</v>
      </c>
      <c r="P27" s="25">
        <v>0</v>
      </c>
      <c r="Q27" s="52" t="s">
        <v>81</v>
      </c>
      <c r="R27" s="23">
        <v>0</v>
      </c>
      <c r="S27" s="25">
        <v>0</v>
      </c>
      <c r="T27" s="52" t="s">
        <v>81</v>
      </c>
      <c r="U27" s="23">
        <v>0</v>
      </c>
      <c r="V27" s="25">
        <v>0</v>
      </c>
      <c r="W27" s="52" t="s">
        <v>81</v>
      </c>
      <c r="X27" s="23">
        <v>0</v>
      </c>
      <c r="Y27" s="25">
        <v>0</v>
      </c>
      <c r="Z27" s="52" t="s">
        <v>81</v>
      </c>
      <c r="AA27" s="23">
        <v>0</v>
      </c>
      <c r="AB27" s="25">
        <v>0</v>
      </c>
      <c r="AC27" s="52" t="s">
        <v>81</v>
      </c>
      <c r="AD27" s="23">
        <v>0</v>
      </c>
      <c r="AE27" s="25">
        <v>0</v>
      </c>
      <c r="AF27" s="52" t="s">
        <v>81</v>
      </c>
      <c r="AG27" s="23">
        <v>7</v>
      </c>
      <c r="AH27" s="25">
        <v>0</v>
      </c>
      <c r="AI27" s="52">
        <v>0</v>
      </c>
      <c r="AJ27" s="23">
        <v>0</v>
      </c>
      <c r="AK27" s="25">
        <v>0</v>
      </c>
      <c r="AL27" s="52" t="s">
        <v>81</v>
      </c>
      <c r="AM27" s="23">
        <v>0</v>
      </c>
      <c r="AN27" s="25">
        <v>0</v>
      </c>
      <c r="AO27" s="52" t="s">
        <v>81</v>
      </c>
      <c r="AP27" s="23">
        <v>0</v>
      </c>
      <c r="AQ27" s="25">
        <v>0</v>
      </c>
      <c r="AR27" s="52" t="s">
        <v>81</v>
      </c>
      <c r="AS27" s="23">
        <v>0</v>
      </c>
      <c r="AT27" s="25">
        <v>0</v>
      </c>
      <c r="AU27" s="52" t="s">
        <v>81</v>
      </c>
      <c r="AV27" s="23">
        <v>0</v>
      </c>
      <c r="AW27" s="25">
        <v>0</v>
      </c>
      <c r="AX27" s="52" t="s">
        <v>81</v>
      </c>
      <c r="AY27" s="23">
        <v>0</v>
      </c>
      <c r="AZ27" s="25">
        <v>0</v>
      </c>
      <c r="BA27" s="52" t="s">
        <v>81</v>
      </c>
      <c r="BB27" s="23">
        <v>0</v>
      </c>
      <c r="BC27" s="25">
        <v>0</v>
      </c>
      <c r="BD27" s="52" t="s">
        <v>81</v>
      </c>
      <c r="BE27" s="23">
        <v>0</v>
      </c>
      <c r="BF27" s="25">
        <v>0</v>
      </c>
      <c r="BG27" s="52" t="s">
        <v>81</v>
      </c>
      <c r="BH27" s="23">
        <v>7</v>
      </c>
      <c r="BI27" s="25">
        <v>0</v>
      </c>
      <c r="BJ27" s="52" t="s">
        <v>81</v>
      </c>
      <c r="BK27" s="23">
        <v>2276</v>
      </c>
      <c r="BL27" s="25">
        <v>-22</v>
      </c>
      <c r="BM27" s="52">
        <v>-1.1314186248912117E-2</v>
      </c>
      <c r="BN27" s="23">
        <v>20</v>
      </c>
      <c r="BO27" s="25">
        <v>0</v>
      </c>
      <c r="BP27" s="52">
        <v>0</v>
      </c>
      <c r="BQ27" s="23">
        <v>29</v>
      </c>
      <c r="BR27" s="25">
        <v>0</v>
      </c>
      <c r="BS27" s="52">
        <v>0</v>
      </c>
    </row>
    <row r="28" spans="2:71" s="4" customFormat="1" x14ac:dyDescent="0.25">
      <c r="B28" s="20" t="s">
        <v>43</v>
      </c>
      <c r="C28" s="21">
        <f t="shared" si="0"/>
        <v>392</v>
      </c>
      <c r="D28" s="25">
        <f t="shared" si="0"/>
        <v>0</v>
      </c>
      <c r="E28" s="52">
        <f t="shared" si="1"/>
        <v>0</v>
      </c>
      <c r="F28" s="23">
        <v>0</v>
      </c>
      <c r="G28" s="25">
        <v>0</v>
      </c>
      <c r="H28" s="52" t="s">
        <v>81</v>
      </c>
      <c r="I28" s="23"/>
      <c r="J28" s="25">
        <v>0</v>
      </c>
      <c r="K28" s="52" t="s">
        <v>81</v>
      </c>
      <c r="L28" s="23">
        <v>0</v>
      </c>
      <c r="M28" s="25">
        <v>0</v>
      </c>
      <c r="N28" s="52" t="s">
        <v>81</v>
      </c>
      <c r="O28" s="23">
        <v>0</v>
      </c>
      <c r="P28" s="25">
        <v>0</v>
      </c>
      <c r="Q28" s="52" t="s">
        <v>81</v>
      </c>
      <c r="R28" s="23">
        <v>0</v>
      </c>
      <c r="S28" s="25">
        <v>0</v>
      </c>
      <c r="T28" s="52" t="s">
        <v>81</v>
      </c>
      <c r="U28" s="23">
        <v>0</v>
      </c>
      <c r="V28" s="25">
        <v>0</v>
      </c>
      <c r="W28" s="52" t="s">
        <v>81</v>
      </c>
      <c r="X28" s="23">
        <v>0</v>
      </c>
      <c r="Y28" s="25">
        <v>0</v>
      </c>
      <c r="Z28" s="52" t="s">
        <v>81</v>
      </c>
      <c r="AA28" s="23">
        <v>0</v>
      </c>
      <c r="AB28" s="25">
        <v>0</v>
      </c>
      <c r="AC28" s="52" t="s">
        <v>81</v>
      </c>
      <c r="AD28" s="23">
        <v>0</v>
      </c>
      <c r="AE28" s="25">
        <v>0</v>
      </c>
      <c r="AF28" s="52" t="s">
        <v>81</v>
      </c>
      <c r="AG28" s="23">
        <v>11</v>
      </c>
      <c r="AH28" s="25">
        <v>0</v>
      </c>
      <c r="AI28" s="52">
        <v>0</v>
      </c>
      <c r="AJ28" s="23">
        <v>0</v>
      </c>
      <c r="AK28" s="25">
        <v>0</v>
      </c>
      <c r="AL28" s="52" t="s">
        <v>81</v>
      </c>
      <c r="AM28" s="23">
        <v>0</v>
      </c>
      <c r="AN28" s="25">
        <v>0</v>
      </c>
      <c r="AO28" s="52" t="s">
        <v>81</v>
      </c>
      <c r="AP28" s="23">
        <v>0</v>
      </c>
      <c r="AQ28" s="25">
        <v>0</v>
      </c>
      <c r="AR28" s="52" t="s">
        <v>81</v>
      </c>
      <c r="AS28" s="23">
        <v>0</v>
      </c>
      <c r="AT28" s="25">
        <v>0</v>
      </c>
      <c r="AU28" s="52" t="s">
        <v>81</v>
      </c>
      <c r="AV28" s="23">
        <v>0</v>
      </c>
      <c r="AW28" s="25">
        <v>0</v>
      </c>
      <c r="AX28" s="52" t="s">
        <v>81</v>
      </c>
      <c r="AY28" s="23">
        <v>0</v>
      </c>
      <c r="AZ28" s="25">
        <v>0</v>
      </c>
      <c r="BA28" s="52" t="s">
        <v>81</v>
      </c>
      <c r="BB28" s="23">
        <v>0</v>
      </c>
      <c r="BC28" s="25">
        <v>0</v>
      </c>
      <c r="BD28" s="52" t="s">
        <v>81</v>
      </c>
      <c r="BE28" s="23">
        <v>11</v>
      </c>
      <c r="BF28" s="25">
        <v>0</v>
      </c>
      <c r="BG28" s="52">
        <v>0</v>
      </c>
      <c r="BH28" s="23">
        <v>0</v>
      </c>
      <c r="BI28" s="25">
        <v>0</v>
      </c>
      <c r="BJ28" s="52" t="s">
        <v>81</v>
      </c>
      <c r="BK28" s="23">
        <v>352</v>
      </c>
      <c r="BL28" s="25">
        <v>0</v>
      </c>
      <c r="BM28" s="52">
        <v>0</v>
      </c>
      <c r="BN28" s="23">
        <v>16</v>
      </c>
      <c r="BO28" s="25">
        <v>0</v>
      </c>
      <c r="BP28" s="52">
        <v>0</v>
      </c>
      <c r="BQ28" s="23">
        <v>13</v>
      </c>
      <c r="BR28" s="25">
        <v>0</v>
      </c>
      <c r="BS28" s="52">
        <v>0</v>
      </c>
    </row>
    <row r="29" spans="2:71" s="4" customFormat="1" x14ac:dyDescent="0.25">
      <c r="B29" s="20" t="s">
        <v>44</v>
      </c>
      <c r="C29" s="21">
        <f t="shared" si="0"/>
        <v>12892</v>
      </c>
      <c r="D29" s="25">
        <f t="shared" si="0"/>
        <v>-51</v>
      </c>
      <c r="E29" s="52">
        <f t="shared" si="1"/>
        <v>-3.9403538592289733E-3</v>
      </c>
      <c r="F29" s="23">
        <v>3368</v>
      </c>
      <c r="G29" s="25">
        <v>0</v>
      </c>
      <c r="H29" s="52" t="s">
        <v>81</v>
      </c>
      <c r="I29" s="23">
        <v>0</v>
      </c>
      <c r="J29" s="25">
        <v>0</v>
      </c>
      <c r="K29" s="52" t="s">
        <v>81</v>
      </c>
      <c r="L29" s="23">
        <v>0</v>
      </c>
      <c r="M29" s="25">
        <v>0</v>
      </c>
      <c r="N29" s="52" t="s">
        <v>81</v>
      </c>
      <c r="O29" s="23">
        <v>722</v>
      </c>
      <c r="P29" s="25">
        <v>0</v>
      </c>
      <c r="Q29" s="52">
        <v>0</v>
      </c>
      <c r="R29" s="23">
        <v>848</v>
      </c>
      <c r="S29" s="25">
        <v>0</v>
      </c>
      <c r="T29" s="52">
        <v>0</v>
      </c>
      <c r="U29" s="23">
        <v>1784</v>
      </c>
      <c r="V29" s="25">
        <v>0</v>
      </c>
      <c r="W29" s="52">
        <v>0</v>
      </c>
      <c r="X29" s="23">
        <v>0</v>
      </c>
      <c r="Y29" s="25">
        <v>0</v>
      </c>
      <c r="Z29" s="52" t="s">
        <v>81</v>
      </c>
      <c r="AA29" s="23">
        <v>0</v>
      </c>
      <c r="AB29" s="25">
        <v>0</v>
      </c>
      <c r="AC29" s="52" t="s">
        <v>81</v>
      </c>
      <c r="AD29" s="23">
        <v>14</v>
      </c>
      <c r="AE29" s="25">
        <v>0</v>
      </c>
      <c r="AF29" s="52">
        <v>0</v>
      </c>
      <c r="AG29" s="23">
        <v>3133</v>
      </c>
      <c r="AH29" s="25">
        <v>0</v>
      </c>
      <c r="AI29" s="52">
        <v>0</v>
      </c>
      <c r="AJ29" s="23">
        <v>382</v>
      </c>
      <c r="AK29" s="25">
        <v>0</v>
      </c>
      <c r="AL29" s="52">
        <v>0</v>
      </c>
      <c r="AM29" s="23">
        <v>588</v>
      </c>
      <c r="AN29" s="25">
        <v>0</v>
      </c>
      <c r="AO29" s="52">
        <v>0</v>
      </c>
      <c r="AP29" s="23">
        <v>1135</v>
      </c>
      <c r="AQ29" s="25">
        <v>0</v>
      </c>
      <c r="AR29" s="52">
        <v>0</v>
      </c>
      <c r="AS29" s="23">
        <v>0</v>
      </c>
      <c r="AT29" s="25">
        <v>0</v>
      </c>
      <c r="AU29" s="52" t="s">
        <v>81</v>
      </c>
      <c r="AV29" s="23">
        <v>861</v>
      </c>
      <c r="AW29" s="25">
        <v>0</v>
      </c>
      <c r="AX29" s="52">
        <v>0</v>
      </c>
      <c r="AY29" s="23">
        <v>0</v>
      </c>
      <c r="AZ29" s="25">
        <v>0</v>
      </c>
      <c r="BA29" s="52" t="s">
        <v>81</v>
      </c>
      <c r="BB29" s="23">
        <v>155</v>
      </c>
      <c r="BC29" s="25">
        <v>0</v>
      </c>
      <c r="BD29" s="52">
        <v>0</v>
      </c>
      <c r="BE29" s="23">
        <v>12</v>
      </c>
      <c r="BF29" s="25">
        <v>0</v>
      </c>
      <c r="BG29" s="52">
        <v>0</v>
      </c>
      <c r="BH29" s="23">
        <v>0</v>
      </c>
      <c r="BI29" s="25">
        <v>0</v>
      </c>
      <c r="BJ29" s="52" t="s">
        <v>81</v>
      </c>
      <c r="BK29" s="23">
        <v>6331</v>
      </c>
      <c r="BL29" s="25">
        <v>-51</v>
      </c>
      <c r="BM29" s="52">
        <v>-6.5810090880601413E-3</v>
      </c>
      <c r="BN29" s="23">
        <v>32</v>
      </c>
      <c r="BO29" s="25">
        <v>0</v>
      </c>
      <c r="BP29" s="52">
        <v>0</v>
      </c>
      <c r="BQ29" s="23">
        <v>28</v>
      </c>
      <c r="BR29" s="25">
        <v>0</v>
      </c>
      <c r="BS29" s="52">
        <v>0</v>
      </c>
    </row>
    <row r="30" spans="2:71" s="4" customFormat="1" x14ac:dyDescent="0.25">
      <c r="B30" s="20" t="s">
        <v>45</v>
      </c>
      <c r="C30" s="21">
        <f t="shared" si="0"/>
        <v>13607</v>
      </c>
      <c r="D30" s="25">
        <f t="shared" si="0"/>
        <v>-37</v>
      </c>
      <c r="E30" s="52">
        <f t="shared" si="1"/>
        <v>-2.7118147170918094E-3</v>
      </c>
      <c r="F30" s="23">
        <v>3032</v>
      </c>
      <c r="G30" s="25">
        <v>88</v>
      </c>
      <c r="H30" s="52">
        <v>2.9891304347826164E-2</v>
      </c>
      <c r="I30" s="23">
        <v>218</v>
      </c>
      <c r="J30" s="25">
        <v>0</v>
      </c>
      <c r="K30" s="52">
        <v>0</v>
      </c>
      <c r="L30" s="23">
        <v>482</v>
      </c>
      <c r="M30" s="25">
        <v>0</v>
      </c>
      <c r="N30" s="52">
        <v>0</v>
      </c>
      <c r="O30" s="23">
        <v>408</v>
      </c>
      <c r="P30" s="25">
        <v>0</v>
      </c>
      <c r="Q30" s="52">
        <v>0</v>
      </c>
      <c r="R30" s="23">
        <v>1349</v>
      </c>
      <c r="S30" s="25">
        <v>88</v>
      </c>
      <c r="T30" s="52">
        <v>6.9785884218873884E-2</v>
      </c>
      <c r="U30" s="23">
        <v>507</v>
      </c>
      <c r="V30" s="25">
        <v>0</v>
      </c>
      <c r="W30" s="52">
        <v>0</v>
      </c>
      <c r="X30" s="23">
        <v>0</v>
      </c>
      <c r="Y30" s="25">
        <v>0</v>
      </c>
      <c r="Z30" s="52" t="s">
        <v>81</v>
      </c>
      <c r="AA30" s="23">
        <v>0</v>
      </c>
      <c r="AB30" s="25">
        <v>0</v>
      </c>
      <c r="AC30" s="52" t="s">
        <v>81</v>
      </c>
      <c r="AD30" s="23">
        <v>68</v>
      </c>
      <c r="AE30" s="25">
        <v>0</v>
      </c>
      <c r="AF30" s="52">
        <v>0</v>
      </c>
      <c r="AG30" s="23">
        <v>50</v>
      </c>
      <c r="AH30" s="25">
        <v>0</v>
      </c>
      <c r="AI30" s="52">
        <v>0</v>
      </c>
      <c r="AJ30" s="23">
        <v>0</v>
      </c>
      <c r="AK30" s="25">
        <v>0</v>
      </c>
      <c r="AL30" s="52" t="s">
        <v>81</v>
      </c>
      <c r="AM30" s="23">
        <v>0</v>
      </c>
      <c r="AN30" s="25">
        <v>0</v>
      </c>
      <c r="AO30" s="52" t="s">
        <v>81</v>
      </c>
      <c r="AP30" s="23">
        <v>0</v>
      </c>
      <c r="AQ30" s="25">
        <v>0</v>
      </c>
      <c r="AR30" s="52" t="s">
        <v>81</v>
      </c>
      <c r="AS30" s="23">
        <v>0</v>
      </c>
      <c r="AT30" s="25">
        <v>0</v>
      </c>
      <c r="AU30" s="52" t="s">
        <v>81</v>
      </c>
      <c r="AV30" s="23">
        <v>0</v>
      </c>
      <c r="AW30" s="25">
        <v>0</v>
      </c>
      <c r="AX30" s="52" t="s">
        <v>81</v>
      </c>
      <c r="AY30" s="23">
        <v>0</v>
      </c>
      <c r="AZ30" s="25">
        <v>0</v>
      </c>
      <c r="BA30" s="52" t="s">
        <v>81</v>
      </c>
      <c r="BB30" s="23">
        <v>0</v>
      </c>
      <c r="BC30" s="25">
        <v>0</v>
      </c>
      <c r="BD30" s="52" t="s">
        <v>81</v>
      </c>
      <c r="BE30" s="23">
        <v>44</v>
      </c>
      <c r="BF30" s="25">
        <v>0</v>
      </c>
      <c r="BG30" s="52">
        <v>0</v>
      </c>
      <c r="BH30" s="23">
        <v>6</v>
      </c>
      <c r="BI30" s="25">
        <v>0</v>
      </c>
      <c r="BJ30" s="52" t="s">
        <v>81</v>
      </c>
      <c r="BK30" s="23">
        <v>10510</v>
      </c>
      <c r="BL30" s="25">
        <v>-125</v>
      </c>
      <c r="BM30" s="52">
        <v>-1.1847672778561358E-2</v>
      </c>
      <c r="BN30" s="23">
        <v>0</v>
      </c>
      <c r="BO30" s="25">
        <v>0</v>
      </c>
      <c r="BP30" s="52" t="s">
        <v>81</v>
      </c>
      <c r="BQ30" s="23">
        <v>15</v>
      </c>
      <c r="BR30" s="25">
        <v>0</v>
      </c>
      <c r="BS30" s="52">
        <v>0</v>
      </c>
    </row>
    <row r="31" spans="2:71" s="4" customFormat="1" x14ac:dyDescent="0.25">
      <c r="B31" s="20" t="s">
        <v>46</v>
      </c>
      <c r="C31" s="21">
        <f t="shared" si="0"/>
        <v>1935</v>
      </c>
      <c r="D31" s="25">
        <f t="shared" si="0"/>
        <v>-209</v>
      </c>
      <c r="E31" s="52">
        <f t="shared" si="1"/>
        <v>-9.7481343283582045E-2</v>
      </c>
      <c r="F31" s="23">
        <v>0</v>
      </c>
      <c r="G31" s="25">
        <v>0</v>
      </c>
      <c r="H31" s="52" t="s">
        <v>81</v>
      </c>
      <c r="I31" s="23">
        <v>0</v>
      </c>
      <c r="J31" s="25">
        <v>0</v>
      </c>
      <c r="K31" s="52" t="s">
        <v>81</v>
      </c>
      <c r="L31" s="23">
        <v>0</v>
      </c>
      <c r="M31" s="25">
        <v>0</v>
      </c>
      <c r="N31" s="52" t="s">
        <v>81</v>
      </c>
      <c r="O31" s="23">
        <v>0</v>
      </c>
      <c r="P31" s="25">
        <v>0</v>
      </c>
      <c r="Q31" s="52" t="s">
        <v>81</v>
      </c>
      <c r="R31" s="23">
        <v>0</v>
      </c>
      <c r="S31" s="25">
        <v>0</v>
      </c>
      <c r="T31" s="52" t="s">
        <v>81</v>
      </c>
      <c r="U31" s="23">
        <v>0</v>
      </c>
      <c r="V31" s="25">
        <v>0</v>
      </c>
      <c r="W31" s="52" t="s">
        <v>81</v>
      </c>
      <c r="X31" s="23">
        <v>0</v>
      </c>
      <c r="Y31" s="25">
        <v>0</v>
      </c>
      <c r="Z31" s="52" t="s">
        <v>81</v>
      </c>
      <c r="AA31" s="23">
        <v>0</v>
      </c>
      <c r="AB31" s="25">
        <v>0</v>
      </c>
      <c r="AC31" s="52" t="s">
        <v>81</v>
      </c>
      <c r="AD31" s="23">
        <v>0</v>
      </c>
      <c r="AE31" s="25">
        <v>0</v>
      </c>
      <c r="AF31" s="52" t="s">
        <v>81</v>
      </c>
      <c r="AG31" s="23">
        <v>0</v>
      </c>
      <c r="AH31" s="25">
        <v>0</v>
      </c>
      <c r="AI31" s="52" t="s">
        <v>81</v>
      </c>
      <c r="AJ31" s="23">
        <v>0</v>
      </c>
      <c r="AK31" s="25">
        <v>0</v>
      </c>
      <c r="AL31" s="52" t="s">
        <v>81</v>
      </c>
      <c r="AM31" s="23">
        <v>0</v>
      </c>
      <c r="AN31" s="25">
        <v>0</v>
      </c>
      <c r="AO31" s="52" t="s">
        <v>81</v>
      </c>
      <c r="AP31" s="23">
        <v>0</v>
      </c>
      <c r="AQ31" s="25">
        <v>0</v>
      </c>
      <c r="AR31" s="52" t="s">
        <v>81</v>
      </c>
      <c r="AS31" s="23">
        <v>0</v>
      </c>
      <c r="AT31" s="25">
        <v>0</v>
      </c>
      <c r="AU31" s="52" t="s">
        <v>81</v>
      </c>
      <c r="AV31" s="23">
        <v>0</v>
      </c>
      <c r="AW31" s="25">
        <v>0</v>
      </c>
      <c r="AX31" s="52" t="s">
        <v>81</v>
      </c>
      <c r="AY31" s="23">
        <v>0</v>
      </c>
      <c r="AZ31" s="25">
        <v>0</v>
      </c>
      <c r="BA31" s="52" t="s">
        <v>81</v>
      </c>
      <c r="BB31" s="23">
        <v>0</v>
      </c>
      <c r="BC31" s="25">
        <v>0</v>
      </c>
      <c r="BD31" s="52" t="s">
        <v>81</v>
      </c>
      <c r="BE31" s="23">
        <v>0</v>
      </c>
      <c r="BF31" s="25">
        <v>0</v>
      </c>
      <c r="BG31" s="52" t="s">
        <v>81</v>
      </c>
      <c r="BH31" s="23">
        <v>0</v>
      </c>
      <c r="BI31" s="25">
        <v>0</v>
      </c>
      <c r="BJ31" s="52" t="s">
        <v>81</v>
      </c>
      <c r="BK31" s="23">
        <v>1935</v>
      </c>
      <c r="BL31" s="25">
        <v>-209</v>
      </c>
      <c r="BM31" s="52">
        <v>-9.5149253731343308E-2</v>
      </c>
      <c r="BN31" s="23">
        <v>0</v>
      </c>
      <c r="BO31" s="25">
        <v>0</v>
      </c>
      <c r="BP31" s="52" t="s">
        <v>81</v>
      </c>
      <c r="BQ31" s="23">
        <v>0</v>
      </c>
      <c r="BR31" s="25">
        <v>0</v>
      </c>
      <c r="BS31" s="52" t="s">
        <v>81</v>
      </c>
    </row>
    <row r="32" spans="2:71" s="4" customFormat="1" x14ac:dyDescent="0.25">
      <c r="B32" s="20" t="s">
        <v>47</v>
      </c>
      <c r="C32" s="21">
        <f t="shared" si="0"/>
        <v>14634</v>
      </c>
      <c r="D32" s="25">
        <f t="shared" si="0"/>
        <v>588</v>
      </c>
      <c r="E32" s="52">
        <f t="shared" si="1"/>
        <v>4.1862451943613932E-2</v>
      </c>
      <c r="F32" s="23">
        <v>5083</v>
      </c>
      <c r="G32" s="25">
        <v>624</v>
      </c>
      <c r="H32" s="52">
        <v>0.13994169096209919</v>
      </c>
      <c r="I32" s="23">
        <v>0</v>
      </c>
      <c r="J32" s="25">
        <v>0</v>
      </c>
      <c r="K32" s="52" t="s">
        <v>81</v>
      </c>
      <c r="L32" s="23">
        <v>0</v>
      </c>
      <c r="M32" s="25">
        <v>0</v>
      </c>
      <c r="N32" s="52" t="s">
        <v>81</v>
      </c>
      <c r="O32" s="23">
        <v>1058</v>
      </c>
      <c r="P32" s="25">
        <v>0</v>
      </c>
      <c r="Q32" s="52">
        <v>0</v>
      </c>
      <c r="R32" s="23">
        <v>4025</v>
      </c>
      <c r="S32" s="25">
        <v>624</v>
      </c>
      <c r="T32" s="52">
        <v>0.18347544839753005</v>
      </c>
      <c r="U32" s="23">
        <v>0</v>
      </c>
      <c r="V32" s="25">
        <v>0</v>
      </c>
      <c r="W32" s="52" t="s">
        <v>81</v>
      </c>
      <c r="X32" s="23">
        <v>0</v>
      </c>
      <c r="Y32" s="25">
        <v>0</v>
      </c>
      <c r="Z32" s="52" t="s">
        <v>81</v>
      </c>
      <c r="AA32" s="23">
        <v>0</v>
      </c>
      <c r="AB32" s="25">
        <v>0</v>
      </c>
      <c r="AC32" s="52" t="s">
        <v>81</v>
      </c>
      <c r="AD32" s="23">
        <v>0</v>
      </c>
      <c r="AE32" s="25">
        <v>0</v>
      </c>
      <c r="AF32" s="52" t="s">
        <v>81</v>
      </c>
      <c r="AG32" s="23">
        <v>3010</v>
      </c>
      <c r="AH32" s="25">
        <v>0</v>
      </c>
      <c r="AI32" s="52">
        <v>0</v>
      </c>
      <c r="AJ32" s="23">
        <v>1513</v>
      </c>
      <c r="AK32" s="25">
        <v>0</v>
      </c>
      <c r="AL32" s="52">
        <v>0</v>
      </c>
      <c r="AM32" s="23">
        <v>869</v>
      </c>
      <c r="AN32" s="25">
        <v>0</v>
      </c>
      <c r="AO32" s="52">
        <v>0</v>
      </c>
      <c r="AP32" s="23">
        <v>0</v>
      </c>
      <c r="AQ32" s="25">
        <v>0</v>
      </c>
      <c r="AR32" s="52" t="s">
        <v>81</v>
      </c>
      <c r="AS32" s="23">
        <v>0</v>
      </c>
      <c r="AT32" s="25">
        <v>0</v>
      </c>
      <c r="AU32" s="52" t="s">
        <v>81</v>
      </c>
      <c r="AV32" s="23">
        <v>0</v>
      </c>
      <c r="AW32" s="25">
        <v>0</v>
      </c>
      <c r="AX32" s="52" t="s">
        <v>81</v>
      </c>
      <c r="AY32" s="23">
        <v>234</v>
      </c>
      <c r="AZ32" s="25">
        <v>0</v>
      </c>
      <c r="BA32" s="52">
        <v>0</v>
      </c>
      <c r="BB32" s="23">
        <v>394</v>
      </c>
      <c r="BC32" s="25">
        <v>0</v>
      </c>
      <c r="BD32" s="52">
        <v>0</v>
      </c>
      <c r="BE32" s="23">
        <v>0</v>
      </c>
      <c r="BF32" s="25">
        <v>0</v>
      </c>
      <c r="BG32" s="52" t="s">
        <v>81</v>
      </c>
      <c r="BH32" s="23">
        <v>0</v>
      </c>
      <c r="BI32" s="25">
        <v>0</v>
      </c>
      <c r="BJ32" s="52" t="s">
        <v>81</v>
      </c>
      <c r="BK32" s="23">
        <v>6541</v>
      </c>
      <c r="BL32" s="25">
        <v>-36</v>
      </c>
      <c r="BM32" s="52">
        <v>-1.0947240383153423E-2</v>
      </c>
      <c r="BN32" s="23">
        <v>0</v>
      </c>
      <c r="BO32" s="25">
        <v>0</v>
      </c>
      <c r="BP32" s="52" t="s">
        <v>81</v>
      </c>
      <c r="BQ32" s="23">
        <v>0</v>
      </c>
      <c r="BR32" s="25">
        <v>0</v>
      </c>
      <c r="BS32" s="52" t="s">
        <v>81</v>
      </c>
    </row>
    <row r="33" spans="2:71" s="4" customFormat="1" x14ac:dyDescent="0.25">
      <c r="B33" s="20" t="s">
        <v>48</v>
      </c>
      <c r="C33" s="21">
        <f t="shared" si="0"/>
        <v>913</v>
      </c>
      <c r="D33" s="25">
        <f t="shared" si="0"/>
        <v>0</v>
      </c>
      <c r="E33" s="52">
        <f t="shared" si="1"/>
        <v>0</v>
      </c>
      <c r="F33" s="23">
        <v>14</v>
      </c>
      <c r="G33" s="25">
        <v>0</v>
      </c>
      <c r="H33" s="52">
        <v>0</v>
      </c>
      <c r="I33" s="23">
        <v>0</v>
      </c>
      <c r="J33" s="25">
        <v>0</v>
      </c>
      <c r="K33" s="52" t="s">
        <v>81</v>
      </c>
      <c r="L33" s="23">
        <v>14</v>
      </c>
      <c r="M33" s="25">
        <v>0</v>
      </c>
      <c r="N33" s="52">
        <v>0</v>
      </c>
      <c r="O33" s="23">
        <v>0</v>
      </c>
      <c r="P33" s="25">
        <v>0</v>
      </c>
      <c r="Q33" s="52" t="s">
        <v>81</v>
      </c>
      <c r="R33" s="23">
        <v>0</v>
      </c>
      <c r="S33" s="25">
        <v>0</v>
      </c>
      <c r="T33" s="52" t="s">
        <v>81</v>
      </c>
      <c r="U33" s="23">
        <v>0</v>
      </c>
      <c r="V33" s="25">
        <v>0</v>
      </c>
      <c r="W33" s="52" t="s">
        <v>81</v>
      </c>
      <c r="X33" s="23">
        <v>0</v>
      </c>
      <c r="Y33" s="25">
        <v>0</v>
      </c>
      <c r="Z33" s="52" t="s">
        <v>81</v>
      </c>
      <c r="AA33" s="23">
        <v>0</v>
      </c>
      <c r="AB33" s="25">
        <v>0</v>
      </c>
      <c r="AC33" s="52" t="s">
        <v>81</v>
      </c>
      <c r="AD33" s="23">
        <v>0</v>
      </c>
      <c r="AE33" s="25">
        <v>0</v>
      </c>
      <c r="AF33" s="52" t="s">
        <v>81</v>
      </c>
      <c r="AG33" s="23">
        <v>0</v>
      </c>
      <c r="AH33" s="25">
        <v>0</v>
      </c>
      <c r="AI33" s="52" t="s">
        <v>81</v>
      </c>
      <c r="AJ33" s="23">
        <v>0</v>
      </c>
      <c r="AK33" s="25">
        <v>0</v>
      </c>
      <c r="AL33" s="52" t="s">
        <v>81</v>
      </c>
      <c r="AM33" s="23">
        <v>0</v>
      </c>
      <c r="AN33" s="25">
        <v>0</v>
      </c>
      <c r="AO33" s="52" t="s">
        <v>81</v>
      </c>
      <c r="AP33" s="23">
        <v>0</v>
      </c>
      <c r="AQ33" s="25">
        <v>0</v>
      </c>
      <c r="AR33" s="52" t="s">
        <v>81</v>
      </c>
      <c r="AS33" s="23">
        <v>0</v>
      </c>
      <c r="AT33" s="25">
        <v>0</v>
      </c>
      <c r="AU33" s="52" t="s">
        <v>81</v>
      </c>
      <c r="AV33" s="23">
        <v>0</v>
      </c>
      <c r="AW33" s="25">
        <v>0</v>
      </c>
      <c r="AX33" s="52" t="s">
        <v>81</v>
      </c>
      <c r="AY33" s="23">
        <v>0</v>
      </c>
      <c r="AZ33" s="25">
        <v>0</v>
      </c>
      <c r="BA33" s="52" t="s">
        <v>81</v>
      </c>
      <c r="BB33" s="23">
        <v>0</v>
      </c>
      <c r="BC33" s="25">
        <v>0</v>
      </c>
      <c r="BD33" s="52" t="s">
        <v>81</v>
      </c>
      <c r="BE33" s="23">
        <v>0</v>
      </c>
      <c r="BF33" s="25">
        <v>0</v>
      </c>
      <c r="BG33" s="52" t="s">
        <v>81</v>
      </c>
      <c r="BH33" s="23">
        <v>0</v>
      </c>
      <c r="BI33" s="25">
        <v>0</v>
      </c>
      <c r="BJ33" s="52" t="s">
        <v>81</v>
      </c>
      <c r="BK33" s="23">
        <v>881</v>
      </c>
      <c r="BL33" s="25">
        <v>0</v>
      </c>
      <c r="BM33" s="52">
        <v>0</v>
      </c>
      <c r="BN33" s="23">
        <v>14</v>
      </c>
      <c r="BO33" s="25">
        <v>0</v>
      </c>
      <c r="BP33" s="52">
        <v>0</v>
      </c>
      <c r="BQ33" s="23">
        <v>4</v>
      </c>
      <c r="BR33" s="25">
        <v>0</v>
      </c>
      <c r="BS33" s="52">
        <v>0</v>
      </c>
    </row>
    <row r="34" spans="2:71" s="4" customFormat="1" x14ac:dyDescent="0.25">
      <c r="B34" s="20" t="s">
        <v>49</v>
      </c>
      <c r="C34" s="21">
        <f t="shared" si="0"/>
        <v>749</v>
      </c>
      <c r="D34" s="25">
        <f t="shared" si="0"/>
        <v>-11</v>
      </c>
      <c r="E34" s="52">
        <f t="shared" si="1"/>
        <v>-1.4473684210526305E-2</v>
      </c>
      <c r="F34" s="23">
        <v>98</v>
      </c>
      <c r="G34" s="25">
        <v>0</v>
      </c>
      <c r="H34" s="52">
        <v>0</v>
      </c>
      <c r="I34" s="23">
        <v>0</v>
      </c>
      <c r="J34" s="25">
        <v>0</v>
      </c>
      <c r="K34" s="52" t="s">
        <v>81</v>
      </c>
      <c r="L34" s="23">
        <v>0</v>
      </c>
      <c r="M34" s="25">
        <v>0</v>
      </c>
      <c r="N34" s="52" t="s">
        <v>81</v>
      </c>
      <c r="O34" s="23">
        <v>0</v>
      </c>
      <c r="P34" s="25">
        <v>0</v>
      </c>
      <c r="Q34" s="52" t="s">
        <v>81</v>
      </c>
      <c r="R34" s="23">
        <v>98</v>
      </c>
      <c r="S34" s="25">
        <v>0</v>
      </c>
      <c r="T34" s="52">
        <v>0</v>
      </c>
      <c r="U34" s="23">
        <v>0</v>
      </c>
      <c r="V34" s="25">
        <v>0</v>
      </c>
      <c r="W34" s="52" t="s">
        <v>81</v>
      </c>
      <c r="X34" s="23">
        <v>0</v>
      </c>
      <c r="Y34" s="25">
        <v>0</v>
      </c>
      <c r="Z34" s="52" t="s">
        <v>81</v>
      </c>
      <c r="AA34" s="23">
        <v>0</v>
      </c>
      <c r="AB34" s="25">
        <v>0</v>
      </c>
      <c r="AC34" s="52" t="s">
        <v>81</v>
      </c>
      <c r="AD34" s="23">
        <v>0</v>
      </c>
      <c r="AE34" s="25">
        <v>0</v>
      </c>
      <c r="AF34" s="52" t="s">
        <v>81</v>
      </c>
      <c r="AG34" s="23">
        <v>14</v>
      </c>
      <c r="AH34" s="25">
        <v>0</v>
      </c>
      <c r="AI34" s="52">
        <v>0</v>
      </c>
      <c r="AJ34" s="23">
        <v>0</v>
      </c>
      <c r="AK34" s="25">
        <v>0</v>
      </c>
      <c r="AL34" s="52" t="s">
        <v>81</v>
      </c>
      <c r="AM34" s="23">
        <v>0</v>
      </c>
      <c r="AN34" s="25">
        <v>0</v>
      </c>
      <c r="AO34" s="52" t="s">
        <v>81</v>
      </c>
      <c r="AP34" s="23">
        <v>0</v>
      </c>
      <c r="AQ34" s="25">
        <v>0</v>
      </c>
      <c r="AR34" s="52" t="s">
        <v>81</v>
      </c>
      <c r="AS34" s="23">
        <v>0</v>
      </c>
      <c r="AT34" s="25">
        <v>0</v>
      </c>
      <c r="AU34" s="52" t="s">
        <v>81</v>
      </c>
      <c r="AV34" s="23">
        <v>0</v>
      </c>
      <c r="AW34" s="25">
        <v>0</v>
      </c>
      <c r="AX34" s="52" t="s">
        <v>81</v>
      </c>
      <c r="AY34" s="23">
        <v>0</v>
      </c>
      <c r="AZ34" s="25">
        <v>0</v>
      </c>
      <c r="BA34" s="52" t="s">
        <v>81</v>
      </c>
      <c r="BB34" s="23">
        <v>0</v>
      </c>
      <c r="BC34" s="25">
        <v>0</v>
      </c>
      <c r="BD34" s="52" t="s">
        <v>81</v>
      </c>
      <c r="BE34" s="23">
        <v>4</v>
      </c>
      <c r="BF34" s="25">
        <v>0</v>
      </c>
      <c r="BG34" s="52">
        <v>0</v>
      </c>
      <c r="BH34" s="23">
        <v>10</v>
      </c>
      <c r="BI34" s="25">
        <v>0</v>
      </c>
      <c r="BJ34" s="52" t="s">
        <v>81</v>
      </c>
      <c r="BK34" s="23">
        <v>592</v>
      </c>
      <c r="BL34" s="25">
        <v>-11</v>
      </c>
      <c r="BM34" s="52">
        <v>-1.8242122719734688E-2</v>
      </c>
      <c r="BN34" s="23">
        <v>24</v>
      </c>
      <c r="BO34" s="25">
        <v>0</v>
      </c>
      <c r="BP34" s="52">
        <v>0</v>
      </c>
      <c r="BQ34" s="23">
        <v>21</v>
      </c>
      <c r="BR34" s="25">
        <v>0</v>
      </c>
      <c r="BS34" s="52">
        <v>0</v>
      </c>
    </row>
    <row r="35" spans="2:71" s="4" customFormat="1" x14ac:dyDescent="0.25">
      <c r="B35" s="20" t="s">
        <v>50</v>
      </c>
      <c r="C35" s="21">
        <f t="shared" si="0"/>
        <v>2438</v>
      </c>
      <c r="D35" s="25">
        <f t="shared" si="0"/>
        <v>23</v>
      </c>
      <c r="E35" s="52">
        <f t="shared" si="1"/>
        <v>9.52380952380949E-3</v>
      </c>
      <c r="F35" s="23">
        <v>12</v>
      </c>
      <c r="G35" s="25">
        <v>0</v>
      </c>
      <c r="H35" s="52">
        <v>0</v>
      </c>
      <c r="I35" s="23">
        <v>0</v>
      </c>
      <c r="J35" s="25">
        <v>0</v>
      </c>
      <c r="K35" s="52" t="s">
        <v>81</v>
      </c>
      <c r="L35" s="23">
        <v>0</v>
      </c>
      <c r="M35" s="25">
        <v>0</v>
      </c>
      <c r="N35" s="52" t="s">
        <v>81</v>
      </c>
      <c r="O35" s="23">
        <v>0</v>
      </c>
      <c r="P35" s="25">
        <v>0</v>
      </c>
      <c r="Q35" s="52" t="s">
        <v>81</v>
      </c>
      <c r="R35" s="23">
        <v>0</v>
      </c>
      <c r="S35" s="25">
        <v>0</v>
      </c>
      <c r="T35" s="52" t="s">
        <v>81</v>
      </c>
      <c r="U35" s="23">
        <v>0</v>
      </c>
      <c r="V35" s="25">
        <v>0</v>
      </c>
      <c r="W35" s="52" t="s">
        <v>81</v>
      </c>
      <c r="X35" s="23">
        <v>0</v>
      </c>
      <c r="Y35" s="25">
        <v>0</v>
      </c>
      <c r="Z35" s="52" t="s">
        <v>81</v>
      </c>
      <c r="AA35" s="23">
        <v>0</v>
      </c>
      <c r="AB35" s="25">
        <v>0</v>
      </c>
      <c r="AC35" s="52" t="s">
        <v>81</v>
      </c>
      <c r="AD35" s="23">
        <v>12</v>
      </c>
      <c r="AE35" s="25">
        <v>0</v>
      </c>
      <c r="AF35" s="52">
        <v>0</v>
      </c>
      <c r="AG35" s="23">
        <v>272</v>
      </c>
      <c r="AH35" s="25">
        <v>0</v>
      </c>
      <c r="AI35" s="52">
        <v>0</v>
      </c>
      <c r="AJ35" s="23">
        <v>0</v>
      </c>
      <c r="AK35" s="25">
        <v>0</v>
      </c>
      <c r="AL35" s="52" t="s">
        <v>81</v>
      </c>
      <c r="AM35" s="23">
        <v>0</v>
      </c>
      <c r="AN35" s="25">
        <v>0</v>
      </c>
      <c r="AO35" s="52" t="s">
        <v>81</v>
      </c>
      <c r="AP35" s="23">
        <v>272</v>
      </c>
      <c r="AQ35" s="25">
        <v>0</v>
      </c>
      <c r="AR35" s="52">
        <v>0</v>
      </c>
      <c r="AS35" s="23">
        <v>0</v>
      </c>
      <c r="AT35" s="25">
        <v>0</v>
      </c>
      <c r="AU35" s="52" t="s">
        <v>81</v>
      </c>
      <c r="AV35" s="23">
        <v>0</v>
      </c>
      <c r="AW35" s="25">
        <v>0</v>
      </c>
      <c r="AX35" s="52" t="s">
        <v>81</v>
      </c>
      <c r="AY35" s="23">
        <v>0</v>
      </c>
      <c r="AZ35" s="25">
        <v>0</v>
      </c>
      <c r="BA35" s="52" t="s">
        <v>81</v>
      </c>
      <c r="BB35" s="23">
        <v>0</v>
      </c>
      <c r="BC35" s="25">
        <v>0</v>
      </c>
      <c r="BD35" s="52" t="s">
        <v>81</v>
      </c>
      <c r="BE35" s="23">
        <v>0</v>
      </c>
      <c r="BF35" s="25">
        <v>0</v>
      </c>
      <c r="BG35" s="52" t="s">
        <v>81</v>
      </c>
      <c r="BH35" s="23">
        <v>0</v>
      </c>
      <c r="BI35" s="25">
        <v>0</v>
      </c>
      <c r="BJ35" s="52" t="s">
        <v>81</v>
      </c>
      <c r="BK35" s="23">
        <v>2119</v>
      </c>
      <c r="BL35" s="25">
        <v>23</v>
      </c>
      <c r="BM35" s="52">
        <v>-4.7709923664118747E-4</v>
      </c>
      <c r="BN35" s="23">
        <v>0</v>
      </c>
      <c r="BO35" s="25">
        <v>0</v>
      </c>
      <c r="BP35" s="52" t="s">
        <v>81</v>
      </c>
      <c r="BQ35" s="23">
        <v>35</v>
      </c>
      <c r="BR35" s="25">
        <v>0</v>
      </c>
      <c r="BS35" s="52">
        <v>0</v>
      </c>
    </row>
    <row r="36" spans="2:71" s="4" customFormat="1" x14ac:dyDescent="0.25">
      <c r="B36" s="20" t="s">
        <v>51</v>
      </c>
      <c r="C36" s="21">
        <f t="shared" si="0"/>
        <v>373</v>
      </c>
      <c r="D36" s="25">
        <f t="shared" si="0"/>
        <v>0</v>
      </c>
      <c r="E36" s="52">
        <f t="shared" si="1"/>
        <v>0</v>
      </c>
      <c r="F36" s="23">
        <v>0</v>
      </c>
      <c r="G36" s="25">
        <v>0</v>
      </c>
      <c r="H36" s="52" t="s">
        <v>81</v>
      </c>
      <c r="I36" s="23">
        <v>0</v>
      </c>
      <c r="J36" s="25">
        <v>0</v>
      </c>
      <c r="K36" s="52" t="s">
        <v>81</v>
      </c>
      <c r="L36" s="23">
        <v>0</v>
      </c>
      <c r="M36" s="25">
        <v>0</v>
      </c>
      <c r="N36" s="52" t="s">
        <v>81</v>
      </c>
      <c r="O36" s="23">
        <v>0</v>
      </c>
      <c r="P36" s="25">
        <v>0</v>
      </c>
      <c r="Q36" s="52" t="s">
        <v>81</v>
      </c>
      <c r="R36" s="23">
        <v>0</v>
      </c>
      <c r="S36" s="25">
        <v>0</v>
      </c>
      <c r="T36" s="52" t="s">
        <v>81</v>
      </c>
      <c r="U36" s="23">
        <v>0</v>
      </c>
      <c r="V36" s="25">
        <v>0</v>
      </c>
      <c r="W36" s="52" t="s">
        <v>81</v>
      </c>
      <c r="X36" s="23">
        <v>0</v>
      </c>
      <c r="Y36" s="25">
        <v>0</v>
      </c>
      <c r="Z36" s="52" t="s">
        <v>81</v>
      </c>
      <c r="AA36" s="23">
        <v>0</v>
      </c>
      <c r="AB36" s="25">
        <v>0</v>
      </c>
      <c r="AC36" s="52" t="s">
        <v>81</v>
      </c>
      <c r="AD36" s="23">
        <v>0</v>
      </c>
      <c r="AE36" s="25">
        <v>0</v>
      </c>
      <c r="AF36" s="52" t="s">
        <v>81</v>
      </c>
      <c r="AG36" s="23">
        <v>14</v>
      </c>
      <c r="AH36" s="25">
        <v>0</v>
      </c>
      <c r="AI36" s="52">
        <v>0</v>
      </c>
      <c r="AJ36" s="23">
        <v>0</v>
      </c>
      <c r="AK36" s="25">
        <v>0</v>
      </c>
      <c r="AL36" s="52" t="s">
        <v>81</v>
      </c>
      <c r="AM36" s="23">
        <v>0</v>
      </c>
      <c r="AN36" s="25">
        <v>0</v>
      </c>
      <c r="AO36" s="52" t="s">
        <v>81</v>
      </c>
      <c r="AP36" s="23">
        <v>0</v>
      </c>
      <c r="AQ36" s="25">
        <v>0</v>
      </c>
      <c r="AR36" s="52" t="s">
        <v>81</v>
      </c>
      <c r="AS36" s="23">
        <v>0</v>
      </c>
      <c r="AT36" s="25">
        <v>0</v>
      </c>
      <c r="AU36" s="52" t="s">
        <v>81</v>
      </c>
      <c r="AV36" s="23">
        <v>0</v>
      </c>
      <c r="AW36" s="25">
        <v>0</v>
      </c>
      <c r="AX36" s="52" t="s">
        <v>81</v>
      </c>
      <c r="AY36" s="23">
        <v>0</v>
      </c>
      <c r="AZ36" s="25">
        <v>0</v>
      </c>
      <c r="BA36" s="52" t="s">
        <v>81</v>
      </c>
      <c r="BB36" s="23">
        <v>0</v>
      </c>
      <c r="BC36" s="25">
        <v>0</v>
      </c>
      <c r="BD36" s="52" t="s">
        <v>81</v>
      </c>
      <c r="BE36" s="23">
        <v>14</v>
      </c>
      <c r="BF36" s="25">
        <v>0</v>
      </c>
      <c r="BG36" s="52">
        <v>0</v>
      </c>
      <c r="BH36" s="23">
        <v>0</v>
      </c>
      <c r="BI36" s="25">
        <v>0</v>
      </c>
      <c r="BJ36" s="52" t="s">
        <v>81</v>
      </c>
      <c r="BK36" s="23">
        <v>326</v>
      </c>
      <c r="BL36" s="25">
        <v>0</v>
      </c>
      <c r="BM36" s="52">
        <v>0</v>
      </c>
      <c r="BN36" s="23">
        <v>21</v>
      </c>
      <c r="BO36" s="25">
        <v>0</v>
      </c>
      <c r="BP36" s="52" t="s">
        <v>81</v>
      </c>
      <c r="BQ36" s="23">
        <v>12</v>
      </c>
      <c r="BR36" s="25">
        <v>0</v>
      </c>
      <c r="BS36" s="52" t="s">
        <v>81</v>
      </c>
    </row>
    <row r="37" spans="2:71" s="4" customFormat="1" x14ac:dyDescent="0.25">
      <c r="B37" s="20" t="s">
        <v>52</v>
      </c>
      <c r="C37" s="21">
        <f t="shared" si="0"/>
        <v>440</v>
      </c>
      <c r="D37" s="25">
        <f t="shared" si="0"/>
        <v>0</v>
      </c>
      <c r="E37" s="52">
        <f t="shared" si="1"/>
        <v>0</v>
      </c>
      <c r="F37" s="23">
        <v>10</v>
      </c>
      <c r="G37" s="25">
        <v>0</v>
      </c>
      <c r="H37" s="52">
        <v>0</v>
      </c>
      <c r="I37" s="23">
        <v>0</v>
      </c>
      <c r="J37" s="25">
        <v>0</v>
      </c>
      <c r="K37" s="52" t="s">
        <v>81</v>
      </c>
      <c r="L37" s="23">
        <v>0</v>
      </c>
      <c r="M37" s="25">
        <v>0</v>
      </c>
      <c r="N37" s="52" t="s">
        <v>81</v>
      </c>
      <c r="O37" s="23">
        <v>0</v>
      </c>
      <c r="P37" s="25">
        <v>0</v>
      </c>
      <c r="Q37" s="52" t="s">
        <v>81</v>
      </c>
      <c r="R37" s="23">
        <v>0</v>
      </c>
      <c r="S37" s="25">
        <v>0</v>
      </c>
      <c r="T37" s="52" t="s">
        <v>81</v>
      </c>
      <c r="U37" s="23">
        <v>0</v>
      </c>
      <c r="V37" s="25">
        <v>0</v>
      </c>
      <c r="W37" s="52" t="s">
        <v>81</v>
      </c>
      <c r="X37" s="23">
        <v>0</v>
      </c>
      <c r="Y37" s="25">
        <v>0</v>
      </c>
      <c r="Z37" s="52" t="s">
        <v>81</v>
      </c>
      <c r="AA37" s="23">
        <v>0</v>
      </c>
      <c r="AB37" s="25">
        <v>0</v>
      </c>
      <c r="AC37" s="52" t="s">
        <v>81</v>
      </c>
      <c r="AD37" s="23">
        <v>10</v>
      </c>
      <c r="AE37" s="25">
        <v>0</v>
      </c>
      <c r="AF37" s="52">
        <v>0</v>
      </c>
      <c r="AG37" s="23">
        <v>17</v>
      </c>
      <c r="AH37" s="25">
        <v>0</v>
      </c>
      <c r="AI37" s="52">
        <v>0</v>
      </c>
      <c r="AJ37" s="23">
        <v>0</v>
      </c>
      <c r="AK37" s="25">
        <v>0</v>
      </c>
      <c r="AL37" s="52" t="s">
        <v>81</v>
      </c>
      <c r="AM37" s="23">
        <v>0</v>
      </c>
      <c r="AN37" s="25">
        <v>0</v>
      </c>
      <c r="AO37" s="52" t="s">
        <v>81</v>
      </c>
      <c r="AP37" s="23">
        <v>0</v>
      </c>
      <c r="AQ37" s="25">
        <v>0</v>
      </c>
      <c r="AR37" s="52" t="s">
        <v>81</v>
      </c>
      <c r="AS37" s="23">
        <v>0</v>
      </c>
      <c r="AT37" s="25">
        <v>0</v>
      </c>
      <c r="AU37" s="52" t="s">
        <v>81</v>
      </c>
      <c r="AV37" s="23">
        <v>0</v>
      </c>
      <c r="AW37" s="25">
        <v>0</v>
      </c>
      <c r="AX37" s="52" t="s">
        <v>81</v>
      </c>
      <c r="AY37" s="23">
        <v>0</v>
      </c>
      <c r="AZ37" s="25">
        <v>0</v>
      </c>
      <c r="BA37" s="52" t="s">
        <v>81</v>
      </c>
      <c r="BB37" s="23">
        <v>0</v>
      </c>
      <c r="BC37" s="25">
        <v>0</v>
      </c>
      <c r="BD37" s="52" t="s">
        <v>81</v>
      </c>
      <c r="BE37" s="23">
        <v>10</v>
      </c>
      <c r="BF37" s="25">
        <v>0</v>
      </c>
      <c r="BG37" s="52">
        <v>0</v>
      </c>
      <c r="BH37" s="23">
        <v>7</v>
      </c>
      <c r="BI37" s="25">
        <v>0</v>
      </c>
      <c r="BJ37" s="52" t="s">
        <v>81</v>
      </c>
      <c r="BK37" s="23">
        <v>400</v>
      </c>
      <c r="BL37" s="25">
        <v>0</v>
      </c>
      <c r="BM37" s="52">
        <v>0</v>
      </c>
      <c r="BN37" s="23">
        <v>0</v>
      </c>
      <c r="BO37" s="25">
        <v>0</v>
      </c>
      <c r="BP37" s="52" t="s">
        <v>81</v>
      </c>
      <c r="BQ37" s="23">
        <v>13</v>
      </c>
      <c r="BR37" s="25">
        <v>0</v>
      </c>
      <c r="BS37" s="52">
        <v>0</v>
      </c>
    </row>
    <row r="38" spans="2:71" s="4" customFormat="1" x14ac:dyDescent="0.25">
      <c r="B38" s="20" t="s">
        <v>53</v>
      </c>
      <c r="C38" s="21">
        <f t="shared" si="0"/>
        <v>407</v>
      </c>
      <c r="D38" s="25">
        <f t="shared" si="0"/>
        <v>-9</v>
      </c>
      <c r="E38" s="52">
        <f t="shared" si="1"/>
        <v>-2.1634615384615419E-2</v>
      </c>
      <c r="F38" s="23">
        <v>0</v>
      </c>
      <c r="G38" s="25">
        <v>0</v>
      </c>
      <c r="H38" s="52" t="s">
        <v>81</v>
      </c>
      <c r="I38" s="23">
        <v>0</v>
      </c>
      <c r="J38" s="25">
        <v>0</v>
      </c>
      <c r="K38" s="52" t="s">
        <v>81</v>
      </c>
      <c r="L38" s="23">
        <v>0</v>
      </c>
      <c r="M38" s="25">
        <v>0</v>
      </c>
      <c r="N38" s="52" t="s">
        <v>81</v>
      </c>
      <c r="O38" s="23">
        <v>0</v>
      </c>
      <c r="P38" s="25">
        <v>0</v>
      </c>
      <c r="Q38" s="52" t="s">
        <v>81</v>
      </c>
      <c r="R38" s="23">
        <v>0</v>
      </c>
      <c r="S38" s="25">
        <v>0</v>
      </c>
      <c r="T38" s="52" t="s">
        <v>81</v>
      </c>
      <c r="U38" s="23">
        <v>0</v>
      </c>
      <c r="V38" s="25">
        <v>0</v>
      </c>
      <c r="W38" s="52" t="s">
        <v>81</v>
      </c>
      <c r="X38" s="23">
        <v>0</v>
      </c>
      <c r="Y38" s="25">
        <v>0</v>
      </c>
      <c r="Z38" s="52" t="s">
        <v>81</v>
      </c>
      <c r="AA38" s="23">
        <v>0</v>
      </c>
      <c r="AB38" s="25">
        <v>0</v>
      </c>
      <c r="AC38" s="52" t="s">
        <v>81</v>
      </c>
      <c r="AD38" s="23">
        <v>0</v>
      </c>
      <c r="AE38" s="25">
        <v>0</v>
      </c>
      <c r="AF38" s="52" t="s">
        <v>81</v>
      </c>
      <c r="AG38" s="23">
        <v>0</v>
      </c>
      <c r="AH38" s="25">
        <v>0</v>
      </c>
      <c r="AI38" s="52" t="s">
        <v>81</v>
      </c>
      <c r="AJ38" s="23">
        <v>0</v>
      </c>
      <c r="AK38" s="25">
        <v>0</v>
      </c>
      <c r="AL38" s="52" t="s">
        <v>81</v>
      </c>
      <c r="AM38" s="23">
        <v>0</v>
      </c>
      <c r="AN38" s="25">
        <v>0</v>
      </c>
      <c r="AO38" s="52" t="s">
        <v>81</v>
      </c>
      <c r="AP38" s="23">
        <v>0</v>
      </c>
      <c r="AQ38" s="25">
        <v>0</v>
      </c>
      <c r="AR38" s="52" t="s">
        <v>81</v>
      </c>
      <c r="AS38" s="23">
        <v>0</v>
      </c>
      <c r="AT38" s="25">
        <v>0</v>
      </c>
      <c r="AU38" s="52" t="s">
        <v>81</v>
      </c>
      <c r="AV38" s="23">
        <v>0</v>
      </c>
      <c r="AW38" s="25">
        <v>0</v>
      </c>
      <c r="AX38" s="52" t="s">
        <v>81</v>
      </c>
      <c r="AY38" s="23">
        <v>0</v>
      </c>
      <c r="AZ38" s="25">
        <v>0</v>
      </c>
      <c r="BA38" s="52" t="s">
        <v>81</v>
      </c>
      <c r="BB38" s="23">
        <v>0</v>
      </c>
      <c r="BC38" s="25">
        <v>0</v>
      </c>
      <c r="BD38" s="52" t="s">
        <v>81</v>
      </c>
      <c r="BE38" s="23">
        <v>0</v>
      </c>
      <c r="BF38" s="25">
        <v>0</v>
      </c>
      <c r="BG38" s="52" t="s">
        <v>81</v>
      </c>
      <c r="BH38" s="23">
        <v>0</v>
      </c>
      <c r="BI38" s="25">
        <v>0</v>
      </c>
      <c r="BJ38" s="52" t="s">
        <v>81</v>
      </c>
      <c r="BK38" s="23">
        <v>395</v>
      </c>
      <c r="BL38" s="25">
        <v>-9</v>
      </c>
      <c r="BM38" s="52">
        <v>-2.2277227722772297E-2</v>
      </c>
      <c r="BN38" s="23">
        <v>0</v>
      </c>
      <c r="BO38" s="25">
        <v>0</v>
      </c>
      <c r="BP38" s="52" t="s">
        <v>81</v>
      </c>
      <c r="BQ38" s="23">
        <v>12</v>
      </c>
      <c r="BR38" s="25">
        <v>0</v>
      </c>
      <c r="BS38" s="52">
        <v>0</v>
      </c>
    </row>
    <row r="39" spans="2:71" s="4" customFormat="1" x14ac:dyDescent="0.25">
      <c r="B39" s="20" t="s">
        <v>54</v>
      </c>
      <c r="C39" s="21">
        <f t="shared" si="0"/>
        <v>668</v>
      </c>
      <c r="D39" s="25">
        <f t="shared" si="0"/>
        <v>0</v>
      </c>
      <c r="E39" s="52">
        <f t="shared" si="1"/>
        <v>0</v>
      </c>
      <c r="F39" s="23">
        <v>119</v>
      </c>
      <c r="G39" s="25">
        <v>0</v>
      </c>
      <c r="H39" s="52">
        <v>0</v>
      </c>
      <c r="I39" s="23">
        <v>17</v>
      </c>
      <c r="J39" s="25">
        <v>0</v>
      </c>
      <c r="K39" s="52">
        <v>0</v>
      </c>
      <c r="L39" s="23">
        <v>28</v>
      </c>
      <c r="M39" s="25">
        <v>0</v>
      </c>
      <c r="N39" s="52">
        <v>0</v>
      </c>
      <c r="O39" s="23">
        <v>32</v>
      </c>
      <c r="P39" s="25">
        <v>0</v>
      </c>
      <c r="Q39" s="52">
        <v>0</v>
      </c>
      <c r="R39" s="23">
        <v>42</v>
      </c>
      <c r="S39" s="25">
        <v>0</v>
      </c>
      <c r="T39" s="52">
        <v>0</v>
      </c>
      <c r="U39" s="23">
        <v>0</v>
      </c>
      <c r="V39" s="25">
        <v>0</v>
      </c>
      <c r="W39" s="52" t="s">
        <v>81</v>
      </c>
      <c r="X39" s="23">
        <v>0</v>
      </c>
      <c r="Y39" s="25">
        <v>0</v>
      </c>
      <c r="Z39" s="52" t="s">
        <v>81</v>
      </c>
      <c r="AA39" s="23">
        <v>0</v>
      </c>
      <c r="AB39" s="25">
        <v>0</v>
      </c>
      <c r="AC39" s="52" t="s">
        <v>81</v>
      </c>
      <c r="AD39" s="23">
        <v>0</v>
      </c>
      <c r="AE39" s="25">
        <v>0</v>
      </c>
      <c r="AF39" s="52" t="s">
        <v>81</v>
      </c>
      <c r="AG39" s="23">
        <v>6</v>
      </c>
      <c r="AH39" s="25">
        <v>0</v>
      </c>
      <c r="AI39" s="52">
        <v>0</v>
      </c>
      <c r="AJ39" s="23">
        <v>0</v>
      </c>
      <c r="AK39" s="25">
        <v>0</v>
      </c>
      <c r="AL39" s="52" t="s">
        <v>81</v>
      </c>
      <c r="AM39" s="23">
        <v>0</v>
      </c>
      <c r="AN39" s="25">
        <v>0</v>
      </c>
      <c r="AO39" s="52" t="s">
        <v>81</v>
      </c>
      <c r="AP39" s="23">
        <v>0</v>
      </c>
      <c r="AQ39" s="25">
        <v>0</v>
      </c>
      <c r="AR39" s="52" t="s">
        <v>81</v>
      </c>
      <c r="AS39" s="23">
        <v>0</v>
      </c>
      <c r="AT39" s="25">
        <v>0</v>
      </c>
      <c r="AU39" s="52" t="s">
        <v>81</v>
      </c>
      <c r="AV39" s="23">
        <v>0</v>
      </c>
      <c r="AW39" s="25">
        <v>0</v>
      </c>
      <c r="AX39" s="52" t="s">
        <v>81</v>
      </c>
      <c r="AY39" s="23">
        <v>0</v>
      </c>
      <c r="AZ39" s="25">
        <v>0</v>
      </c>
      <c r="BA39" s="52" t="s">
        <v>81</v>
      </c>
      <c r="BB39" s="23">
        <v>0</v>
      </c>
      <c r="BC39" s="25">
        <v>0</v>
      </c>
      <c r="BD39" s="52" t="s">
        <v>81</v>
      </c>
      <c r="BE39" s="23">
        <v>0</v>
      </c>
      <c r="BF39" s="25">
        <v>0</v>
      </c>
      <c r="BG39" s="52" t="s">
        <v>81</v>
      </c>
      <c r="BH39" s="23">
        <v>6</v>
      </c>
      <c r="BI39" s="25">
        <v>0</v>
      </c>
      <c r="BJ39" s="52" t="s">
        <v>81</v>
      </c>
      <c r="BK39" s="23">
        <v>497</v>
      </c>
      <c r="BL39" s="25">
        <v>0</v>
      </c>
      <c r="BM39" s="52">
        <v>0</v>
      </c>
      <c r="BN39" s="23">
        <v>40</v>
      </c>
      <c r="BO39" s="25">
        <v>0</v>
      </c>
      <c r="BP39" s="52">
        <v>0</v>
      </c>
      <c r="BQ39" s="23">
        <v>6</v>
      </c>
      <c r="BR39" s="25">
        <v>0</v>
      </c>
      <c r="BS39" s="52">
        <v>0</v>
      </c>
    </row>
    <row r="40" spans="2:71" s="4" customFormat="1" x14ac:dyDescent="0.25">
      <c r="B40" s="20"/>
      <c r="C40" s="21"/>
      <c r="D40" s="25"/>
      <c r="E40" s="52"/>
      <c r="F40" s="23"/>
      <c r="G40" s="25"/>
      <c r="H40" s="52"/>
      <c r="I40" s="23"/>
      <c r="J40" s="25"/>
      <c r="K40" s="52"/>
      <c r="L40" s="23"/>
      <c r="M40" s="25"/>
      <c r="N40" s="52"/>
      <c r="O40" s="23"/>
      <c r="P40" s="25"/>
      <c r="Q40" s="52"/>
      <c r="R40" s="23"/>
      <c r="S40" s="25"/>
      <c r="T40" s="52"/>
      <c r="U40" s="23"/>
      <c r="V40" s="25"/>
      <c r="W40" s="52"/>
      <c r="X40" s="23"/>
      <c r="Y40" s="25"/>
      <c r="Z40" s="52"/>
      <c r="AA40" s="23"/>
      <c r="AB40" s="25"/>
      <c r="AC40" s="52"/>
      <c r="AD40" s="23"/>
      <c r="AE40" s="25"/>
      <c r="AF40" s="52"/>
      <c r="AG40" s="23"/>
      <c r="AH40" s="25"/>
      <c r="AI40" s="52"/>
      <c r="AJ40" s="23"/>
      <c r="AK40" s="25"/>
      <c r="AL40" s="52"/>
      <c r="AM40" s="23"/>
      <c r="AN40" s="25"/>
      <c r="AO40" s="52"/>
      <c r="AP40" s="23"/>
      <c r="AQ40" s="25"/>
      <c r="AR40" s="52"/>
      <c r="AS40" s="23"/>
      <c r="AT40" s="25"/>
      <c r="AU40" s="52"/>
      <c r="AV40" s="23"/>
      <c r="AW40" s="25"/>
      <c r="AX40" s="52"/>
      <c r="AY40" s="23"/>
      <c r="AZ40" s="25"/>
      <c r="BA40" s="52"/>
      <c r="BB40" s="23"/>
      <c r="BC40" s="25"/>
      <c r="BD40" s="52"/>
      <c r="BE40" s="23"/>
      <c r="BF40" s="25"/>
      <c r="BG40" s="52"/>
      <c r="BH40" s="23"/>
      <c r="BI40" s="25"/>
      <c r="BJ40" s="52"/>
      <c r="BK40" s="23"/>
      <c r="BL40" s="25"/>
      <c r="BM40" s="52"/>
      <c r="BN40" s="23"/>
      <c r="BO40" s="25"/>
      <c r="BP40" s="52"/>
      <c r="BQ40" s="23"/>
      <c r="BR40" s="25"/>
      <c r="BS40" s="52"/>
    </row>
    <row r="41" spans="2:71" s="4" customFormat="1" ht="6" customHeight="1" x14ac:dyDescent="0.25">
      <c r="B41" s="28"/>
      <c r="C41" s="28"/>
      <c r="D41" s="28"/>
      <c r="E41" s="28"/>
      <c r="F41" s="28"/>
      <c r="G41" s="28"/>
      <c r="H41" s="28"/>
      <c r="I41" s="28"/>
      <c r="J41" s="28"/>
      <c r="K41" s="52"/>
      <c r="L41" s="28"/>
      <c r="M41" s="28"/>
      <c r="N41" s="52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</row>
    <row r="42" spans="2:71" s="4" customFormat="1" ht="29.25" customHeight="1" x14ac:dyDescent="0.25">
      <c r="B42" s="124" t="s">
        <v>55</v>
      </c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30"/>
      <c r="Z42" s="55"/>
      <c r="AA42" s="55"/>
      <c r="AB42" s="30"/>
      <c r="AC42" s="55"/>
      <c r="AD42" s="55"/>
      <c r="AE42" s="30"/>
      <c r="AF42" s="55"/>
      <c r="AG42" s="55"/>
      <c r="AH42" s="30"/>
      <c r="AI42" s="55"/>
      <c r="AJ42" s="55"/>
      <c r="AK42" s="30"/>
      <c r="AL42" s="55"/>
      <c r="AM42" s="55"/>
      <c r="AN42" s="30"/>
      <c r="AO42" s="55"/>
      <c r="AP42" s="55"/>
      <c r="AQ42" s="30"/>
      <c r="AR42" s="55"/>
      <c r="AS42" s="55"/>
      <c r="AT42" s="30"/>
      <c r="AU42" s="55"/>
      <c r="AV42" s="55"/>
      <c r="AW42" s="30"/>
      <c r="AX42" s="55"/>
      <c r="AY42" s="55"/>
      <c r="AZ42" s="30"/>
      <c r="BA42" s="55"/>
      <c r="BB42" s="55"/>
      <c r="BC42" s="30"/>
      <c r="BD42" s="55"/>
      <c r="BE42" s="55"/>
      <c r="BF42" s="30"/>
      <c r="BG42" s="55"/>
      <c r="BH42" s="55"/>
      <c r="BI42" s="30"/>
      <c r="BJ42" s="55"/>
      <c r="BK42" s="55"/>
      <c r="BL42" s="30"/>
      <c r="BM42" s="55"/>
      <c r="BN42" s="55"/>
      <c r="BO42" s="30"/>
      <c r="BP42" s="55"/>
      <c r="BQ42" s="55"/>
      <c r="BR42" s="30"/>
      <c r="BS42" s="55"/>
    </row>
    <row r="43" spans="2:71" s="4" customFormat="1" x14ac:dyDescent="0.25"/>
    <row r="52" spans="1:71" ht="30" customHeight="1" x14ac:dyDescent="0.25"/>
    <row r="54" spans="1:71" s="4" customFormat="1" ht="48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</row>
    <row r="55" spans="1:71" s="4" customFormat="1" ht="6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</row>
    <row r="56" spans="1:71" s="4" customForma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</row>
    <row r="59" spans="1:71" s="4" customForma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</row>
    <row r="60" spans="1:71" s="4" customForma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</row>
    <row r="61" spans="1:71" s="4" customForma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</row>
    <row r="62" spans="1:71" s="4" customForma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</row>
    <row r="63" spans="1:71" s="4" customFormat="1" ht="6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</row>
    <row r="64" spans="1:71" s="4" customForma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</row>
    <row r="65" spans="1:71" s="4" customForma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</row>
  </sheetData>
  <mergeCells count="28">
    <mergeCell ref="B42:X42"/>
    <mergeCell ref="AJ6:AL6"/>
    <mergeCell ref="AM6:AO6"/>
    <mergeCell ref="AP6:AR6"/>
    <mergeCell ref="AS6:AU6"/>
    <mergeCell ref="B6:B7"/>
    <mergeCell ref="C6:E6"/>
    <mergeCell ref="F6:H6"/>
    <mergeCell ref="I6:K6"/>
    <mergeCell ref="L6:N6"/>
    <mergeCell ref="O6:Q6"/>
    <mergeCell ref="R6:T6"/>
    <mergeCell ref="U6:W6"/>
    <mergeCell ref="B3:Z3"/>
    <mergeCell ref="F5:AF5"/>
    <mergeCell ref="AG5:BJ5"/>
    <mergeCell ref="BB6:BD6"/>
    <mergeCell ref="BE6:BG6"/>
    <mergeCell ref="BH6:BJ6"/>
    <mergeCell ref="AV6:AX6"/>
    <mergeCell ref="AY6:BA6"/>
    <mergeCell ref="BK5:BM6"/>
    <mergeCell ref="BN5:BP6"/>
    <mergeCell ref="BQ5:BS6"/>
    <mergeCell ref="X6:Z6"/>
    <mergeCell ref="AA6:AC6"/>
    <mergeCell ref="AD6:AF6"/>
    <mergeCell ref="AG6:AI6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&amp;L&amp;G&amp;R_x000D_&amp;1#&amp;"Aptos"&amp;10&amp;K000000 Documento interno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3DC02-E84A-41C3-92E2-4BD89E04EF5F}">
  <sheetPr>
    <tabColor rgb="FF92D050"/>
  </sheetPr>
  <dimension ref="A1:K48"/>
  <sheetViews>
    <sheetView showGridLines="0" zoomScaleNormal="100" workbookViewId="0">
      <selection activeCell="E8" sqref="E8"/>
    </sheetView>
  </sheetViews>
  <sheetFormatPr baseColWidth="10" defaultRowHeight="15" x14ac:dyDescent="0.25"/>
  <cols>
    <col min="1" max="1" width="17.7109375" customWidth="1"/>
    <col min="2" max="2" width="16.140625" customWidth="1"/>
    <col min="3" max="8" width="14.5703125" customWidth="1"/>
    <col min="9" max="9" width="45.42578125" customWidth="1"/>
  </cols>
  <sheetData>
    <row r="1" spans="1:11" ht="30" customHeight="1" x14ac:dyDescent="0.25">
      <c r="C1" s="1"/>
    </row>
    <row r="3" spans="1:11" s="4" customFormat="1" ht="56.25" customHeight="1" thickBot="1" x14ac:dyDescent="0.3">
      <c r="B3" s="102" t="s">
        <v>105</v>
      </c>
      <c r="C3" s="102"/>
      <c r="D3" s="102"/>
      <c r="E3" s="102"/>
      <c r="F3" s="102"/>
      <c r="G3" s="102"/>
      <c r="H3" s="102"/>
    </row>
    <row r="4" spans="1:11" s="4" customFormat="1" ht="6" customHeight="1" x14ac:dyDescent="0.25"/>
    <row r="5" spans="1:11" s="4" customFormat="1" ht="30" x14ac:dyDescent="0.25">
      <c r="B5" s="56"/>
      <c r="C5" s="57" t="s">
        <v>17</v>
      </c>
      <c r="D5" s="57" t="s">
        <v>13</v>
      </c>
      <c r="E5" s="57" t="s">
        <v>14</v>
      </c>
      <c r="F5" s="58" t="s">
        <v>18</v>
      </c>
      <c r="G5" s="57" t="s">
        <v>19</v>
      </c>
      <c r="H5" s="57" t="s">
        <v>20</v>
      </c>
    </row>
    <row r="6" spans="1:11" s="4" customFormat="1" ht="15.75" customHeight="1" x14ac:dyDescent="0.25">
      <c r="B6" s="59" t="s">
        <v>106</v>
      </c>
      <c r="C6" s="60">
        <f>'plazas aut municipio x cat'!C8</f>
        <v>266190</v>
      </c>
      <c r="D6" s="60">
        <f>'plazas aut municipio x cat'!F8</f>
        <v>89523</v>
      </c>
      <c r="E6" s="60">
        <f>'plazas aut municipio x cat'!AG8</f>
        <v>46170</v>
      </c>
      <c r="F6" s="61">
        <f>'plazas aut municipio x cat'!BK8</f>
        <v>128856</v>
      </c>
      <c r="G6" s="60">
        <f>'plazas aut municipio x cat'!BN8</f>
        <v>567</v>
      </c>
      <c r="H6" s="60">
        <f>'plazas aut municipio x cat'!BQ8</f>
        <v>1074</v>
      </c>
      <c r="I6" s="103" t="s">
        <v>82</v>
      </c>
      <c r="J6" s="103"/>
      <c r="K6" s="103"/>
    </row>
    <row r="7" spans="1:11" s="4" customFormat="1" ht="15.75" customHeight="1" x14ac:dyDescent="0.25">
      <c r="B7" s="62">
        <v>2025</v>
      </c>
      <c r="C7" s="63">
        <v>266480</v>
      </c>
      <c r="D7" s="63">
        <v>88798</v>
      </c>
      <c r="E7" s="63">
        <v>45768</v>
      </c>
      <c r="F7" s="64">
        <v>130283</v>
      </c>
      <c r="G7" s="63">
        <v>557</v>
      </c>
      <c r="H7" s="63">
        <v>1074</v>
      </c>
      <c r="I7" s="103"/>
      <c r="J7" s="103"/>
      <c r="K7" s="103"/>
    </row>
    <row r="8" spans="1:11" s="4" customFormat="1" ht="15.75" customHeight="1" x14ac:dyDescent="0.25">
      <c r="B8" s="62">
        <v>2024</v>
      </c>
      <c r="C8" s="63">
        <f>D8+E8+G8+H8+F8</f>
        <v>248688</v>
      </c>
      <c r="D8" s="63">
        <v>87933</v>
      </c>
      <c r="E8" s="63">
        <v>44872</v>
      </c>
      <c r="F8" s="64">
        <v>114294</v>
      </c>
      <c r="G8" s="63">
        <v>527</v>
      </c>
      <c r="H8" s="63">
        <v>1062</v>
      </c>
      <c r="I8" s="103"/>
      <c r="J8" s="103"/>
      <c r="K8" s="103"/>
    </row>
    <row r="9" spans="1:11" s="4" customFormat="1" x14ac:dyDescent="0.25">
      <c r="B9" s="62">
        <v>2023</v>
      </c>
      <c r="C9" s="63">
        <f>D9+E9+G9+H9+F9</f>
        <v>215248</v>
      </c>
      <c r="D9" s="63">
        <v>86004</v>
      </c>
      <c r="E9" s="63">
        <v>47146</v>
      </c>
      <c r="F9" s="64">
        <v>80479</v>
      </c>
      <c r="G9" s="63">
        <v>543</v>
      </c>
      <c r="H9" s="63">
        <v>1076</v>
      </c>
    </row>
    <row r="10" spans="1:11" s="4" customFormat="1" ht="15" customHeight="1" x14ac:dyDescent="0.25">
      <c r="B10" s="62">
        <v>2022</v>
      </c>
      <c r="C10" s="63">
        <f t="shared" ref="C10:C35" si="0">D10+E10+G10+H10+F10</f>
        <v>227001</v>
      </c>
      <c r="D10" s="63">
        <v>86372</v>
      </c>
      <c r="E10" s="63">
        <v>75376</v>
      </c>
      <c r="F10" s="65">
        <v>63638</v>
      </c>
      <c r="G10" s="63">
        <v>543</v>
      </c>
      <c r="H10" s="63">
        <v>1072</v>
      </c>
      <c r="I10" s="104" t="s">
        <v>83</v>
      </c>
      <c r="J10" s="104"/>
      <c r="K10" s="104"/>
    </row>
    <row r="11" spans="1:11" s="4" customFormat="1" x14ac:dyDescent="0.25">
      <c r="B11" s="62">
        <v>2021</v>
      </c>
      <c r="C11" s="63">
        <f t="shared" si="0"/>
        <v>227450</v>
      </c>
      <c r="D11" s="63">
        <v>87426</v>
      </c>
      <c r="E11" s="63">
        <v>77747</v>
      </c>
      <c r="F11" s="65">
        <v>60684</v>
      </c>
      <c r="G11" s="63">
        <v>543</v>
      </c>
      <c r="H11" s="63">
        <v>1050</v>
      </c>
      <c r="I11" s="104"/>
      <c r="J11" s="104"/>
      <c r="K11" s="104"/>
    </row>
    <row r="12" spans="1:11" s="19" customFormat="1" ht="15.75" x14ac:dyDescent="0.25">
      <c r="B12" s="62">
        <v>2020</v>
      </c>
      <c r="C12" s="63">
        <f t="shared" si="0"/>
        <v>228849</v>
      </c>
      <c r="D12" s="63">
        <v>89951</v>
      </c>
      <c r="E12" s="63">
        <v>78098</v>
      </c>
      <c r="F12" s="65">
        <v>59246</v>
      </c>
      <c r="G12" s="63">
        <v>504</v>
      </c>
      <c r="H12" s="63">
        <v>1050</v>
      </c>
      <c r="I12" s="104"/>
      <c r="J12" s="104"/>
      <c r="K12" s="104"/>
    </row>
    <row r="13" spans="1:11" s="19" customFormat="1" ht="15.75" x14ac:dyDescent="0.25">
      <c r="B13" s="62">
        <v>2019</v>
      </c>
      <c r="C13" s="63">
        <f t="shared" si="0"/>
        <v>168415</v>
      </c>
      <c r="D13" s="63">
        <v>89841</v>
      </c>
      <c r="E13" s="63">
        <v>48920</v>
      </c>
      <c r="F13" s="63">
        <v>28150</v>
      </c>
      <c r="G13" s="63">
        <v>527</v>
      </c>
      <c r="H13" s="63">
        <v>977</v>
      </c>
      <c r="J13" s="66"/>
    </row>
    <row r="14" spans="1:11" s="19" customFormat="1" ht="15.75" x14ac:dyDescent="0.25">
      <c r="B14" s="62">
        <v>2018</v>
      </c>
      <c r="C14" s="63">
        <f t="shared" si="0"/>
        <v>151213</v>
      </c>
      <c r="D14" s="63">
        <v>87577</v>
      </c>
      <c r="E14" s="63">
        <v>48674</v>
      </c>
      <c r="F14" s="63">
        <v>13433</v>
      </c>
      <c r="G14" s="63">
        <v>557</v>
      </c>
      <c r="H14" s="63">
        <v>972</v>
      </c>
      <c r="J14" s="66"/>
    </row>
    <row r="15" spans="1:11" s="4" customFormat="1" x14ac:dyDescent="0.25">
      <c r="A15" s="24"/>
      <c r="B15" s="62">
        <v>2017</v>
      </c>
      <c r="C15" s="63">
        <f t="shared" si="0"/>
        <v>139388</v>
      </c>
      <c r="D15" s="63">
        <v>84115</v>
      </c>
      <c r="E15" s="63">
        <v>49021</v>
      </c>
      <c r="F15" s="63">
        <v>4777</v>
      </c>
      <c r="G15" s="63">
        <v>557</v>
      </c>
      <c r="H15" s="63">
        <v>918</v>
      </c>
    </row>
    <row r="16" spans="1:11" s="4" customFormat="1" x14ac:dyDescent="0.25">
      <c r="A16" s="24"/>
      <c r="B16" s="62">
        <v>2016</v>
      </c>
      <c r="C16" s="63">
        <f t="shared" si="0"/>
        <v>136573</v>
      </c>
      <c r="D16" s="63">
        <v>84566</v>
      </c>
      <c r="E16" s="63">
        <v>48923</v>
      </c>
      <c r="F16" s="63">
        <v>1623</v>
      </c>
      <c r="G16" s="63">
        <v>557</v>
      </c>
      <c r="H16" s="63">
        <v>904</v>
      </c>
    </row>
    <row r="17" spans="1:8" s="4" customFormat="1" x14ac:dyDescent="0.25">
      <c r="A17" s="24"/>
      <c r="B17" s="62">
        <v>2015</v>
      </c>
      <c r="C17" s="63">
        <f t="shared" si="0"/>
        <v>134333</v>
      </c>
      <c r="D17" s="63">
        <v>82963</v>
      </c>
      <c r="E17" s="63">
        <v>49605</v>
      </c>
      <c r="F17" s="63">
        <v>324</v>
      </c>
      <c r="G17" s="63">
        <v>553</v>
      </c>
      <c r="H17" s="63">
        <v>888</v>
      </c>
    </row>
    <row r="18" spans="1:8" s="4" customFormat="1" x14ac:dyDescent="0.25">
      <c r="A18" s="24"/>
      <c r="B18" s="62">
        <v>2014</v>
      </c>
      <c r="C18" s="63">
        <f t="shared" si="0"/>
        <v>133348</v>
      </c>
      <c r="D18" s="63">
        <v>82741</v>
      </c>
      <c r="E18" s="63">
        <v>49176</v>
      </c>
      <c r="F18" s="63">
        <v>0</v>
      </c>
      <c r="G18" s="63">
        <v>541</v>
      </c>
      <c r="H18" s="63">
        <v>890</v>
      </c>
    </row>
    <row r="19" spans="1:8" s="4" customFormat="1" x14ac:dyDescent="0.25">
      <c r="A19" s="54"/>
      <c r="B19" s="67">
        <v>2013</v>
      </c>
      <c r="C19" s="63">
        <f t="shared" si="0"/>
        <v>132394</v>
      </c>
      <c r="D19" s="68">
        <v>81884</v>
      </c>
      <c r="E19" s="63">
        <v>49070</v>
      </c>
      <c r="F19" s="63">
        <v>0</v>
      </c>
      <c r="G19" s="68">
        <v>541</v>
      </c>
      <c r="H19" s="68">
        <v>899</v>
      </c>
    </row>
    <row r="20" spans="1:8" s="4" customFormat="1" x14ac:dyDescent="0.25">
      <c r="A20" s="54"/>
      <c r="B20" s="67">
        <v>2012</v>
      </c>
      <c r="C20" s="63">
        <f t="shared" si="0"/>
        <v>133842</v>
      </c>
      <c r="D20" s="68">
        <v>82209</v>
      </c>
      <c r="E20" s="63">
        <v>50319</v>
      </c>
      <c r="F20" s="63">
        <v>0</v>
      </c>
      <c r="G20" s="68">
        <v>529</v>
      </c>
      <c r="H20" s="68">
        <v>785</v>
      </c>
    </row>
    <row r="21" spans="1:8" s="4" customFormat="1" x14ac:dyDescent="0.25">
      <c r="A21" s="54"/>
      <c r="B21" s="67">
        <v>2011</v>
      </c>
      <c r="C21" s="63">
        <f t="shared" si="0"/>
        <v>134186</v>
      </c>
      <c r="D21" s="68">
        <v>81929</v>
      </c>
      <c r="E21" s="63">
        <v>50899</v>
      </c>
      <c r="F21" s="63">
        <v>0</v>
      </c>
      <c r="G21" s="68">
        <v>541</v>
      </c>
      <c r="H21" s="68">
        <v>817</v>
      </c>
    </row>
    <row r="22" spans="1:8" s="4" customFormat="1" x14ac:dyDescent="0.25">
      <c r="A22" s="54"/>
      <c r="B22" s="67">
        <v>2010</v>
      </c>
      <c r="C22" s="63">
        <f t="shared" si="0"/>
        <v>134419</v>
      </c>
      <c r="D22" s="68">
        <v>82341</v>
      </c>
      <c r="E22" s="63">
        <v>50781</v>
      </c>
      <c r="F22" s="63">
        <v>0</v>
      </c>
      <c r="G22" s="68">
        <v>511</v>
      </c>
      <c r="H22" s="68">
        <v>786</v>
      </c>
    </row>
    <row r="23" spans="1:8" s="4" customFormat="1" x14ac:dyDescent="0.25">
      <c r="B23" s="67">
        <v>2009</v>
      </c>
      <c r="C23" s="63">
        <f t="shared" si="0"/>
        <v>134419</v>
      </c>
      <c r="D23" s="68">
        <v>81874</v>
      </c>
      <c r="E23" s="63">
        <v>51323</v>
      </c>
      <c r="F23" s="63">
        <v>0</v>
      </c>
      <c r="G23" s="68">
        <v>462</v>
      </c>
      <c r="H23" s="68">
        <v>760</v>
      </c>
    </row>
    <row r="24" spans="1:8" s="4" customFormat="1" x14ac:dyDescent="0.25">
      <c r="B24" s="67">
        <v>2008</v>
      </c>
      <c r="C24" s="63">
        <f t="shared" si="0"/>
        <v>132438</v>
      </c>
      <c r="D24" s="68">
        <v>79188</v>
      </c>
      <c r="E24" s="63">
        <v>52035</v>
      </c>
      <c r="F24" s="63">
        <v>0</v>
      </c>
      <c r="G24" s="68">
        <v>456</v>
      </c>
      <c r="H24" s="68">
        <v>759</v>
      </c>
    </row>
    <row r="25" spans="1:8" s="4" customFormat="1" x14ac:dyDescent="0.25">
      <c r="B25" s="67">
        <v>2007</v>
      </c>
      <c r="C25" s="63">
        <f t="shared" si="0"/>
        <v>132574</v>
      </c>
      <c r="D25" s="68">
        <v>78825</v>
      </c>
      <c r="E25" s="63">
        <v>52848</v>
      </c>
      <c r="F25" s="63">
        <v>0</v>
      </c>
      <c r="G25" s="68">
        <v>430</v>
      </c>
      <c r="H25" s="68">
        <v>471</v>
      </c>
    </row>
    <row r="26" spans="1:8" s="4" customFormat="1" x14ac:dyDescent="0.25">
      <c r="B26" s="67">
        <v>2006</v>
      </c>
      <c r="C26" s="63">
        <f t="shared" si="0"/>
        <v>129743</v>
      </c>
      <c r="D26" s="68">
        <v>74148</v>
      </c>
      <c r="E26" s="63">
        <v>54775</v>
      </c>
      <c r="F26" s="63">
        <v>0</v>
      </c>
      <c r="G26" s="68">
        <v>420</v>
      </c>
      <c r="H26" s="68">
        <v>400</v>
      </c>
    </row>
    <row r="27" spans="1:8" s="4" customFormat="1" x14ac:dyDescent="0.25">
      <c r="B27" s="67">
        <v>2005</v>
      </c>
      <c r="C27" s="63">
        <f t="shared" si="0"/>
        <v>129649</v>
      </c>
      <c r="D27" s="68">
        <v>73060</v>
      </c>
      <c r="E27" s="63">
        <v>55789</v>
      </c>
      <c r="F27" s="63">
        <v>0</v>
      </c>
      <c r="G27" s="68">
        <v>412</v>
      </c>
      <c r="H27" s="68">
        <v>388</v>
      </c>
    </row>
    <row r="28" spans="1:8" s="4" customFormat="1" x14ac:dyDescent="0.25">
      <c r="B28" s="67">
        <v>2004</v>
      </c>
      <c r="C28" s="63">
        <f t="shared" si="0"/>
        <v>130190</v>
      </c>
      <c r="D28" s="68">
        <v>72323</v>
      </c>
      <c r="E28" s="63">
        <v>57158</v>
      </c>
      <c r="F28" s="63">
        <v>0</v>
      </c>
      <c r="G28" s="68">
        <v>338</v>
      </c>
      <c r="H28" s="68">
        <v>371</v>
      </c>
    </row>
    <row r="29" spans="1:8" s="4" customFormat="1" x14ac:dyDescent="0.25">
      <c r="B29" s="67">
        <v>2003</v>
      </c>
      <c r="C29" s="63">
        <f t="shared" si="0"/>
        <v>129634</v>
      </c>
      <c r="D29" s="68">
        <v>70980</v>
      </c>
      <c r="E29" s="63">
        <v>58009</v>
      </c>
      <c r="F29" s="63">
        <v>0</v>
      </c>
      <c r="G29" s="68">
        <v>316</v>
      </c>
      <c r="H29" s="68">
        <v>329</v>
      </c>
    </row>
    <row r="30" spans="1:8" s="4" customFormat="1" x14ac:dyDescent="0.25">
      <c r="B30" s="67">
        <v>2002</v>
      </c>
      <c r="C30" s="63">
        <f t="shared" si="0"/>
        <v>126136.00390055786</v>
      </c>
      <c r="D30" s="68">
        <v>68204</v>
      </c>
      <c r="E30" s="63">
        <v>57667</v>
      </c>
      <c r="F30" s="63">
        <v>0</v>
      </c>
      <c r="G30" s="68">
        <v>265</v>
      </c>
      <c r="H30" s="68">
        <f>(D30/(D30-G30))-1</f>
        <v>3.9005578533684027E-3</v>
      </c>
    </row>
    <row r="31" spans="1:8" s="4" customFormat="1" x14ac:dyDescent="0.25">
      <c r="B31" s="67">
        <v>2001</v>
      </c>
      <c r="C31" s="63" t="e">
        <f t="shared" si="0"/>
        <v>#N/A</v>
      </c>
      <c r="D31" s="68">
        <v>63564</v>
      </c>
      <c r="E31" s="63">
        <v>57134</v>
      </c>
      <c r="F31" s="63">
        <v>0</v>
      </c>
      <c r="G31" s="68">
        <v>265</v>
      </c>
      <c r="H31" s="68" t="e">
        <f>VLOOKUP($D$1,'estab aut municipio x tip y cat'!$B$8:$BS$39,62+2,FALSE)</f>
        <v>#N/A</v>
      </c>
    </row>
    <row r="32" spans="1:8" s="4" customFormat="1" x14ac:dyDescent="0.25">
      <c r="B32" s="67">
        <v>2000</v>
      </c>
      <c r="C32" s="63">
        <f t="shared" si="0"/>
        <v>117426</v>
      </c>
      <c r="D32" s="68">
        <v>61211</v>
      </c>
      <c r="E32" s="63">
        <v>55900</v>
      </c>
      <c r="F32" s="63">
        <v>0</v>
      </c>
      <c r="G32" s="68">
        <v>220</v>
      </c>
      <c r="H32" s="68">
        <v>95</v>
      </c>
    </row>
    <row r="33" spans="2:8" s="4" customFormat="1" x14ac:dyDescent="0.25">
      <c r="B33" s="67">
        <v>1999</v>
      </c>
      <c r="C33" s="63">
        <f t="shared" si="0"/>
        <v>115064</v>
      </c>
      <c r="D33" s="68">
        <v>57097</v>
      </c>
      <c r="E33" s="63">
        <v>57905</v>
      </c>
      <c r="F33" s="63">
        <v>0</v>
      </c>
      <c r="G33" s="68">
        <v>44</v>
      </c>
      <c r="H33" s="68">
        <v>18</v>
      </c>
    </row>
    <row r="34" spans="2:8" s="4" customFormat="1" x14ac:dyDescent="0.25">
      <c r="B34" s="67">
        <v>1998</v>
      </c>
      <c r="C34" s="63">
        <f t="shared" si="0"/>
        <v>116350</v>
      </c>
      <c r="D34" s="68">
        <v>57246</v>
      </c>
      <c r="E34" s="63">
        <v>59060</v>
      </c>
      <c r="F34" s="63">
        <v>0</v>
      </c>
      <c r="G34" s="68">
        <v>44</v>
      </c>
      <c r="H34" s="68">
        <v>0</v>
      </c>
    </row>
    <row r="35" spans="2:8" s="4" customFormat="1" x14ac:dyDescent="0.25">
      <c r="B35" s="67">
        <v>1997</v>
      </c>
      <c r="C35" s="63">
        <f t="shared" si="0"/>
        <v>116581</v>
      </c>
      <c r="D35" s="68">
        <v>56869</v>
      </c>
      <c r="E35" s="63">
        <v>59712</v>
      </c>
      <c r="F35" s="63">
        <v>0</v>
      </c>
      <c r="G35" s="68">
        <v>0</v>
      </c>
      <c r="H35" s="68">
        <v>0</v>
      </c>
    </row>
    <row r="36" spans="2:8" s="4" customFormat="1" ht="6" customHeight="1" x14ac:dyDescent="0.25">
      <c r="B36" s="28"/>
      <c r="C36" s="69"/>
      <c r="D36" s="69"/>
      <c r="E36" s="69"/>
      <c r="F36" s="69"/>
      <c r="G36" s="69"/>
      <c r="H36" s="69"/>
    </row>
    <row r="37" spans="2:8" s="4" customFormat="1" ht="21" customHeight="1" x14ac:dyDescent="0.25">
      <c r="B37" s="105" t="s">
        <v>55</v>
      </c>
      <c r="C37" s="105"/>
      <c r="D37" s="105"/>
      <c r="E37" s="105"/>
      <c r="F37" s="105"/>
      <c r="G37" s="105"/>
      <c r="H37" s="105"/>
    </row>
    <row r="38" spans="2:8" s="4" customFormat="1" x14ac:dyDescent="0.25"/>
    <row r="39" spans="2:8" s="4" customFormat="1" x14ac:dyDescent="0.25"/>
    <row r="40" spans="2:8" s="4" customFormat="1" x14ac:dyDescent="0.25"/>
    <row r="41" spans="2:8" s="4" customFormat="1" x14ac:dyDescent="0.25"/>
    <row r="42" spans="2:8" s="4" customFormat="1" x14ac:dyDescent="0.25"/>
    <row r="43" spans="2:8" s="4" customFormat="1" x14ac:dyDescent="0.25"/>
    <row r="44" spans="2:8" s="4" customFormat="1" x14ac:dyDescent="0.25"/>
    <row r="45" spans="2:8" s="4" customFormat="1" x14ac:dyDescent="0.25"/>
    <row r="46" spans="2:8" s="4" customFormat="1" ht="6" customHeight="1" x14ac:dyDescent="0.25"/>
    <row r="47" spans="2:8" s="4" customFormat="1" ht="29.25" customHeight="1" x14ac:dyDescent="0.25"/>
    <row r="48" spans="2:8" s="4" customFormat="1" x14ac:dyDescent="0.25"/>
  </sheetData>
  <mergeCells count="4">
    <mergeCell ref="B3:H3"/>
    <mergeCell ref="I6:K8"/>
    <mergeCell ref="I10:K12"/>
    <mergeCell ref="B37:H37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&amp;L&amp;G&amp;R_x000D_&amp;1#&amp;"Aptos"&amp;10&amp;K000000 Documento interno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5E9E1-6B27-4A42-915C-22F910830B0B}">
  <sheetPr>
    <tabColor rgb="FF92D050"/>
  </sheetPr>
  <dimension ref="A1:BG51"/>
  <sheetViews>
    <sheetView showGridLines="0" zoomScale="115" zoomScaleNormal="115" workbookViewId="0"/>
  </sheetViews>
  <sheetFormatPr baseColWidth="10" defaultRowHeight="15" x14ac:dyDescent="0.25"/>
  <cols>
    <col min="2" max="2" width="18" customWidth="1"/>
    <col min="3" max="3" width="23.28515625" customWidth="1"/>
    <col min="4" max="9" width="15.42578125" customWidth="1"/>
    <col min="10" max="10" width="15.5703125" customWidth="1"/>
    <col min="11" max="11" width="29.42578125" customWidth="1"/>
    <col min="12" max="12" width="25.5703125" bestFit="1" customWidth="1"/>
    <col min="13" max="13" width="24.42578125" customWidth="1"/>
    <col min="14" max="14" width="25.5703125" bestFit="1" customWidth="1"/>
    <col min="15" max="15" width="24.42578125" customWidth="1"/>
    <col min="16" max="16" width="30.140625" bestFit="1" customWidth="1"/>
    <col min="17" max="17" width="30.5703125" bestFit="1" customWidth="1"/>
    <col min="18" max="18" width="29.42578125" customWidth="1"/>
    <col min="19" max="19" width="29.42578125" bestFit="1" customWidth="1"/>
  </cols>
  <sheetData>
    <row r="1" spans="3:59" ht="30" customHeight="1" x14ac:dyDescent="0.4">
      <c r="C1" s="70" t="s">
        <v>84</v>
      </c>
      <c r="D1" s="71" t="s">
        <v>23</v>
      </c>
      <c r="E1" s="71"/>
      <c r="F1" s="71"/>
      <c r="G1" s="71"/>
    </row>
    <row r="3" spans="3:59" s="4" customFormat="1" ht="51.75" customHeight="1" x14ac:dyDescent="0.25">
      <c r="C3" s="127" t="str">
        <f>CONCATENATE("Plazas turísticas inscritas (1) en ",D1," según tipología y categoría del establecimiento
Distribución por categoría")</f>
        <v>Plazas turísticas inscritas (1) en Total Isla según tipología y categoría del establecimiento
Distribución por categoría</v>
      </c>
      <c r="D3" s="127"/>
      <c r="E3" s="127"/>
      <c r="F3" s="127"/>
      <c r="G3" s="127"/>
      <c r="H3" s="127"/>
      <c r="I3" s="72"/>
    </row>
    <row r="4" spans="3:59" s="4" customFormat="1" ht="16.5" customHeight="1" thickBot="1" x14ac:dyDescent="0.3">
      <c r="C4" s="128" t="s">
        <v>106</v>
      </c>
      <c r="D4" s="128"/>
      <c r="E4" s="128"/>
      <c r="F4" s="73"/>
      <c r="G4" s="73"/>
      <c r="H4" s="73"/>
      <c r="I4" s="72"/>
    </row>
    <row r="5" spans="3:59" ht="6" customHeight="1" x14ac:dyDescent="0.25">
      <c r="C5" s="74"/>
      <c r="D5" s="74"/>
      <c r="E5" s="74"/>
      <c r="F5" s="74"/>
      <c r="G5" s="74"/>
      <c r="H5" s="74"/>
      <c r="I5" s="72"/>
      <c r="J5" s="4"/>
    </row>
    <row r="6" spans="3:59" s="4" customFormat="1" ht="37.5" customHeight="1" x14ac:dyDescent="0.25">
      <c r="C6" s="13"/>
      <c r="D6" s="14" t="s">
        <v>21</v>
      </c>
      <c r="E6" s="15" t="s">
        <v>22</v>
      </c>
      <c r="F6" s="15" t="s">
        <v>85</v>
      </c>
      <c r="G6" s="75" t="s">
        <v>86</v>
      </c>
      <c r="H6" s="15" t="s">
        <v>87</v>
      </c>
    </row>
    <row r="7" spans="3:59" s="19" customFormat="1" ht="15.75" x14ac:dyDescent="0.25">
      <c r="C7" s="76" t="s">
        <v>13</v>
      </c>
      <c r="D7" s="77">
        <f>VLOOKUP($D$1,'plazas aut municipio x cat'!$B$8:$BS$39,5,FALSE)</f>
        <v>89523</v>
      </c>
      <c r="E7" s="78">
        <f>D7/$D$30</f>
        <v>0.33631240843006877</v>
      </c>
      <c r="F7" s="78">
        <f>D7/$D$28</f>
        <v>0.65186334046922101</v>
      </c>
      <c r="G7" s="77">
        <f>VLOOKUP($D$1,'plazas aut municipio x cat'!$B$8:$BS$39,5+1,FALSE)</f>
        <v>724</v>
      </c>
      <c r="H7" s="79">
        <f>VLOOKUP($D$1,'plazas aut municipio x cat'!$B$8:$BS$39,5+2,FALSE)</f>
        <v>8.164598301763526E-3</v>
      </c>
    </row>
    <row r="8" spans="3:59" s="4" customFormat="1" x14ac:dyDescent="0.25">
      <c r="C8" s="80" t="s">
        <v>63</v>
      </c>
      <c r="D8" s="23">
        <f>VLOOKUP($D$1,'plazas aut municipio x cat'!$B$8:$BS$39,8,FALSE)</f>
        <v>1218</v>
      </c>
      <c r="E8" s="22">
        <f t="shared" ref="E8:E30" si="0">D8/$D$30</f>
        <v>4.5756790262594391E-3</v>
      </c>
      <c r="F8" s="22">
        <f t="shared" ref="F8:F28" si="1">D8/$D$28</f>
        <v>8.8688889859757959E-3</v>
      </c>
      <c r="G8" s="23">
        <f>VLOOKUP($D$1,'plazas aut municipio x cat'!$B$8:$BS$39,8+1,FALSE)</f>
        <v>0</v>
      </c>
      <c r="H8" s="81">
        <f>VLOOKUP($D$1,'plazas aut municipio x cat'!$B$8:$BS$39,8+2,FALSE)</f>
        <v>0</v>
      </c>
      <c r="J8"/>
      <c r="AF8" s="4" t="e">
        <v>#REF!</v>
      </c>
      <c r="BG8" s="4">
        <v>0</v>
      </c>
    </row>
    <row r="9" spans="3:59" s="4" customFormat="1" x14ac:dyDescent="0.25">
      <c r="C9" s="80" t="s">
        <v>64</v>
      </c>
      <c r="D9" s="23">
        <f>VLOOKUP($D$1,'plazas aut municipio x cat'!$B$8:$BS$39,11,FALSE)</f>
        <v>2080</v>
      </c>
      <c r="E9" s="22">
        <f t="shared" si="0"/>
        <v>7.8139674668469897E-3</v>
      </c>
      <c r="F9" s="22">
        <f t="shared" si="1"/>
        <v>1.5145557545837155E-2</v>
      </c>
      <c r="G9" s="23">
        <f>VLOOKUP($D$1,'plazas aut municipio x cat'!$B$8:$BS$39,11+1,FALSE)</f>
        <v>0</v>
      </c>
      <c r="H9" s="81">
        <f>VLOOKUP($D$1,'plazas aut municipio x cat'!$B$8:$BS$39,11+2,FALSE)</f>
        <v>0</v>
      </c>
      <c r="J9"/>
      <c r="AF9" s="4">
        <v>0</v>
      </c>
      <c r="BG9" s="4">
        <v>0</v>
      </c>
    </row>
    <row r="10" spans="3:59" s="4" customFormat="1" x14ac:dyDescent="0.25">
      <c r="C10" s="80" t="s">
        <v>65</v>
      </c>
      <c r="D10" s="23">
        <f>VLOOKUP($D$1,'plazas aut municipio x cat'!$B$8:$BS$39,14,FALSE)</f>
        <v>12891</v>
      </c>
      <c r="E10" s="22">
        <f t="shared" si="0"/>
        <v>4.8427814718809872E-2</v>
      </c>
      <c r="F10" s="22">
        <f t="shared" si="1"/>
        <v>9.3866049193935958E-2</v>
      </c>
      <c r="G10" s="23">
        <f>VLOOKUP($D$1,'plazas aut municipio x cat'!$B$8:$BS$39,14+1,FALSE)</f>
        <v>0</v>
      </c>
      <c r="H10" s="81">
        <f>VLOOKUP($D$1,'plazas aut municipio x cat'!$B$8:$BS$39,14+2,FALSE)</f>
        <v>0</v>
      </c>
      <c r="J10"/>
      <c r="AF10" s="4">
        <v>0</v>
      </c>
      <c r="BG10" s="4">
        <v>0</v>
      </c>
    </row>
    <row r="11" spans="3:59" s="4" customFormat="1" x14ac:dyDescent="0.25">
      <c r="C11" s="80" t="s">
        <v>66</v>
      </c>
      <c r="D11" s="23">
        <f>VLOOKUP($D$1,'plazas aut municipio x cat'!$B$8:$BS$39,17,FALSE)</f>
        <v>55529</v>
      </c>
      <c r="E11" s="22">
        <f t="shared" si="0"/>
        <v>0.20860663435891658</v>
      </c>
      <c r="F11" s="22">
        <f t="shared" si="1"/>
        <v>0.40433541584749588</v>
      </c>
      <c r="G11" s="23">
        <f>VLOOKUP($D$1,'plazas aut municipio x cat'!$B$8:$BS$39,17+1,FALSE)</f>
        <v>766</v>
      </c>
      <c r="H11" s="81">
        <f>VLOOKUP($D$1,'plazas aut municipio x cat'!$B$8:$BS$39,17+2,FALSE)</f>
        <v>1.3987546336029721E-2</v>
      </c>
      <c r="J11"/>
      <c r="AF11" s="4">
        <v>0</v>
      </c>
      <c r="BG11" s="4">
        <v>0</v>
      </c>
    </row>
    <row r="12" spans="3:59" s="4" customFormat="1" x14ac:dyDescent="0.25">
      <c r="C12" s="80" t="s">
        <v>67</v>
      </c>
      <c r="D12" s="23">
        <f>VLOOKUP($D$1,'plazas aut municipio x cat'!$B$8:$BS$39,20,FALSE)</f>
        <v>11179</v>
      </c>
      <c r="E12" s="22">
        <f t="shared" si="0"/>
        <v>4.1996318419174276E-2</v>
      </c>
      <c r="F12" s="22">
        <f t="shared" si="1"/>
        <v>8.1400090290823832E-2</v>
      </c>
      <c r="G12" s="23">
        <f>VLOOKUP($D$1,'plazas aut municipio x cat'!$B$8:$BS$39,20+1,FALSE)</f>
        <v>0</v>
      </c>
      <c r="H12" s="81">
        <f>VLOOKUP($D$1,'plazas aut municipio x cat'!$B$8:$BS$39,20+2,FALSE)</f>
        <v>0</v>
      </c>
      <c r="J12"/>
      <c r="AF12" s="4">
        <v>0</v>
      </c>
      <c r="BG12" s="4">
        <v>0</v>
      </c>
    </row>
    <row r="13" spans="3:59" s="4" customFormat="1" x14ac:dyDescent="0.25">
      <c r="C13" s="80" t="s">
        <v>68</v>
      </c>
      <c r="D13" s="23">
        <f>VLOOKUP($D$1,'plazas aut municipio x cat'!$B$8:$BS$39,23,FALSE)</f>
        <v>2822</v>
      </c>
      <c r="E13" s="22">
        <f t="shared" si="0"/>
        <v>1.060145009203952E-2</v>
      </c>
      <c r="F13" s="22">
        <f t="shared" si="1"/>
        <v>2.0548443939592525E-2</v>
      </c>
      <c r="G13" s="23">
        <f>VLOOKUP($D$1,'plazas aut municipio x cat'!$B$8:$BS$39,23+1,FALSE)</f>
        <v>0</v>
      </c>
      <c r="H13" s="81">
        <f>VLOOKUP($D$1,'plazas aut municipio x cat'!$B$8:$BS$39,23+2,FALSE)</f>
        <v>0</v>
      </c>
      <c r="J13"/>
      <c r="AF13" s="4">
        <v>0</v>
      </c>
      <c r="BG13" s="4">
        <v>0</v>
      </c>
    </row>
    <row r="14" spans="3:59" s="4" customFormat="1" x14ac:dyDescent="0.25">
      <c r="C14" s="80" t="s">
        <v>69</v>
      </c>
      <c r="D14" s="23">
        <f>VLOOKUP($D$1,'plazas aut municipio x cat'!$B$8:$BS$39,26,FALSE)</f>
        <v>3576</v>
      </c>
      <c r="E14" s="22">
        <f t="shared" si="0"/>
        <v>1.3434013298771554E-2</v>
      </c>
      <c r="F14" s="22">
        <f t="shared" si="1"/>
        <v>2.6038708549958496E-2</v>
      </c>
      <c r="G14" s="23">
        <f>VLOOKUP($D$1,'plazas aut municipio x cat'!$B$8:$BS$39,26+1,FALSE)</f>
        <v>-11</v>
      </c>
      <c r="H14" s="81">
        <f>VLOOKUP($D$1,'plazas aut municipio x cat'!$B$8:$BS$39,26+2,FALSE)</f>
        <v>-3.0666294954000417E-3</v>
      </c>
      <c r="J14"/>
      <c r="AF14" s="4">
        <v>0</v>
      </c>
      <c r="BG14" s="4">
        <v>0</v>
      </c>
    </row>
    <row r="15" spans="3:59" s="4" customFormat="1" x14ac:dyDescent="0.25">
      <c r="C15" s="82" t="s">
        <v>70</v>
      </c>
      <c r="D15" s="23">
        <f>VLOOKUP($D$1,'plazas aut municipio x cat'!$B$8:$BS$39,29,FALSE)</f>
        <v>228</v>
      </c>
      <c r="E15" s="22">
        <f t="shared" si="0"/>
        <v>8.5653104925053529E-4</v>
      </c>
      <c r="F15" s="22">
        <f t="shared" si="1"/>
        <v>1.6601861156013806E-3</v>
      </c>
      <c r="G15" s="23">
        <f>VLOOKUP($D$1,'plazas aut municipio x cat'!$B$8:$BS$39,29+1,FALSE)</f>
        <v>62</v>
      </c>
      <c r="H15" s="81">
        <f>VLOOKUP($D$1,'plazas aut municipio x cat'!$B$8:$BS$39,29+2,FALSE)</f>
        <v>0</v>
      </c>
      <c r="J15"/>
      <c r="AF15" s="4">
        <v>0</v>
      </c>
      <c r="BG15" s="4">
        <v>0</v>
      </c>
    </row>
    <row r="16" spans="3:59" s="4" customFormat="1" x14ac:dyDescent="0.25">
      <c r="C16" s="76" t="s">
        <v>14</v>
      </c>
      <c r="D16" s="77">
        <f>VLOOKUP($D$1,'plazas aut municipio x cat'!$B$8:$BS$39,32,FALSE)</f>
        <v>46170</v>
      </c>
      <c r="E16" s="78">
        <f t="shared" si="0"/>
        <v>0.17344753747323341</v>
      </c>
      <c r="F16" s="78">
        <f t="shared" si="1"/>
        <v>0.33618768840927954</v>
      </c>
      <c r="G16" s="77">
        <f>VLOOKUP($D$1,'plazas aut municipio x cat'!$B$8:$BS$39,32+1,FALSE)</f>
        <v>402</v>
      </c>
      <c r="H16" s="79">
        <f>VLOOKUP($D$1,'plazas aut municipio x cat'!$B$8:$BS$39,32+2,FALSE)</f>
        <v>1.2300822973209558E-2</v>
      </c>
      <c r="J16"/>
      <c r="AF16" s="4">
        <v>0</v>
      </c>
      <c r="BG16" s="4">
        <v>0</v>
      </c>
    </row>
    <row r="17" spans="1:59" s="4" customFormat="1" x14ac:dyDescent="0.25">
      <c r="C17" s="80" t="s">
        <v>72</v>
      </c>
      <c r="D17" s="23">
        <f>VLOOKUP($D$1,'plazas aut municipio x cat'!$B$8:$BS$39,35,FALSE)</f>
        <v>6579</v>
      </c>
      <c r="E17" s="22">
        <f t="shared" si="0"/>
        <v>2.4715428829031893E-2</v>
      </c>
      <c r="F17" s="22">
        <f t="shared" si="1"/>
        <v>4.7905107256760893E-2</v>
      </c>
      <c r="G17" s="23">
        <f>VLOOKUP($D$1,'plazas aut municipio x cat'!$B$8:$BS$39,35+1,FALSE)</f>
        <v>0</v>
      </c>
      <c r="H17" s="81">
        <f>VLOOKUP($D$1,'plazas aut municipio x cat'!$B$8:$BS$39,35+2,FALSE)</f>
        <v>0</v>
      </c>
      <c r="J17" s="32"/>
      <c r="AF17" s="4">
        <v>0</v>
      </c>
      <c r="BG17" s="4">
        <v>0</v>
      </c>
    </row>
    <row r="18" spans="1:59" s="4" customFormat="1" x14ac:dyDescent="0.25">
      <c r="C18" s="80" t="s">
        <v>73</v>
      </c>
      <c r="D18" s="23">
        <f>VLOOKUP($D$1,'plazas aut municipio x cat'!$B$8:$BS$39,38,FALSE)</f>
        <v>10541</v>
      </c>
      <c r="E18" s="22">
        <f t="shared" si="0"/>
        <v>3.9599534167324091E-2</v>
      </c>
      <c r="F18" s="22">
        <f t="shared" si="1"/>
        <v>7.6754481774360325E-2</v>
      </c>
      <c r="G18" s="23">
        <f>VLOOKUP($D$1,'plazas aut municipio x cat'!$B$8:$BS$39,38+1,FALSE)</f>
        <v>162</v>
      </c>
      <c r="H18" s="81">
        <f>VLOOKUP($D$1,'plazas aut municipio x cat'!$B$8:$BS$39,38+2,FALSE)</f>
        <v>1.5608440119472045E-2</v>
      </c>
      <c r="J18" s="32"/>
      <c r="AF18" s="4">
        <v>0</v>
      </c>
      <c r="BG18" s="4">
        <v>0</v>
      </c>
    </row>
    <row r="19" spans="1:59" s="4" customFormat="1" x14ac:dyDescent="0.25">
      <c r="C19" s="80" t="s">
        <v>74</v>
      </c>
      <c r="D19" s="23">
        <f>VLOOKUP($D$1,'plazas aut municipio x cat'!$B$8:$BS$39,41,FALSE)</f>
        <v>17193</v>
      </c>
      <c r="E19" s="22">
        <f t="shared" si="0"/>
        <v>6.4589203200721285E-2</v>
      </c>
      <c r="F19" s="22">
        <f t="shared" si="1"/>
        <v>0.12519113984883568</v>
      </c>
      <c r="G19" s="23">
        <f>VLOOKUP($D$1,'plazas aut municipio x cat'!$B$8:$BS$39,41+1,FALSE)</f>
        <v>0</v>
      </c>
      <c r="H19" s="81">
        <f>VLOOKUP($D$1,'plazas aut municipio x cat'!$B$8:$BS$39,41+2,FALSE)</f>
        <v>0</v>
      </c>
      <c r="J19" s="32"/>
      <c r="AF19" s="4">
        <v>0</v>
      </c>
      <c r="BG19" s="4">
        <v>0</v>
      </c>
    </row>
    <row r="20" spans="1:59" s="4" customFormat="1" x14ac:dyDescent="0.25">
      <c r="C20" s="80" t="s">
        <v>75</v>
      </c>
      <c r="D20" s="23">
        <f>VLOOKUP($D$1,'plazas aut municipio x cat'!$B$8:$BS$39,44,FALSE)</f>
        <v>218</v>
      </c>
      <c r="E20" s="22">
        <f t="shared" si="0"/>
        <v>8.1896389796761707E-4</v>
      </c>
      <c r="F20" s="22">
        <f t="shared" si="1"/>
        <v>1.5873709350925482E-3</v>
      </c>
      <c r="G20" s="23">
        <f>VLOOKUP($D$1,'plazas aut municipio x cat'!$B$8:$BS$39,44+1,FALSE)</f>
        <v>0</v>
      </c>
      <c r="H20" s="81">
        <f>VLOOKUP($D$1,'plazas aut municipio x cat'!$B$8:$BS$39,44+2,FALSE)</f>
        <v>0</v>
      </c>
      <c r="J20" s="32"/>
      <c r="AF20" s="4">
        <v>0</v>
      </c>
      <c r="BG20" s="4">
        <v>0</v>
      </c>
    </row>
    <row r="21" spans="1:59" s="4" customFormat="1" x14ac:dyDescent="0.25">
      <c r="C21" s="80" t="s">
        <v>65</v>
      </c>
      <c r="D21" s="23">
        <f>VLOOKUP($D$1,'plazas aut municipio x cat'!$B$8:$BS$39,47,FALSE)</f>
        <v>7453</v>
      </c>
      <c r="E21" s="22">
        <f t="shared" si="0"/>
        <v>2.7998797851158948E-2</v>
      </c>
      <c r="F21" s="22">
        <f t="shared" si="1"/>
        <v>5.4269154033232847E-2</v>
      </c>
      <c r="G21" s="23">
        <f>VLOOKUP($D$1,'plazas aut municipio x cat'!$B$8:$BS$39,47+1,FALSE)</f>
        <v>244</v>
      </c>
      <c r="H21" s="81">
        <f>VLOOKUP($D$1,'plazas aut municipio x cat'!$B$8:$BS$39,47+2,FALSE)</f>
        <v>3.3846580663060122E-2</v>
      </c>
      <c r="J21" s="32"/>
      <c r="AF21" s="4">
        <v>0</v>
      </c>
      <c r="BG21" s="4">
        <v>0</v>
      </c>
    </row>
    <row r="22" spans="1:59" s="4" customFormat="1" x14ac:dyDescent="0.25">
      <c r="C22" s="80" t="s">
        <v>66</v>
      </c>
      <c r="D22" s="23">
        <f>VLOOKUP($D$1,'plazas aut municipio x cat'!$B$8:$BS$39,50,FALSE)</f>
        <v>2103</v>
      </c>
      <c r="E22" s="22">
        <f t="shared" si="0"/>
        <v>7.9003719147977009E-3</v>
      </c>
      <c r="F22" s="22">
        <f t="shared" si="1"/>
        <v>1.5313032461007471E-2</v>
      </c>
      <c r="G22" s="23">
        <f>VLOOKUP($D$1,'plazas aut municipio x cat'!$B$8:$BS$39,50+1,FALSE)</f>
        <v>4</v>
      </c>
      <c r="H22" s="81">
        <f>VLOOKUP($D$1,'plazas aut municipio x cat'!$B$8:$BS$39,50+2,FALSE)</f>
        <v>1.9056693663648261E-3</v>
      </c>
      <c r="J22" s="32"/>
      <c r="AF22" s="4">
        <v>0</v>
      </c>
      <c r="BG22" s="4">
        <v>0</v>
      </c>
    </row>
    <row r="23" spans="1:59" s="4" customFormat="1" x14ac:dyDescent="0.25">
      <c r="C23" s="80" t="s">
        <v>67</v>
      </c>
      <c r="D23" s="23">
        <f>VLOOKUP($D$1,'plazas aut municipio x cat'!$B$8:$BS$39,53,FALSE)</f>
        <v>1579</v>
      </c>
      <c r="E23" s="22">
        <f t="shared" si="0"/>
        <v>5.9318531875727862E-3</v>
      </c>
      <c r="F23" s="22">
        <f t="shared" si="1"/>
        <v>1.1497517002344649E-2</v>
      </c>
      <c r="G23" s="23">
        <f>VLOOKUP($D$1,'plazas aut municipio x cat'!$B$8:$BS$39,53+1,FALSE)</f>
        <v>0</v>
      </c>
      <c r="H23" s="81">
        <f>VLOOKUP($D$1,'plazas aut municipio x cat'!$B$8:$BS$39,53+2,FALSE)</f>
        <v>0</v>
      </c>
      <c r="J23" s="32"/>
      <c r="AF23" s="4">
        <v>0</v>
      </c>
      <c r="BG23" s="4">
        <v>0</v>
      </c>
    </row>
    <row r="24" spans="1:59" s="4" customFormat="1" x14ac:dyDescent="0.25">
      <c r="C24" s="80" t="s">
        <v>76</v>
      </c>
      <c r="D24" s="23">
        <f>VLOOKUP($D$1,'plazas aut municipio x cat'!$B$8:$BS$39,56,FALSE)</f>
        <v>406</v>
      </c>
      <c r="E24" s="22">
        <f t="shared" si="0"/>
        <v>1.5252263420864796E-3</v>
      </c>
      <c r="F24" s="22">
        <f t="shared" si="1"/>
        <v>2.9562963286585988E-3</v>
      </c>
      <c r="G24" s="23">
        <f>VLOOKUP($D$1,'plazas aut municipio x cat'!$B$8:$BS$39,56+1,FALSE)</f>
        <v>-8</v>
      </c>
      <c r="H24" s="81">
        <f>VLOOKUP($D$1,'plazas aut municipio x cat'!$B$8:$BS$39,56+2,FALSE)</f>
        <v>-1.9323671497584516E-2</v>
      </c>
      <c r="J24" s="32"/>
      <c r="AF24" s="4">
        <v>0</v>
      </c>
      <c r="BG24" s="4">
        <v>0</v>
      </c>
    </row>
    <row r="25" spans="1:59" s="4" customFormat="1" ht="25.5" x14ac:dyDescent="0.25">
      <c r="C25" s="82" t="s">
        <v>77</v>
      </c>
      <c r="D25" s="23">
        <f>VLOOKUP($D$1,'plazas aut municipio x cat'!$B$8:$BS$39,59,FALSE)</f>
        <v>98</v>
      </c>
      <c r="E25" s="22">
        <f t="shared" si="0"/>
        <v>3.6815808257259855E-4</v>
      </c>
      <c r="F25" s="22">
        <f t="shared" si="1"/>
        <v>7.1358876898655827E-4</v>
      </c>
      <c r="G25" s="23">
        <f>VLOOKUP($D$1,'plazas aut municipio x cat'!$B$8:$BS$39,59+1,FALSE)</f>
        <v>0</v>
      </c>
      <c r="H25" s="81">
        <f>VLOOKUP($D$1,'plazas aut municipio x cat'!$B$8:$BS$39,59+2,FALSE)</f>
        <v>0</v>
      </c>
      <c r="J25" s="32"/>
      <c r="AF25" s="4">
        <v>0</v>
      </c>
      <c r="BG25" s="4">
        <v>0</v>
      </c>
    </row>
    <row r="26" spans="1:59" s="4" customFormat="1" x14ac:dyDescent="0.25">
      <c r="C26" s="76" t="s">
        <v>15</v>
      </c>
      <c r="D26" s="77">
        <f>VLOOKUP($D$1,'plazas aut municipio x cat'!$B$8:$BS$39,65,FALSE)</f>
        <v>567</v>
      </c>
      <c r="E26" s="78">
        <f t="shared" si="0"/>
        <v>2.130057477741463E-3</v>
      </c>
      <c r="F26" s="78">
        <f t="shared" si="1"/>
        <v>4.1286207348508021E-3</v>
      </c>
      <c r="G26" s="77">
        <f>VLOOKUP($D$1,'plazas aut municipio x cat'!$B$8:$BS$39,65+1,FALSE)</f>
        <v>9</v>
      </c>
      <c r="H26" s="79">
        <f>VLOOKUP($D$1,'plazas aut municipio x cat'!$B$8:$BS$39,65+2,FALSE)</f>
        <v>1.795332136445249E-2</v>
      </c>
      <c r="J26" s="32"/>
      <c r="AF26" s="4">
        <v>0</v>
      </c>
      <c r="BG26" s="4">
        <v>0</v>
      </c>
    </row>
    <row r="27" spans="1:59" s="4" customFormat="1" x14ac:dyDescent="0.25">
      <c r="C27" s="76" t="s">
        <v>88</v>
      </c>
      <c r="D27" s="77">
        <f>VLOOKUP($D$1,'plazas aut municipio x cat'!$B$8:$BS$39,68,FALSE)</f>
        <v>1074</v>
      </c>
      <c r="E27" s="78">
        <f t="shared" si="0"/>
        <v>4.0347120477854164E-3</v>
      </c>
      <c r="F27" s="78">
        <f t="shared" si="1"/>
        <v>7.8203503866486092E-3</v>
      </c>
      <c r="G27" s="77">
        <f>VLOOKUP($D$1,'plazas aut municipio x cat'!$B$8:$BS$39,68+1,FALSE)</f>
        <v>-1</v>
      </c>
      <c r="H27" s="79">
        <f>VLOOKUP($D$1,'plazas aut municipio x cat'!$B$8:$BS$39,68+2,FALSE)</f>
        <v>0</v>
      </c>
      <c r="J27" s="32"/>
      <c r="AF27" s="4">
        <v>0</v>
      </c>
      <c r="BG27" s="4">
        <v>0</v>
      </c>
    </row>
    <row r="28" spans="1:59" s="4" customFormat="1" ht="30" x14ac:dyDescent="0.25">
      <c r="A28" s="1">
        <f>VLOOKUP($D$1,'plazas aut municipio x cat'!$B$8:$BS$39,2,FALSE)-VLOOKUP($D$1,'plazas aut municipio x cat'!$B$8:$BS$39,3,FALSE)-(VLOOKUP($D$1,'plazas aut municipio x cat'!$B$8:$BS$39,62,FALSE)-VLOOKUP($D$1,'plazas aut municipio x cat'!$B$8:$BS$39,63,FALSE))</f>
        <v>136200</v>
      </c>
      <c r="C28" s="83" t="s">
        <v>89</v>
      </c>
      <c r="D28" s="84">
        <f>D7+D16+D27+D26</f>
        <v>137334</v>
      </c>
      <c r="E28" s="85">
        <f t="shared" si="0"/>
        <v>0.51592471542882901</v>
      </c>
      <c r="F28" s="85">
        <f t="shared" si="1"/>
        <v>1</v>
      </c>
      <c r="G28" s="84">
        <f>G7+G16+G27+G26</f>
        <v>1134</v>
      </c>
      <c r="H28" s="86">
        <f>(D28/(D28-G28))-1</f>
        <v>8.3259911894273397E-3</v>
      </c>
      <c r="AF28" s="4">
        <v>0</v>
      </c>
      <c r="BG28" s="4">
        <v>0</v>
      </c>
    </row>
    <row r="29" spans="1:59" s="4" customFormat="1" ht="35.25" customHeight="1" x14ac:dyDescent="0.25">
      <c r="C29" s="87" t="s">
        <v>90</v>
      </c>
      <c r="D29" s="84">
        <f>VLOOKUP($D$1,'plazas aut municipio x cat'!$B$8:$BS$39,62,FALSE)</f>
        <v>128856</v>
      </c>
      <c r="E29" s="88">
        <f>D29/$D$30</f>
        <v>0.48407528457117099</v>
      </c>
      <c r="F29" s="88"/>
      <c r="G29" s="84">
        <f>VLOOKUP($D$1,'plazas aut municipio x cat'!$B$8:$BS$39,62+1,FALSE)</f>
        <v>-1427</v>
      </c>
      <c r="H29" s="86">
        <f>VLOOKUP($D$1,'plazas aut municipio x cat'!$B$8:$BS$39,62+2,FALSE)</f>
        <v>-1.0888581952117837E-2</v>
      </c>
      <c r="J29" s="32"/>
      <c r="AF29" s="4">
        <v>0</v>
      </c>
      <c r="BG29" s="4">
        <v>0</v>
      </c>
    </row>
    <row r="30" spans="1:59" s="4" customFormat="1" ht="21.75" customHeight="1" x14ac:dyDescent="0.25">
      <c r="C30" s="89" t="s">
        <v>17</v>
      </c>
      <c r="D30" s="17">
        <f>VLOOKUP($D$1,'plazas aut municipio x cat'!$B$8:$BS$39,2,FALSE)</f>
        <v>266190</v>
      </c>
      <c r="E30" s="18">
        <f t="shared" si="0"/>
        <v>1</v>
      </c>
      <c r="F30" s="18"/>
      <c r="G30" s="17">
        <f>VLOOKUP($D$1,'plazas aut municipio x cat'!$B$8:$BS$39,3,FALSE)</f>
        <v>-293</v>
      </c>
      <c r="H30" s="90">
        <f>VLOOKUP($D$1,'plazas aut municipio x cat'!$B$8:$BS$39,4,FALSE)</f>
        <v>-1.0995072856430088E-3</v>
      </c>
      <c r="I30" s="32"/>
      <c r="J30" s="32"/>
      <c r="AF30" s="4">
        <v>0</v>
      </c>
      <c r="BG30" s="4">
        <v>0</v>
      </c>
    </row>
    <row r="31" spans="1:59" s="4" customFormat="1" ht="11.25" customHeight="1" x14ac:dyDescent="0.25">
      <c r="C31" s="28"/>
      <c r="D31" s="28"/>
      <c r="E31" s="28"/>
      <c r="F31" s="28"/>
      <c r="G31" s="28"/>
      <c r="H31" s="28"/>
      <c r="I31" s="32"/>
      <c r="J31" s="32"/>
      <c r="AF31" s="4">
        <v>0</v>
      </c>
      <c r="BG31" s="4">
        <v>0</v>
      </c>
    </row>
    <row r="32" spans="1:59" s="4" customFormat="1" ht="54.75" customHeight="1" x14ac:dyDescent="0.25">
      <c r="C32" s="124" t="s">
        <v>91</v>
      </c>
      <c r="D32" s="124"/>
      <c r="E32" s="124"/>
      <c r="F32" s="124"/>
      <c r="G32" s="124"/>
      <c r="H32" s="124"/>
      <c r="I32" s="32"/>
      <c r="AF32" s="4">
        <v>0</v>
      </c>
      <c r="BG32" s="4">
        <v>0</v>
      </c>
    </row>
    <row r="33" spans="3:59" s="4" customFormat="1" x14ac:dyDescent="0.25">
      <c r="C33" s="91"/>
      <c r="D33"/>
      <c r="J33" s="32"/>
      <c r="AF33" s="4">
        <v>0</v>
      </c>
      <c r="BG33" s="4">
        <v>0</v>
      </c>
    </row>
    <row r="34" spans="3:59" s="4" customFormat="1" x14ac:dyDescent="0.25">
      <c r="C34" s="91"/>
      <c r="D34"/>
      <c r="J34" s="32"/>
      <c r="AF34" s="4">
        <v>0</v>
      </c>
      <c r="BG34" s="4">
        <v>0</v>
      </c>
    </row>
    <row r="35" spans="3:59" s="4" customFormat="1" x14ac:dyDescent="0.25">
      <c r="C35" s="91"/>
      <c r="D35"/>
      <c r="J35" s="32"/>
      <c r="AF35" s="4">
        <v>0</v>
      </c>
      <c r="BG35" s="4">
        <v>0</v>
      </c>
    </row>
    <row r="36" spans="3:59" s="4" customFormat="1" ht="15.75" x14ac:dyDescent="0.25">
      <c r="C36" s="17"/>
      <c r="D36" s="39"/>
      <c r="E36" s="38"/>
      <c r="J36" s="32"/>
      <c r="AF36" s="4">
        <v>0</v>
      </c>
      <c r="BG36" s="4">
        <v>0</v>
      </c>
    </row>
    <row r="37" spans="3:59" s="4" customFormat="1" x14ac:dyDescent="0.25">
      <c r="C37" s="91"/>
      <c r="D37" s="92"/>
      <c r="J37" s="32"/>
      <c r="AF37" s="4">
        <v>0</v>
      </c>
      <c r="BG37" s="4">
        <v>0</v>
      </c>
    </row>
    <row r="38" spans="3:59" s="4" customFormat="1" x14ac:dyDescent="0.25">
      <c r="C38" s="91"/>
      <c r="D38"/>
      <c r="AF38" s="4">
        <v>0</v>
      </c>
      <c r="BG38" s="4">
        <v>0</v>
      </c>
    </row>
    <row r="39" spans="3:59" x14ac:dyDescent="0.25">
      <c r="C39" s="91"/>
      <c r="E39" s="4"/>
      <c r="F39" s="4"/>
      <c r="G39" s="4"/>
      <c r="H39" s="4"/>
      <c r="I39" s="4"/>
      <c r="AF39" s="4">
        <v>0</v>
      </c>
      <c r="BG39" s="4">
        <v>0</v>
      </c>
    </row>
    <row r="40" spans="3:59" x14ac:dyDescent="0.25">
      <c r="C40" s="91"/>
      <c r="E40" s="4"/>
      <c r="F40" s="4"/>
      <c r="G40" s="4"/>
      <c r="H40" s="4"/>
      <c r="I40" s="4"/>
    </row>
    <row r="41" spans="3:59" x14ac:dyDescent="0.25">
      <c r="C41" s="91"/>
      <c r="E41" s="4"/>
    </row>
    <row r="42" spans="3:59" x14ac:dyDescent="0.25">
      <c r="C42" s="91"/>
      <c r="E42" s="4"/>
      <c r="F42" s="4"/>
    </row>
    <row r="43" spans="3:59" x14ac:dyDescent="0.25">
      <c r="C43" s="91"/>
      <c r="E43" s="4"/>
      <c r="F43" s="4"/>
    </row>
    <row r="44" spans="3:59" x14ac:dyDescent="0.25">
      <c r="C44" s="91"/>
      <c r="F44" s="4"/>
    </row>
    <row r="45" spans="3:59" x14ac:dyDescent="0.25">
      <c r="C45" s="91"/>
      <c r="E45" s="4"/>
      <c r="F45" s="4"/>
    </row>
    <row r="46" spans="3:59" x14ac:dyDescent="0.25">
      <c r="C46" s="91"/>
      <c r="E46" s="4"/>
      <c r="F46" s="4"/>
    </row>
    <row r="47" spans="3:59" x14ac:dyDescent="0.25">
      <c r="C47" s="91"/>
      <c r="E47" s="4"/>
      <c r="F47" s="4"/>
    </row>
    <row r="48" spans="3:59" x14ac:dyDescent="0.25">
      <c r="C48" s="91"/>
      <c r="D48" s="93"/>
      <c r="E48" s="4"/>
      <c r="F48" s="4"/>
    </row>
    <row r="49" spans="3:7" x14ac:dyDescent="0.25">
      <c r="C49" s="91"/>
      <c r="E49" s="4"/>
    </row>
    <row r="50" spans="3:7" x14ac:dyDescent="0.25">
      <c r="C50" s="91"/>
      <c r="E50" s="4"/>
      <c r="F50" s="4"/>
    </row>
    <row r="51" spans="3:7" x14ac:dyDescent="0.25">
      <c r="C51" s="91"/>
      <c r="E51" s="4"/>
      <c r="F51" s="4"/>
      <c r="G51" s="4"/>
    </row>
  </sheetData>
  <mergeCells count="3">
    <mergeCell ref="C3:H3"/>
    <mergeCell ref="C4:E4"/>
    <mergeCell ref="C32:H3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&amp;L&amp;G&amp;R_x000D_&amp;1#&amp;"Aptos"&amp;10&amp;K000000 Documento interno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9FCD2D5-8E39-4F83-87DC-CAC1D90FD0EC}">
          <x14:formula1>
            <xm:f>'plazas aut municipio x cat'!$B$8:$B$39</xm:f>
          </x14:formula1>
          <xm:sqref>D1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C3B15-A6CE-46C2-8626-0900BD6B69C8}">
  <sheetPr>
    <tabColor rgb="FF92D050"/>
  </sheetPr>
  <dimension ref="A1:BG42"/>
  <sheetViews>
    <sheetView showGridLines="0" zoomScaleNormal="100" workbookViewId="0"/>
  </sheetViews>
  <sheetFormatPr baseColWidth="10" defaultRowHeight="15" x14ac:dyDescent="0.25"/>
  <cols>
    <col min="1" max="1" width="17.7109375" customWidth="1"/>
    <col min="2" max="2" width="23" customWidth="1"/>
    <col min="3" max="3" width="14.28515625" customWidth="1"/>
    <col min="4" max="4" width="11.42578125" customWidth="1"/>
    <col min="5" max="5" width="14.28515625" customWidth="1"/>
    <col min="6" max="6" width="12.42578125" customWidth="1"/>
    <col min="7" max="7" width="14.28515625" customWidth="1"/>
    <col min="8" max="8" width="11.42578125" customWidth="1"/>
    <col min="9" max="9" width="15.85546875" customWidth="1"/>
    <col min="10" max="10" width="11.42578125" customWidth="1"/>
    <col min="11" max="11" width="14.28515625" customWidth="1"/>
    <col min="12" max="12" width="11.42578125" customWidth="1"/>
    <col min="13" max="13" width="14.28515625" customWidth="1"/>
    <col min="14" max="14" width="11.42578125" customWidth="1"/>
  </cols>
  <sheetData>
    <row r="1" spans="2:59" ht="30" customHeight="1" x14ac:dyDescent="0.25"/>
    <row r="3" spans="2:59" s="4" customFormat="1" ht="56.25" customHeight="1" thickBot="1" x14ac:dyDescent="0.3">
      <c r="B3" s="107" t="s">
        <v>107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</row>
    <row r="4" spans="2:59" s="4" customFormat="1" ht="6" customHeight="1" x14ac:dyDescent="0.25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2:59" s="4" customFormat="1" x14ac:dyDescent="0.25">
      <c r="B5" s="108" t="s">
        <v>16</v>
      </c>
      <c r="C5" s="109" t="s">
        <v>17</v>
      </c>
      <c r="D5" s="110"/>
      <c r="E5" s="109" t="s">
        <v>13</v>
      </c>
      <c r="F5" s="110"/>
      <c r="G5" s="109" t="s">
        <v>14</v>
      </c>
      <c r="H5" s="110"/>
      <c r="I5" s="109" t="s">
        <v>18</v>
      </c>
      <c r="J5" s="110"/>
      <c r="K5" s="109" t="s">
        <v>19</v>
      </c>
      <c r="L5" s="110"/>
      <c r="M5" s="109" t="s">
        <v>20</v>
      </c>
      <c r="N5" s="110"/>
    </row>
    <row r="6" spans="2:59" s="4" customFormat="1" ht="25.5" x14ac:dyDescent="0.25">
      <c r="B6" s="108"/>
      <c r="C6" s="14" t="s">
        <v>92</v>
      </c>
      <c r="D6" s="15" t="s">
        <v>22</v>
      </c>
      <c r="E6" s="14" t="str">
        <f>C6</f>
        <v>Establecimientos</v>
      </c>
      <c r="F6" s="15" t="s">
        <v>22</v>
      </c>
      <c r="G6" s="14" t="str">
        <f>E6</f>
        <v>Establecimientos</v>
      </c>
      <c r="H6" s="15" t="s">
        <v>22</v>
      </c>
      <c r="I6" s="14" t="str">
        <f>G6</f>
        <v>Establecimientos</v>
      </c>
      <c r="J6" s="15" t="s">
        <v>22</v>
      </c>
      <c r="K6" s="14" t="str">
        <f>G6</f>
        <v>Establecimientos</v>
      </c>
      <c r="L6" s="15" t="s">
        <v>22</v>
      </c>
      <c r="M6" s="14" t="str">
        <f>K6</f>
        <v>Establecimientos</v>
      </c>
      <c r="N6" s="15" t="s">
        <v>22</v>
      </c>
    </row>
    <row r="7" spans="2:59" s="19" customFormat="1" ht="15.75" x14ac:dyDescent="0.25">
      <c r="B7" s="16" t="s">
        <v>23</v>
      </c>
      <c r="C7" s="17">
        <f>'estab aut municipio x tip y cat'!C8</f>
        <v>31423</v>
      </c>
      <c r="D7" s="18">
        <f>C7/$C$7</f>
        <v>1</v>
      </c>
      <c r="E7" s="17">
        <f>SUM(E8:E38)</f>
        <v>289</v>
      </c>
      <c r="F7" s="18">
        <f>E7/$E$7</f>
        <v>1</v>
      </c>
      <c r="G7" s="17">
        <v>236</v>
      </c>
      <c r="H7" s="18">
        <f t="shared" ref="H7:H38" si="0">G7/$G$7</f>
        <v>1</v>
      </c>
      <c r="I7" s="17">
        <f>'estab aut municipio x tip y cat'!BK8</f>
        <v>30707</v>
      </c>
      <c r="J7" s="18">
        <f>I7/$I$7</f>
        <v>1</v>
      </c>
      <c r="K7" s="17">
        <f>SUM(K8:K38)</f>
        <v>24</v>
      </c>
      <c r="L7" s="18">
        <f>K7/$K$7</f>
        <v>1</v>
      </c>
      <c r="M7" s="17">
        <f>SUM(M8:M38)</f>
        <v>167</v>
      </c>
      <c r="N7" s="18">
        <f>M7/$M$7</f>
        <v>1</v>
      </c>
    </row>
    <row r="8" spans="2:59" s="4" customFormat="1" x14ac:dyDescent="0.25">
      <c r="B8" s="20" t="str">
        <f>'estab aut municipio x tip y cat'!B9</f>
        <v>Adeje</v>
      </c>
      <c r="C8" s="21">
        <f>'estab aut municipio x tip y cat'!C9</f>
        <v>6082</v>
      </c>
      <c r="D8" s="22">
        <f>C8/$C$7</f>
        <v>0.19355249339655667</v>
      </c>
      <c r="E8" s="23">
        <f>'estab aut municipio x tip y cat'!F9</f>
        <v>68</v>
      </c>
      <c r="F8" s="22">
        <f>E8/$E$7</f>
        <v>0.23529411764705882</v>
      </c>
      <c r="G8" s="23">
        <f>'estab aut municipio x tip y cat'!AG9</f>
        <v>50</v>
      </c>
      <c r="H8" s="22">
        <f t="shared" si="0"/>
        <v>0.21186440677966101</v>
      </c>
      <c r="I8" s="23">
        <f>'estab aut municipio x tip y cat'!BK9</f>
        <v>5960</v>
      </c>
      <c r="J8" s="22">
        <f t="shared" ref="J8:J38" si="1">I8/$I$7</f>
        <v>0.1940925521867978</v>
      </c>
      <c r="K8" s="23">
        <f>'estab aut municipio x tip y cat'!BN9</f>
        <v>1</v>
      </c>
      <c r="L8" s="22">
        <f>K8/$K$7</f>
        <v>4.1666666666666664E-2</v>
      </c>
      <c r="M8" s="23">
        <f>'estab aut municipio x tip y cat'!BQ9</f>
        <v>3</v>
      </c>
      <c r="N8" s="22">
        <f>M8/$M$7</f>
        <v>1.7964071856287425E-2</v>
      </c>
      <c r="BG8" s="4">
        <v>98</v>
      </c>
    </row>
    <row r="9" spans="2:59" s="4" customFormat="1" x14ac:dyDescent="0.25">
      <c r="B9" s="20" t="str">
        <f>'estab aut municipio x tip y cat'!B10</f>
        <v>Arafo</v>
      </c>
      <c r="C9" s="21">
        <f>'estab aut municipio x tip y cat'!C10</f>
        <v>78</v>
      </c>
      <c r="D9" s="22">
        <f t="shared" ref="D9:D38" si="2">C9/$C$7</f>
        <v>2.4822582185023709E-3</v>
      </c>
      <c r="E9" s="23">
        <f>'estab aut municipio x tip y cat'!F10</f>
        <v>0</v>
      </c>
      <c r="F9" s="22">
        <f t="shared" ref="F9:F38" si="3">E9/$E$7</f>
        <v>0</v>
      </c>
      <c r="G9" s="23">
        <f>'estab aut municipio x tip y cat'!AG10</f>
        <v>0</v>
      </c>
      <c r="H9" s="22">
        <f t="shared" si="0"/>
        <v>0</v>
      </c>
      <c r="I9" s="23">
        <f>'estab aut municipio x tip y cat'!BK10</f>
        <v>75</v>
      </c>
      <c r="J9" s="22">
        <f t="shared" si="1"/>
        <v>2.4424398345654083E-3</v>
      </c>
      <c r="K9" s="23">
        <f>'estab aut municipio x tip y cat'!BN10</f>
        <v>0</v>
      </c>
      <c r="L9" s="22">
        <f t="shared" ref="L9:L38" si="4">K9/$K$7</f>
        <v>0</v>
      </c>
      <c r="M9" s="23">
        <f>'estab aut municipio x tip y cat'!BQ10</f>
        <v>3</v>
      </c>
      <c r="N9" s="22">
        <f t="shared" ref="N9:N38" si="5">M9/$M$7</f>
        <v>1.7964071856287425E-2</v>
      </c>
      <c r="BG9" s="4">
        <v>0</v>
      </c>
    </row>
    <row r="10" spans="2:59" s="4" customFormat="1" x14ac:dyDescent="0.25">
      <c r="B10" s="20" t="str">
        <f>'estab aut municipio x tip y cat'!B11</f>
        <v>Arico</v>
      </c>
      <c r="C10" s="21">
        <f>'estab aut municipio x tip y cat'!C11</f>
        <v>807</v>
      </c>
      <c r="D10" s="22">
        <f t="shared" si="2"/>
        <v>2.56818254145053E-2</v>
      </c>
      <c r="E10" s="23">
        <f>'estab aut municipio x tip y cat'!F11</f>
        <v>1</v>
      </c>
      <c r="F10" s="22">
        <f t="shared" si="3"/>
        <v>3.4602076124567475E-3</v>
      </c>
      <c r="G10" s="23">
        <f>'estab aut municipio x tip y cat'!AG11</f>
        <v>6</v>
      </c>
      <c r="H10" s="22">
        <f t="shared" si="0"/>
        <v>2.5423728813559324E-2</v>
      </c>
      <c r="I10" s="23">
        <f>'estab aut municipio x tip y cat'!BK11</f>
        <v>787</v>
      </c>
      <c r="J10" s="22">
        <f t="shared" si="1"/>
        <v>2.5629335330706354E-2</v>
      </c>
      <c r="K10" s="23">
        <f>'estab aut municipio x tip y cat'!BN11</f>
        <v>0</v>
      </c>
      <c r="L10" s="22">
        <f t="shared" si="4"/>
        <v>0</v>
      </c>
      <c r="M10" s="23">
        <f>'estab aut municipio x tip y cat'!BQ11</f>
        <v>13</v>
      </c>
      <c r="N10" s="22">
        <f t="shared" si="5"/>
        <v>7.7844311377245512E-2</v>
      </c>
      <c r="BG10" s="4">
        <v>20</v>
      </c>
    </row>
    <row r="11" spans="2:59" s="4" customFormat="1" x14ac:dyDescent="0.25">
      <c r="B11" s="20" t="str">
        <f>'estab aut municipio x tip y cat'!B12</f>
        <v>Arona</v>
      </c>
      <c r="C11" s="21">
        <f>'estab aut municipio x tip y cat'!C12</f>
        <v>6936</v>
      </c>
      <c r="D11" s="22">
        <f t="shared" si="2"/>
        <v>0.22073003850682621</v>
      </c>
      <c r="E11" s="23">
        <f>'estab aut municipio x tip y cat'!F12</f>
        <v>45</v>
      </c>
      <c r="F11" s="22">
        <f t="shared" si="3"/>
        <v>0.15570934256055363</v>
      </c>
      <c r="G11" s="23">
        <f>'estab aut municipio x tip y cat'!AG12</f>
        <v>69</v>
      </c>
      <c r="H11" s="22">
        <f t="shared" si="0"/>
        <v>0.2923728813559322</v>
      </c>
      <c r="I11" s="23">
        <f>'estab aut municipio x tip y cat'!BK12</f>
        <v>6816</v>
      </c>
      <c r="J11" s="22">
        <f t="shared" si="1"/>
        <v>0.22196893216530433</v>
      </c>
      <c r="K11" s="23">
        <f>'estab aut municipio x tip y cat'!BN12</f>
        <v>2</v>
      </c>
      <c r="L11" s="22">
        <f t="shared" si="4"/>
        <v>8.3333333333333329E-2</v>
      </c>
      <c r="M11" s="23">
        <f>'estab aut municipio x tip y cat'!BQ12</f>
        <v>4</v>
      </c>
      <c r="N11" s="22">
        <f t="shared" si="5"/>
        <v>2.3952095808383235E-2</v>
      </c>
      <c r="BG11" s="4">
        <v>0</v>
      </c>
    </row>
    <row r="12" spans="2:59" s="4" customFormat="1" x14ac:dyDescent="0.25">
      <c r="B12" s="20" t="str">
        <f>'estab aut municipio x tip y cat'!B13</f>
        <v>Buenavista del Norte</v>
      </c>
      <c r="C12" s="21">
        <f>'estab aut municipio x tip y cat'!C13</f>
        <v>120</v>
      </c>
      <c r="D12" s="22">
        <f t="shared" si="2"/>
        <v>3.8188587976959554E-3</v>
      </c>
      <c r="E12" s="23">
        <f>'estab aut municipio x tip y cat'!F13</f>
        <v>1</v>
      </c>
      <c r="F12" s="22">
        <f t="shared" si="3"/>
        <v>3.4602076124567475E-3</v>
      </c>
      <c r="G12" s="23">
        <f>'estab aut municipio x tip y cat'!AG13</f>
        <v>0</v>
      </c>
      <c r="H12" s="22">
        <f t="shared" si="0"/>
        <v>0</v>
      </c>
      <c r="I12" s="23">
        <f>'estab aut municipio x tip y cat'!BK13</f>
        <v>106</v>
      </c>
      <c r="J12" s="22">
        <f t="shared" si="1"/>
        <v>3.4519816328524439E-3</v>
      </c>
      <c r="K12" s="23">
        <f>'estab aut municipio x tip y cat'!BN13</f>
        <v>0</v>
      </c>
      <c r="L12" s="22">
        <f t="shared" si="4"/>
        <v>0</v>
      </c>
      <c r="M12" s="23">
        <f>'estab aut municipio x tip y cat'!BQ13</f>
        <v>13</v>
      </c>
      <c r="N12" s="22">
        <f t="shared" si="5"/>
        <v>7.7844311377245512E-2</v>
      </c>
      <c r="BG12" s="4">
        <v>0</v>
      </c>
    </row>
    <row r="13" spans="2:59" s="4" customFormat="1" x14ac:dyDescent="0.25">
      <c r="B13" s="20" t="str">
        <f>'estab aut municipio x tip y cat'!B14</f>
        <v xml:space="preserve">Candelaria </v>
      </c>
      <c r="C13" s="21">
        <f>'estab aut municipio x tip y cat'!C14</f>
        <v>657</v>
      </c>
      <c r="D13" s="22">
        <f t="shared" si="2"/>
        <v>2.0908251917385354E-2</v>
      </c>
      <c r="E13" s="23">
        <f>'estab aut municipio x tip y cat'!F14</f>
        <v>2</v>
      </c>
      <c r="F13" s="22">
        <f t="shared" si="3"/>
        <v>6.920415224913495E-3</v>
      </c>
      <c r="G13" s="23">
        <f>'estab aut municipio x tip y cat'!AG14</f>
        <v>3</v>
      </c>
      <c r="H13" s="22">
        <f t="shared" si="0"/>
        <v>1.2711864406779662E-2</v>
      </c>
      <c r="I13" s="23">
        <f>'estab aut municipio x tip y cat'!BK14</f>
        <v>651</v>
      </c>
      <c r="J13" s="22">
        <f t="shared" si="1"/>
        <v>2.1200377764027747E-2</v>
      </c>
      <c r="K13" s="23">
        <f>'estab aut municipio x tip y cat'!BN14</f>
        <v>0</v>
      </c>
      <c r="L13" s="22">
        <f t="shared" si="4"/>
        <v>0</v>
      </c>
      <c r="M13" s="23">
        <f>'estab aut municipio x tip y cat'!BQ14</f>
        <v>1</v>
      </c>
      <c r="N13" s="22">
        <f t="shared" si="5"/>
        <v>5.9880239520958087E-3</v>
      </c>
      <c r="BG13" s="4">
        <v>0</v>
      </c>
    </row>
    <row r="14" spans="2:59" s="4" customFormat="1" x14ac:dyDescent="0.25">
      <c r="B14" s="20" t="str">
        <f>'estab aut municipio x tip y cat'!B15</f>
        <v>Fasnia</v>
      </c>
      <c r="C14" s="21">
        <f>'estab aut municipio x tip y cat'!C15</f>
        <v>96</v>
      </c>
      <c r="D14" s="22">
        <f t="shared" si="2"/>
        <v>3.0550870381567639E-3</v>
      </c>
      <c r="E14" s="23">
        <f>'estab aut municipio x tip y cat'!F15</f>
        <v>0</v>
      </c>
      <c r="F14" s="22">
        <f t="shared" si="3"/>
        <v>0</v>
      </c>
      <c r="G14" s="23">
        <f>'estab aut municipio x tip y cat'!AG15</f>
        <v>1</v>
      </c>
      <c r="H14" s="22">
        <f t="shared" si="0"/>
        <v>4.2372881355932203E-3</v>
      </c>
      <c r="I14" s="23">
        <f>'estab aut municipio x tip y cat'!BK15</f>
        <v>88</v>
      </c>
      <c r="J14" s="22">
        <f t="shared" si="1"/>
        <v>2.8657960725567461E-3</v>
      </c>
      <c r="K14" s="23">
        <f>'estab aut municipio x tip y cat'!BN15</f>
        <v>0</v>
      </c>
      <c r="L14" s="22">
        <f t="shared" si="4"/>
        <v>0</v>
      </c>
      <c r="M14" s="23">
        <f>'estab aut municipio x tip y cat'!BQ15</f>
        <v>7</v>
      </c>
      <c r="N14" s="22">
        <f t="shared" si="5"/>
        <v>4.1916167664670656E-2</v>
      </c>
      <c r="BG14" s="4">
        <v>0</v>
      </c>
    </row>
    <row r="15" spans="2:59" s="4" customFormat="1" x14ac:dyDescent="0.25">
      <c r="B15" s="20" t="str">
        <f>'estab aut municipio x tip y cat'!B16</f>
        <v>Garachico</v>
      </c>
      <c r="C15" s="21">
        <f>'estab aut municipio x tip y cat'!C16</f>
        <v>249</v>
      </c>
      <c r="D15" s="22">
        <f t="shared" si="2"/>
        <v>7.9241320052191068E-3</v>
      </c>
      <c r="E15" s="23">
        <f>'estab aut municipio x tip y cat'!F16</f>
        <v>3</v>
      </c>
      <c r="F15" s="22">
        <f t="shared" si="3"/>
        <v>1.0380622837370242E-2</v>
      </c>
      <c r="G15" s="23">
        <f>'estab aut municipio x tip y cat'!AG16</f>
        <v>8</v>
      </c>
      <c r="H15" s="22">
        <f t="shared" si="0"/>
        <v>3.3898305084745763E-2</v>
      </c>
      <c r="I15" s="23">
        <f>'estab aut municipio x tip y cat'!BK16</f>
        <v>232</v>
      </c>
      <c r="J15" s="22">
        <f t="shared" si="1"/>
        <v>7.5552805549223305E-3</v>
      </c>
      <c r="K15" s="23">
        <f>'estab aut municipio x tip y cat'!BN16</f>
        <v>2</v>
      </c>
      <c r="L15" s="22">
        <f t="shared" si="4"/>
        <v>8.3333333333333329E-2</v>
      </c>
      <c r="M15" s="23">
        <f>'estab aut municipio x tip y cat'!BQ16</f>
        <v>4</v>
      </c>
      <c r="N15" s="22">
        <f t="shared" si="5"/>
        <v>2.3952095808383235E-2</v>
      </c>
      <c r="BG15" s="4">
        <v>4</v>
      </c>
    </row>
    <row r="16" spans="2:59" s="4" customFormat="1" x14ac:dyDescent="0.25">
      <c r="B16" s="20" t="str">
        <f>'estab aut municipio x tip y cat'!B17</f>
        <v>Granadilla de Abona</v>
      </c>
      <c r="C16" s="21">
        <f>'estab aut municipio x tip y cat'!C17</f>
        <v>2077</v>
      </c>
      <c r="D16" s="22">
        <f t="shared" si="2"/>
        <v>6.6098081023454158E-2</v>
      </c>
      <c r="E16" s="23">
        <f>'estab aut municipio x tip y cat'!F17</f>
        <v>8</v>
      </c>
      <c r="F16" s="22">
        <f t="shared" si="3"/>
        <v>2.768166089965398E-2</v>
      </c>
      <c r="G16" s="23">
        <f>'estab aut municipio x tip y cat'!AG17</f>
        <v>8</v>
      </c>
      <c r="H16" s="22">
        <f t="shared" si="0"/>
        <v>3.3898305084745763E-2</v>
      </c>
      <c r="I16" s="23">
        <f>'estab aut municipio x tip y cat'!BK17</f>
        <v>2048</v>
      </c>
      <c r="J16" s="22">
        <f t="shared" si="1"/>
        <v>6.6694890415866084E-2</v>
      </c>
      <c r="K16" s="23">
        <f>'estab aut municipio x tip y cat'!BN17</f>
        <v>2</v>
      </c>
      <c r="L16" s="22">
        <f t="shared" si="4"/>
        <v>8.3333333333333329E-2</v>
      </c>
      <c r="M16" s="23">
        <f>'estab aut municipio x tip y cat'!BQ17</f>
        <v>11</v>
      </c>
      <c r="N16" s="22">
        <f t="shared" si="5"/>
        <v>6.5868263473053898E-2</v>
      </c>
      <c r="BG16" s="4">
        <v>6</v>
      </c>
    </row>
    <row r="17" spans="2:59" s="4" customFormat="1" x14ac:dyDescent="0.25">
      <c r="B17" s="20" t="str">
        <f>'estab aut municipio x tip y cat'!B18</f>
        <v>La Guancha</v>
      </c>
      <c r="C17" s="21">
        <f>'estab aut municipio x tip y cat'!C18</f>
        <v>103</v>
      </c>
      <c r="D17" s="22">
        <f t="shared" si="2"/>
        <v>3.2778538013556948E-3</v>
      </c>
      <c r="E17" s="23">
        <f>'estab aut municipio x tip y cat'!F18</f>
        <v>0</v>
      </c>
      <c r="F17" s="22">
        <f t="shared" si="3"/>
        <v>0</v>
      </c>
      <c r="G17" s="23">
        <f>'estab aut municipio x tip y cat'!AG18</f>
        <v>0</v>
      </c>
      <c r="H17" s="22">
        <f t="shared" si="0"/>
        <v>0</v>
      </c>
      <c r="I17" s="23">
        <f>'estab aut municipio x tip y cat'!BK18</f>
        <v>102</v>
      </c>
      <c r="J17" s="22">
        <f t="shared" si="1"/>
        <v>3.3217181750089557E-3</v>
      </c>
      <c r="K17" s="23">
        <f>'estab aut municipio x tip y cat'!BN18</f>
        <v>0</v>
      </c>
      <c r="L17" s="22">
        <f t="shared" si="4"/>
        <v>0</v>
      </c>
      <c r="M17" s="23">
        <f>'estab aut municipio x tip y cat'!BQ18</f>
        <v>1</v>
      </c>
      <c r="N17" s="22">
        <f t="shared" si="5"/>
        <v>5.9880239520958087E-3</v>
      </c>
      <c r="BG17" s="4">
        <v>0</v>
      </c>
    </row>
    <row r="18" spans="2:59" s="4" customFormat="1" x14ac:dyDescent="0.25">
      <c r="B18" s="20" t="str">
        <f>'estab aut municipio x tip y cat'!B19</f>
        <v>Guia de Isora</v>
      </c>
      <c r="C18" s="21">
        <f>'estab aut municipio x tip y cat'!C19</f>
        <v>910</v>
      </c>
      <c r="D18" s="22">
        <f t="shared" si="2"/>
        <v>2.8959679215860994E-2</v>
      </c>
      <c r="E18" s="23">
        <f>'estab aut municipio x tip y cat'!F19</f>
        <v>7</v>
      </c>
      <c r="F18" s="22">
        <f t="shared" si="3"/>
        <v>2.4221453287197232E-2</v>
      </c>
      <c r="G18" s="23">
        <f>'estab aut municipio x tip y cat'!AG19</f>
        <v>1</v>
      </c>
      <c r="H18" s="22">
        <f t="shared" si="0"/>
        <v>4.2372881355932203E-3</v>
      </c>
      <c r="I18" s="23">
        <f>'estab aut municipio x tip y cat'!BK19</f>
        <v>891</v>
      </c>
      <c r="J18" s="22">
        <f t="shared" si="1"/>
        <v>2.9016185234637053E-2</v>
      </c>
      <c r="K18" s="23">
        <f>'estab aut municipio x tip y cat'!BN19</f>
        <v>1</v>
      </c>
      <c r="L18" s="22">
        <f t="shared" si="4"/>
        <v>4.1666666666666664E-2</v>
      </c>
      <c r="M18" s="23">
        <f>'estab aut municipio x tip y cat'!BQ19</f>
        <v>10</v>
      </c>
      <c r="N18" s="22">
        <f t="shared" si="5"/>
        <v>5.9880239520958084E-2</v>
      </c>
      <c r="BG18" s="4">
        <v>0</v>
      </c>
    </row>
    <row r="19" spans="2:59" s="4" customFormat="1" x14ac:dyDescent="0.25">
      <c r="B19" s="20" t="str">
        <f>'estab aut municipio x tip y cat'!B20</f>
        <v>Güimar</v>
      </c>
      <c r="C19" s="21">
        <f>'estab aut municipio x tip y cat'!C20</f>
        <v>514</v>
      </c>
      <c r="D19" s="22">
        <f t="shared" si="2"/>
        <v>1.6357445183464343E-2</v>
      </c>
      <c r="E19" s="23">
        <f>'estab aut municipio x tip y cat'!F20</f>
        <v>1</v>
      </c>
      <c r="F19" s="22">
        <f t="shared" si="3"/>
        <v>3.4602076124567475E-3</v>
      </c>
      <c r="G19" s="23">
        <f>'estab aut municipio x tip y cat'!AG20</f>
        <v>1</v>
      </c>
      <c r="H19" s="22">
        <f t="shared" si="0"/>
        <v>4.2372881355932203E-3</v>
      </c>
      <c r="I19" s="23">
        <f>'estab aut municipio x tip y cat'!BK20</f>
        <v>503</v>
      </c>
      <c r="J19" s="22">
        <f t="shared" si="1"/>
        <v>1.6380629823818674E-2</v>
      </c>
      <c r="K19" s="23">
        <f>'estab aut municipio x tip y cat'!BN20</f>
        <v>4</v>
      </c>
      <c r="L19" s="22">
        <f t="shared" si="4"/>
        <v>0.16666666666666666</v>
      </c>
      <c r="M19" s="23">
        <f>'estab aut municipio x tip y cat'!BQ20</f>
        <v>5</v>
      </c>
      <c r="N19" s="22">
        <f t="shared" si="5"/>
        <v>2.9940119760479042E-2</v>
      </c>
      <c r="BG19" s="4">
        <v>0</v>
      </c>
    </row>
    <row r="20" spans="2:59" s="4" customFormat="1" x14ac:dyDescent="0.25">
      <c r="B20" s="20" t="str">
        <f>'estab aut municipio x tip y cat'!B21</f>
        <v>Icod de los Vinos</v>
      </c>
      <c r="C20" s="21">
        <f>'estab aut municipio x tip y cat'!C21</f>
        <v>813</v>
      </c>
      <c r="D20" s="22">
        <f t="shared" si="2"/>
        <v>2.5872768354390098E-2</v>
      </c>
      <c r="E20" s="23">
        <f>'estab aut municipio x tip y cat'!F21</f>
        <v>3</v>
      </c>
      <c r="F20" s="22">
        <f t="shared" si="3"/>
        <v>1.0380622837370242E-2</v>
      </c>
      <c r="G20" s="23">
        <f>'estab aut municipio x tip y cat'!AG21</f>
        <v>3</v>
      </c>
      <c r="H20" s="22">
        <f t="shared" si="0"/>
        <v>1.2711864406779662E-2</v>
      </c>
      <c r="I20" s="23">
        <f>'estab aut municipio x tip y cat'!BK21</f>
        <v>786</v>
      </c>
      <c r="J20" s="22">
        <f t="shared" si="1"/>
        <v>2.5596769466245482E-2</v>
      </c>
      <c r="K20" s="23">
        <f>'estab aut municipio x tip y cat'!BN21</f>
        <v>0</v>
      </c>
      <c r="L20" s="22">
        <f t="shared" si="4"/>
        <v>0</v>
      </c>
      <c r="M20" s="23">
        <f>'estab aut municipio x tip y cat'!BQ21</f>
        <v>21</v>
      </c>
      <c r="N20" s="22">
        <f t="shared" si="5"/>
        <v>0.12574850299401197</v>
      </c>
      <c r="BG20" s="4">
        <v>0</v>
      </c>
    </row>
    <row r="21" spans="2:59" s="4" customFormat="1" x14ac:dyDescent="0.25">
      <c r="B21" s="20" t="str">
        <f>'estab aut municipio x tip y cat'!B22</f>
        <v>La Laguna</v>
      </c>
      <c r="C21" s="21">
        <f>'estab aut municipio x tip y cat'!C22</f>
        <v>1193</v>
      </c>
      <c r="D21" s="22">
        <f t="shared" si="2"/>
        <v>3.7965821213760624E-2</v>
      </c>
      <c r="E21" s="23">
        <f>'estab aut municipio x tip y cat'!F22</f>
        <v>16</v>
      </c>
      <c r="F21" s="22">
        <f t="shared" si="3"/>
        <v>5.536332179930796E-2</v>
      </c>
      <c r="G21" s="23">
        <f>'estab aut municipio x tip y cat'!AG22</f>
        <v>7</v>
      </c>
      <c r="H21" s="22">
        <f t="shared" si="0"/>
        <v>2.9661016949152543E-2</v>
      </c>
      <c r="I21" s="23">
        <f>'estab aut municipio x tip y cat'!BK22</f>
        <v>1157</v>
      </c>
      <c r="J21" s="22">
        <f t="shared" si="1"/>
        <v>3.7678705181229039E-2</v>
      </c>
      <c r="K21" s="23">
        <f>'estab aut municipio x tip y cat'!BN22</f>
        <v>1</v>
      </c>
      <c r="L21" s="22">
        <f t="shared" si="4"/>
        <v>4.1666666666666664E-2</v>
      </c>
      <c r="M21" s="23">
        <f>'estab aut municipio x tip y cat'!BQ22</f>
        <v>12</v>
      </c>
      <c r="N21" s="22">
        <f t="shared" si="5"/>
        <v>7.1856287425149698E-2</v>
      </c>
      <c r="BG21" s="4">
        <v>6</v>
      </c>
    </row>
    <row r="22" spans="2:59" s="4" customFormat="1" x14ac:dyDescent="0.25">
      <c r="B22" s="20" t="str">
        <f>'estab aut municipio x tip y cat'!B23</f>
        <v>La Matanza de Acentejo</v>
      </c>
      <c r="C22" s="21">
        <f>'estab aut municipio x tip y cat'!C23</f>
        <v>226</v>
      </c>
      <c r="D22" s="22">
        <f t="shared" si="2"/>
        <v>7.1921840689940491E-3</v>
      </c>
      <c r="E22" s="23">
        <f>'estab aut municipio x tip y cat'!F23</f>
        <v>0</v>
      </c>
      <c r="F22" s="22">
        <f t="shared" si="3"/>
        <v>0</v>
      </c>
      <c r="G22" s="23">
        <f>'estab aut municipio x tip y cat'!AG23</f>
        <v>0</v>
      </c>
      <c r="H22" s="22">
        <f t="shared" si="0"/>
        <v>0</v>
      </c>
      <c r="I22" s="23">
        <f>'estab aut municipio x tip y cat'!BK23</f>
        <v>221</v>
      </c>
      <c r="J22" s="22">
        <f t="shared" si="1"/>
        <v>7.1970560458527368E-3</v>
      </c>
      <c r="K22" s="23">
        <f>'estab aut municipio x tip y cat'!BN23</f>
        <v>0</v>
      </c>
      <c r="L22" s="22">
        <f t="shared" si="4"/>
        <v>0</v>
      </c>
      <c r="M22" s="23">
        <f>'estab aut municipio x tip y cat'!BQ23</f>
        <v>5</v>
      </c>
      <c r="N22" s="22">
        <f t="shared" si="5"/>
        <v>2.9940119760479042E-2</v>
      </c>
      <c r="BG22" s="4">
        <v>0</v>
      </c>
    </row>
    <row r="23" spans="2:59" s="4" customFormat="1" x14ac:dyDescent="0.25">
      <c r="B23" s="20" t="str">
        <f>'estab aut municipio x tip y cat'!B24</f>
        <v>La Orotava</v>
      </c>
      <c r="C23" s="21">
        <f>'estab aut municipio x tip y cat'!C24</f>
        <v>444</v>
      </c>
      <c r="D23" s="22">
        <f t="shared" si="2"/>
        <v>1.4129777551475034E-2</v>
      </c>
      <c r="E23" s="23">
        <f>'estab aut municipio x tip y cat'!F24</f>
        <v>5</v>
      </c>
      <c r="F23" s="22">
        <f t="shared" si="3"/>
        <v>1.7301038062283738E-2</v>
      </c>
      <c r="G23" s="23">
        <f>'estab aut municipio x tip y cat'!AG24</f>
        <v>3</v>
      </c>
      <c r="H23" s="22">
        <f t="shared" si="0"/>
        <v>1.2711864406779662E-2</v>
      </c>
      <c r="I23" s="23">
        <f>'estab aut municipio x tip y cat'!BK24</f>
        <v>426</v>
      </c>
      <c r="J23" s="22">
        <f t="shared" si="1"/>
        <v>1.3873058260331521E-2</v>
      </c>
      <c r="K23" s="23">
        <f>'estab aut municipio x tip y cat'!BN24</f>
        <v>1</v>
      </c>
      <c r="L23" s="22">
        <f t="shared" si="4"/>
        <v>4.1666666666666664E-2</v>
      </c>
      <c r="M23" s="23">
        <f>'estab aut municipio x tip y cat'!BQ24</f>
        <v>9</v>
      </c>
      <c r="N23" s="22">
        <f t="shared" si="5"/>
        <v>5.3892215568862277E-2</v>
      </c>
      <c r="BG23" s="4">
        <v>4</v>
      </c>
    </row>
    <row r="24" spans="2:59" s="4" customFormat="1" x14ac:dyDescent="0.25">
      <c r="B24" s="20" t="str">
        <f>'estab aut municipio x tip y cat'!B25</f>
        <v>Puerto de la Cruz</v>
      </c>
      <c r="C24" s="21">
        <f>'estab aut municipio x tip y cat'!C25</f>
        <v>2132</v>
      </c>
      <c r="D24" s="22">
        <f t="shared" si="2"/>
        <v>6.7848391305731476E-2</v>
      </c>
      <c r="E24" s="23">
        <f>'estab aut municipio x tip y cat'!F25</f>
        <v>63</v>
      </c>
      <c r="F24" s="22">
        <f t="shared" si="3"/>
        <v>0.2179930795847751</v>
      </c>
      <c r="G24" s="23">
        <f>'estab aut municipio x tip y cat'!AG25</f>
        <v>23</v>
      </c>
      <c r="H24" s="22">
        <f t="shared" si="0"/>
        <v>9.7457627118644072E-2</v>
      </c>
      <c r="I24" s="23">
        <f>'estab aut municipio x tip y cat'!BK25</f>
        <v>2045</v>
      </c>
      <c r="J24" s="22">
        <f t="shared" si="1"/>
        <v>6.659719282248347E-2</v>
      </c>
      <c r="K24" s="23">
        <f>'estab aut municipio x tip y cat'!BN25</f>
        <v>0</v>
      </c>
      <c r="L24" s="22">
        <f t="shared" si="4"/>
        <v>0</v>
      </c>
      <c r="M24" s="23">
        <f>'estab aut municipio x tip y cat'!BQ25</f>
        <v>1</v>
      </c>
      <c r="N24" s="22">
        <f t="shared" si="5"/>
        <v>5.9880239520958087E-3</v>
      </c>
      <c r="BG24" s="4">
        <v>0</v>
      </c>
    </row>
    <row r="25" spans="2:59" s="4" customFormat="1" x14ac:dyDescent="0.25">
      <c r="B25" s="20" t="str">
        <f>'estab aut municipio x tip y cat'!B26</f>
        <v>Los Realejos</v>
      </c>
      <c r="C25" s="21">
        <f>'estab aut municipio x tip y cat'!C26</f>
        <v>393</v>
      </c>
      <c r="D25" s="22">
        <f t="shared" si="2"/>
        <v>1.2506762562454253E-2</v>
      </c>
      <c r="E25" s="23">
        <f>'estab aut municipio x tip y cat'!F26</f>
        <v>5</v>
      </c>
      <c r="F25" s="22">
        <f t="shared" si="3"/>
        <v>1.7301038062283738E-2</v>
      </c>
      <c r="G25" s="23">
        <f>'estab aut municipio x tip y cat'!AG26</f>
        <v>4</v>
      </c>
      <c r="H25" s="22">
        <f t="shared" si="0"/>
        <v>1.6949152542372881E-2</v>
      </c>
      <c r="I25" s="23">
        <f>'estab aut municipio x tip y cat'!BK26</f>
        <v>366</v>
      </c>
      <c r="J25" s="22">
        <f t="shared" si="1"/>
        <v>1.1919106392679193E-2</v>
      </c>
      <c r="K25" s="23">
        <f>'estab aut municipio x tip y cat'!BN26</f>
        <v>3</v>
      </c>
      <c r="L25" s="22">
        <f t="shared" si="4"/>
        <v>0.125</v>
      </c>
      <c r="M25" s="23">
        <f>'estab aut municipio x tip y cat'!BQ26</f>
        <v>15</v>
      </c>
      <c r="N25" s="22">
        <f t="shared" si="5"/>
        <v>8.9820359281437126E-2</v>
      </c>
      <c r="BG25" s="4">
        <v>0</v>
      </c>
    </row>
    <row r="26" spans="2:59" s="4" customFormat="1" x14ac:dyDescent="0.25">
      <c r="B26" s="20" t="str">
        <f>'estab aut municipio x tip y cat'!B27</f>
        <v>El Rosario</v>
      </c>
      <c r="C26" s="21">
        <f>'estab aut municipio x tip y cat'!C27</f>
        <v>450</v>
      </c>
      <c r="D26" s="22">
        <f t="shared" si="2"/>
        <v>1.4320720491359832E-2</v>
      </c>
      <c r="E26" s="23">
        <f>'estab aut municipio x tip y cat'!F27</f>
        <v>2</v>
      </c>
      <c r="F26" s="22">
        <f t="shared" si="3"/>
        <v>6.920415224913495E-3</v>
      </c>
      <c r="G26" s="23">
        <f>'estab aut municipio x tip y cat'!AG27</f>
        <v>1</v>
      </c>
      <c r="H26" s="22">
        <f t="shared" si="0"/>
        <v>4.2372881355932203E-3</v>
      </c>
      <c r="I26" s="23">
        <f>'estab aut municipio x tip y cat'!BK27</f>
        <v>443</v>
      </c>
      <c r="J26" s="22">
        <f t="shared" si="1"/>
        <v>1.4426677956166346E-2</v>
      </c>
      <c r="K26" s="23">
        <f>'estab aut municipio x tip y cat'!BN27</f>
        <v>1</v>
      </c>
      <c r="L26" s="22">
        <f t="shared" si="4"/>
        <v>4.1666666666666664E-2</v>
      </c>
      <c r="M26" s="23">
        <f>'estab aut municipio x tip y cat'!BQ27</f>
        <v>3</v>
      </c>
      <c r="N26" s="22">
        <f t="shared" si="5"/>
        <v>1.7964071856287425E-2</v>
      </c>
      <c r="BG26" s="4">
        <v>7</v>
      </c>
    </row>
    <row r="27" spans="2:59" s="4" customFormat="1" x14ac:dyDescent="0.25">
      <c r="B27" s="20" t="str">
        <f>'estab aut municipio x tip y cat'!B28</f>
        <v>San Juan de la Rambla</v>
      </c>
      <c r="C27" s="21">
        <f>'estab aut municipio x tip y cat'!C28</f>
        <v>85</v>
      </c>
      <c r="D27" s="22">
        <f t="shared" si="2"/>
        <v>2.7050249817013017E-3</v>
      </c>
      <c r="E27" s="23">
        <f>'estab aut municipio x tip y cat'!F28</f>
        <v>0</v>
      </c>
      <c r="F27" s="22">
        <f t="shared" si="3"/>
        <v>0</v>
      </c>
      <c r="G27" s="23">
        <f>'estab aut municipio x tip y cat'!AG28</f>
        <v>3</v>
      </c>
      <c r="H27" s="22">
        <f t="shared" si="0"/>
        <v>1.2711864406779662E-2</v>
      </c>
      <c r="I27" s="23">
        <f>'estab aut municipio x tip y cat'!BK28</f>
        <v>78</v>
      </c>
      <c r="J27" s="22">
        <f t="shared" si="1"/>
        <v>2.5401374279480247E-3</v>
      </c>
      <c r="K27" s="23">
        <f>'estab aut municipio x tip y cat'!BN28</f>
        <v>1</v>
      </c>
      <c r="L27" s="22">
        <f t="shared" si="4"/>
        <v>4.1666666666666664E-2</v>
      </c>
      <c r="M27" s="23">
        <f>'estab aut municipio x tip y cat'!BQ28</f>
        <v>3</v>
      </c>
      <c r="N27" s="22">
        <f t="shared" si="5"/>
        <v>1.7964071856287425E-2</v>
      </c>
      <c r="BG27" s="4">
        <v>0</v>
      </c>
    </row>
    <row r="28" spans="2:59" s="4" customFormat="1" x14ac:dyDescent="0.25">
      <c r="B28" s="20" t="str">
        <f>'estab aut municipio x tip y cat'!B29</f>
        <v>San Miguel de Abona</v>
      </c>
      <c r="C28" s="21">
        <f>'estab aut municipio x tip y cat'!C29</f>
        <v>1559</v>
      </c>
      <c r="D28" s="22">
        <f t="shared" si="2"/>
        <v>4.9613340546733282E-2</v>
      </c>
      <c r="E28" s="23">
        <f>'estab aut municipio x tip y cat'!F29</f>
        <v>7</v>
      </c>
      <c r="F28" s="22">
        <f t="shared" si="3"/>
        <v>2.4221453287197232E-2</v>
      </c>
      <c r="G28" s="23">
        <f>'estab aut municipio x tip y cat'!AG29</f>
        <v>14</v>
      </c>
      <c r="H28" s="22">
        <f>(D28/(D28-G28))-1</f>
        <v>-1.0035564132921801</v>
      </c>
      <c r="I28" s="23"/>
      <c r="J28" s="22">
        <f t="shared" si="1"/>
        <v>0</v>
      </c>
      <c r="K28" s="23">
        <f>'estab aut municipio x tip y cat'!BN29</f>
        <v>1</v>
      </c>
      <c r="L28" s="22">
        <f t="shared" si="4"/>
        <v>4.1666666666666664E-2</v>
      </c>
      <c r="M28" s="23">
        <f>'estab aut municipio x tip y cat'!BQ29</f>
        <v>3</v>
      </c>
      <c r="N28" s="22">
        <f t="shared" si="5"/>
        <v>1.7964071856287425E-2</v>
      </c>
      <c r="BG28" s="4">
        <v>0</v>
      </c>
    </row>
    <row r="29" spans="2:59" s="4" customFormat="1" x14ac:dyDescent="0.25">
      <c r="B29" s="20" t="str">
        <f>'estab aut municipio x tip y cat'!B30</f>
        <v>Santa Cruz De Tenerife</v>
      </c>
      <c r="C29" s="21">
        <f>'estab aut municipio x tip y cat'!C30</f>
        <v>2378</v>
      </c>
      <c r="D29" s="22">
        <f t="shared" si="2"/>
        <v>7.5677051841008175E-2</v>
      </c>
      <c r="E29" s="23">
        <f>'estab aut municipio x tip y cat'!F30</f>
        <v>35</v>
      </c>
      <c r="F29" s="22">
        <f t="shared" si="3"/>
        <v>0.12110726643598616</v>
      </c>
      <c r="G29" s="23">
        <f>'estab aut municipio x tip y cat'!AG30</f>
        <v>8</v>
      </c>
      <c r="H29" s="22" t="e">
        <f>VLOOKUP($D$1,'estab aut municipio x tip y cat'!$B$8:$BS$39,62+2,FALSE)</f>
        <v>#N/A</v>
      </c>
      <c r="I29" s="23">
        <f>'estab aut municipio x tip y cat'!BK30</f>
        <v>2332</v>
      </c>
      <c r="J29" s="22">
        <f t="shared" si="1"/>
        <v>7.5943595922753765E-2</v>
      </c>
      <c r="K29" s="23">
        <f>'estab aut municipio x tip y cat'!BN30</f>
        <v>0</v>
      </c>
      <c r="L29" s="22">
        <f t="shared" si="4"/>
        <v>0</v>
      </c>
      <c r="M29" s="23">
        <f>'estab aut municipio x tip y cat'!BQ30</f>
        <v>3</v>
      </c>
      <c r="N29" s="22">
        <f t="shared" si="5"/>
        <v>1.7964071856287425E-2</v>
      </c>
      <c r="BG29" s="4">
        <v>6</v>
      </c>
    </row>
    <row r="30" spans="2:59" s="4" customFormat="1" x14ac:dyDescent="0.25">
      <c r="B30" s="20" t="str">
        <f>'estab aut municipio x tip y cat'!B31</f>
        <v>Santa Ursula</v>
      </c>
      <c r="C30" s="21">
        <f>'estab aut municipio x tip y cat'!C31</f>
        <v>412</v>
      </c>
      <c r="D30" s="22">
        <f t="shared" si="2"/>
        <v>1.3111415205422779E-2</v>
      </c>
      <c r="E30" s="23">
        <f>'estab aut municipio x tip y cat'!F31</f>
        <v>0</v>
      </c>
      <c r="F30" s="22">
        <f t="shared" si="3"/>
        <v>0</v>
      </c>
      <c r="G30" s="23">
        <f>'estab aut municipio x tip y cat'!AG31</f>
        <v>0</v>
      </c>
      <c r="H30" s="22">
        <f t="shared" si="0"/>
        <v>0</v>
      </c>
      <c r="I30" s="23">
        <f>'estab aut municipio x tip y cat'!BK31</f>
        <v>412</v>
      </c>
      <c r="J30" s="22">
        <f t="shared" si="1"/>
        <v>1.3417136157879312E-2</v>
      </c>
      <c r="K30" s="23">
        <f>'estab aut municipio x tip y cat'!BN31</f>
        <v>0</v>
      </c>
      <c r="L30" s="22">
        <f t="shared" si="4"/>
        <v>0</v>
      </c>
      <c r="M30" s="23">
        <f>'estab aut municipio x tip y cat'!BQ31</f>
        <v>0</v>
      </c>
      <c r="N30" s="22">
        <f t="shared" si="5"/>
        <v>0</v>
      </c>
      <c r="BG30" s="4">
        <v>0</v>
      </c>
    </row>
    <row r="31" spans="2:59" s="4" customFormat="1" x14ac:dyDescent="0.25">
      <c r="B31" s="20" t="str">
        <f>'estab aut municipio x tip y cat'!B32</f>
        <v>Santiago del Teide</v>
      </c>
      <c r="C31" s="21">
        <f>'estab aut municipio x tip y cat'!C32</f>
        <v>1596</v>
      </c>
      <c r="D31" s="22">
        <f t="shared" si="2"/>
        <v>5.0790822009356203E-2</v>
      </c>
      <c r="E31" s="23">
        <f>'estab aut municipio x tip y cat'!F32</f>
        <v>9</v>
      </c>
      <c r="F31" s="22">
        <f t="shared" si="3"/>
        <v>3.1141868512110725E-2</v>
      </c>
      <c r="G31" s="23">
        <f>'estab aut municipio x tip y cat'!AG32</f>
        <v>15</v>
      </c>
      <c r="H31" s="22">
        <f t="shared" si="0"/>
        <v>6.3559322033898302E-2</v>
      </c>
      <c r="I31" s="23">
        <f>'estab aut municipio x tip y cat'!BK32</f>
        <v>1572</v>
      </c>
      <c r="J31" s="22">
        <f t="shared" si="1"/>
        <v>5.1193538932490963E-2</v>
      </c>
      <c r="K31" s="23">
        <f>'estab aut municipio x tip y cat'!BN32</f>
        <v>0</v>
      </c>
      <c r="L31" s="22">
        <f t="shared" si="4"/>
        <v>0</v>
      </c>
      <c r="M31" s="23">
        <f>'estab aut municipio x tip y cat'!BQ32</f>
        <v>0</v>
      </c>
      <c r="N31" s="22">
        <f t="shared" si="5"/>
        <v>0</v>
      </c>
      <c r="BG31" s="4">
        <v>0</v>
      </c>
    </row>
    <row r="32" spans="2:59" s="4" customFormat="1" x14ac:dyDescent="0.25">
      <c r="B32" s="20" t="str">
        <f>'estab aut municipio x tip y cat'!B33</f>
        <v>El Sauzal</v>
      </c>
      <c r="C32" s="21">
        <f>'estab aut municipio x tip y cat'!C33</f>
        <v>170</v>
      </c>
      <c r="D32" s="22">
        <f t="shared" si="2"/>
        <v>5.4100499634026035E-3</v>
      </c>
      <c r="E32" s="23">
        <f>'estab aut municipio x tip y cat'!F33</f>
        <v>1</v>
      </c>
      <c r="F32" s="22">
        <f t="shared" si="3"/>
        <v>3.4602076124567475E-3</v>
      </c>
      <c r="G32" s="23">
        <f>'estab aut municipio x tip y cat'!AG33</f>
        <v>0</v>
      </c>
      <c r="H32" s="22">
        <f t="shared" si="0"/>
        <v>0</v>
      </c>
      <c r="I32" s="23">
        <f>'estab aut municipio x tip y cat'!BK33</f>
        <v>166</v>
      </c>
      <c r="J32" s="22">
        <f t="shared" si="1"/>
        <v>5.4059335005047712E-3</v>
      </c>
      <c r="K32" s="23">
        <f>'estab aut municipio x tip y cat'!BN33</f>
        <v>1</v>
      </c>
      <c r="L32" s="22">
        <f t="shared" si="4"/>
        <v>4.1666666666666664E-2</v>
      </c>
      <c r="M32" s="23">
        <f>'estab aut municipio x tip y cat'!BQ33</f>
        <v>2</v>
      </c>
      <c r="N32" s="22">
        <f t="shared" si="5"/>
        <v>1.1976047904191617E-2</v>
      </c>
      <c r="BG32" s="4">
        <v>0</v>
      </c>
    </row>
    <row r="33" spans="1:59" s="4" customFormat="1" x14ac:dyDescent="0.25">
      <c r="B33" s="20" t="str">
        <f>'estab aut municipio x tip y cat'!B34</f>
        <v>Los Silos</v>
      </c>
      <c r="C33" s="21">
        <f>'estab aut municipio x tip y cat'!C34</f>
        <v>143</v>
      </c>
      <c r="D33" s="22">
        <f t="shared" si="2"/>
        <v>4.5508067339210135E-3</v>
      </c>
      <c r="E33" s="23">
        <f>'estab aut municipio x tip y cat'!F34</f>
        <v>1</v>
      </c>
      <c r="F33" s="22">
        <f t="shared" si="3"/>
        <v>3.4602076124567475E-3</v>
      </c>
      <c r="G33" s="23">
        <f>'estab aut municipio x tip y cat'!AG34</f>
        <v>2</v>
      </c>
      <c r="H33" s="22">
        <f t="shared" si="0"/>
        <v>8.4745762711864406E-3</v>
      </c>
      <c r="I33" s="23">
        <f>'estab aut municipio x tip y cat'!BK34</f>
        <v>137</v>
      </c>
      <c r="J33" s="22">
        <f t="shared" si="1"/>
        <v>4.4615234311394794E-3</v>
      </c>
      <c r="K33" s="23">
        <f>'estab aut municipio x tip y cat'!BN34</f>
        <v>1</v>
      </c>
      <c r="L33" s="22">
        <f t="shared" si="4"/>
        <v>4.1666666666666664E-2</v>
      </c>
      <c r="M33" s="23">
        <f>'estab aut municipio x tip y cat'!BQ34</f>
        <v>2</v>
      </c>
      <c r="N33" s="22">
        <f t="shared" si="5"/>
        <v>1.1976047904191617E-2</v>
      </c>
      <c r="BG33" s="4">
        <v>10</v>
      </c>
    </row>
    <row r="34" spans="1:59" s="4" customFormat="1" x14ac:dyDescent="0.25">
      <c r="B34" s="20" t="str">
        <f>'estab aut municipio x tip y cat'!B35</f>
        <v>Tacoronte</v>
      </c>
      <c r="C34" s="21">
        <f>'estab aut municipio x tip y cat'!C35</f>
        <v>471</v>
      </c>
      <c r="D34" s="22">
        <f t="shared" si="2"/>
        <v>1.4989020780956624E-2</v>
      </c>
      <c r="E34" s="23">
        <f>'estab aut municipio x tip y cat'!F35</f>
        <v>1</v>
      </c>
      <c r="F34" s="22">
        <f t="shared" si="3"/>
        <v>3.4602076124567475E-3</v>
      </c>
      <c r="G34" s="23">
        <f>'estab aut municipio x tip y cat'!AG35</f>
        <v>1</v>
      </c>
      <c r="H34" s="22">
        <f t="shared" si="0"/>
        <v>4.2372881355932203E-3</v>
      </c>
      <c r="I34" s="23">
        <f>'estab aut municipio x tip y cat'!BK35</f>
        <v>464</v>
      </c>
      <c r="J34" s="22">
        <f t="shared" si="1"/>
        <v>1.5110561109844661E-2</v>
      </c>
      <c r="K34" s="23">
        <f>'estab aut municipio x tip y cat'!BN35</f>
        <v>0</v>
      </c>
      <c r="L34" s="22">
        <f t="shared" si="4"/>
        <v>0</v>
      </c>
      <c r="M34" s="23">
        <f>'estab aut municipio x tip y cat'!BQ35</f>
        <v>5</v>
      </c>
      <c r="N34" s="22">
        <f t="shared" si="5"/>
        <v>2.9940119760479042E-2</v>
      </c>
      <c r="BG34" s="4">
        <v>0</v>
      </c>
    </row>
    <row r="35" spans="1:59" s="4" customFormat="1" x14ac:dyDescent="0.25">
      <c r="B35" s="20" t="str">
        <f>'estab aut municipio x tip y cat'!B36</f>
        <v>Tanque</v>
      </c>
      <c r="C35" s="21">
        <f>'estab aut municipio x tip y cat'!C36</f>
        <v>73</v>
      </c>
      <c r="D35" s="22">
        <f t="shared" si="2"/>
        <v>2.3231391019317062E-3</v>
      </c>
      <c r="E35" s="23">
        <f>'estab aut municipio x tip y cat'!F36</f>
        <v>0</v>
      </c>
      <c r="F35" s="22">
        <f t="shared" si="3"/>
        <v>0</v>
      </c>
      <c r="G35" s="23">
        <f>'estab aut municipio x tip y cat'!AG36</f>
        <v>1</v>
      </c>
      <c r="H35" s="22">
        <f t="shared" si="0"/>
        <v>4.2372881355932203E-3</v>
      </c>
      <c r="I35" s="23">
        <f>'estab aut municipio x tip y cat'!BK36</f>
        <v>68</v>
      </c>
      <c r="J35" s="22">
        <f t="shared" si="1"/>
        <v>2.2144787833393038E-3</v>
      </c>
      <c r="K35" s="23">
        <f>'estab aut municipio x tip y cat'!BN36</f>
        <v>1</v>
      </c>
      <c r="L35" s="22">
        <f t="shared" si="4"/>
        <v>4.1666666666666664E-2</v>
      </c>
      <c r="M35" s="23">
        <f>'estab aut municipio x tip y cat'!BQ36</f>
        <v>3</v>
      </c>
      <c r="N35" s="22">
        <f t="shared" si="5"/>
        <v>1.7964071856287425E-2</v>
      </c>
      <c r="BG35" s="4">
        <v>0</v>
      </c>
    </row>
    <row r="36" spans="1:59" s="4" customFormat="1" x14ac:dyDescent="0.25">
      <c r="B36" s="20" t="str">
        <f>'estab aut municipio x tip y cat'!B37</f>
        <v>Tegueste</v>
      </c>
      <c r="C36" s="21">
        <f>'estab aut municipio x tip y cat'!C37</f>
        <v>94</v>
      </c>
      <c r="D36" s="22">
        <f t="shared" si="2"/>
        <v>2.9914393915284982E-3</v>
      </c>
      <c r="E36" s="23">
        <f>'estab aut municipio x tip y cat'!F37</f>
        <v>1</v>
      </c>
      <c r="F36" s="22">
        <f t="shared" si="3"/>
        <v>3.4602076124567475E-3</v>
      </c>
      <c r="G36" s="23">
        <f>'estab aut municipio x tip y cat'!AG37</f>
        <v>3</v>
      </c>
      <c r="H36" s="22">
        <f t="shared" si="0"/>
        <v>1.2711864406779662E-2</v>
      </c>
      <c r="I36" s="23">
        <f>'estab aut municipio x tip y cat'!BK37</f>
        <v>87</v>
      </c>
      <c r="J36" s="22">
        <f t="shared" si="1"/>
        <v>2.8332302080958738E-3</v>
      </c>
      <c r="K36" s="23">
        <f>'estab aut municipio x tip y cat'!BN37</f>
        <v>0</v>
      </c>
      <c r="L36" s="22">
        <f t="shared" si="4"/>
        <v>0</v>
      </c>
      <c r="M36" s="23">
        <f>'estab aut municipio x tip y cat'!BQ37</f>
        <v>3</v>
      </c>
      <c r="N36" s="22">
        <f t="shared" si="5"/>
        <v>1.7964071856287425E-2</v>
      </c>
      <c r="BG36" s="4">
        <v>7</v>
      </c>
    </row>
    <row r="37" spans="1:59" s="4" customFormat="1" x14ac:dyDescent="0.25">
      <c r="B37" s="20" t="str">
        <f>'estab aut municipio x tip y cat'!B38</f>
        <v>La Victoria de Acentejo</v>
      </c>
      <c r="C37" s="21">
        <f>'estab aut municipio x tip y cat'!C38</f>
        <v>79</v>
      </c>
      <c r="D37" s="22">
        <f t="shared" si="2"/>
        <v>2.5140820418165038E-3</v>
      </c>
      <c r="E37" s="23">
        <f>'estab aut municipio x tip y cat'!F38</f>
        <v>0</v>
      </c>
      <c r="F37" s="22">
        <f t="shared" si="3"/>
        <v>0</v>
      </c>
      <c r="G37" s="23">
        <f>'estab aut municipio x tip y cat'!AG38</f>
        <v>0</v>
      </c>
      <c r="H37" s="22">
        <f t="shared" si="0"/>
        <v>0</v>
      </c>
      <c r="I37" s="23">
        <f>'estab aut municipio x tip y cat'!BK38</f>
        <v>78</v>
      </c>
      <c r="J37" s="22">
        <f t="shared" si="1"/>
        <v>2.5401374279480247E-3</v>
      </c>
      <c r="K37" s="23">
        <f>'estab aut municipio x tip y cat'!BN38</f>
        <v>0</v>
      </c>
      <c r="L37" s="22">
        <f t="shared" si="4"/>
        <v>0</v>
      </c>
      <c r="M37" s="23">
        <f>'estab aut municipio x tip y cat'!BQ38</f>
        <v>1</v>
      </c>
      <c r="N37" s="22">
        <f t="shared" si="5"/>
        <v>5.9880239520958087E-3</v>
      </c>
      <c r="BG37" s="4">
        <v>0</v>
      </c>
    </row>
    <row r="38" spans="1:59" s="4" customFormat="1" x14ac:dyDescent="0.25">
      <c r="B38" s="20" t="str">
        <f>'estab aut municipio x tip y cat'!B39</f>
        <v>Vilaflor</v>
      </c>
      <c r="C38" s="21">
        <f>'estab aut municipio x tip y cat'!C39</f>
        <v>83</v>
      </c>
      <c r="D38" s="22">
        <f t="shared" si="2"/>
        <v>2.6413773350730356E-3</v>
      </c>
      <c r="E38" s="23">
        <f>'estab aut municipio x tip y cat'!F39</f>
        <v>4</v>
      </c>
      <c r="F38" s="22">
        <f t="shared" si="3"/>
        <v>1.384083044982699E-2</v>
      </c>
      <c r="G38" s="23">
        <f>'estab aut municipio x tip y cat'!AG39</f>
        <v>1</v>
      </c>
      <c r="H38" s="22">
        <f t="shared" si="0"/>
        <v>4.2372881355932203E-3</v>
      </c>
      <c r="I38" s="23">
        <f>'estab aut municipio x tip y cat'!BK39</f>
        <v>76</v>
      </c>
      <c r="J38" s="22">
        <f t="shared" si="1"/>
        <v>2.4750056990262806E-3</v>
      </c>
      <c r="K38" s="23">
        <f>'estab aut municipio x tip y cat'!BN39</f>
        <v>1</v>
      </c>
      <c r="L38" s="22">
        <f t="shared" si="4"/>
        <v>4.1666666666666664E-2</v>
      </c>
      <c r="M38" s="23">
        <f>'estab aut municipio x tip y cat'!BQ39</f>
        <v>1</v>
      </c>
      <c r="N38" s="22">
        <f t="shared" si="5"/>
        <v>5.9880239520958087E-3</v>
      </c>
      <c r="BG38" s="4">
        <v>6</v>
      </c>
    </row>
    <row r="39" spans="1:59" s="4" customFormat="1" ht="15" customHeight="1" x14ac:dyDescent="0.25">
      <c r="B39" s="20"/>
      <c r="C39" s="21"/>
      <c r="D39" s="22"/>
      <c r="E39" s="23"/>
      <c r="F39" s="22"/>
      <c r="G39" s="23"/>
      <c r="H39" s="22"/>
      <c r="I39" s="23"/>
      <c r="J39" s="22"/>
      <c r="K39" s="23"/>
      <c r="L39" s="22"/>
      <c r="M39" s="23"/>
      <c r="N39" s="22"/>
      <c r="BG39" s="4">
        <v>0</v>
      </c>
    </row>
    <row r="40" spans="1:59" s="4" customFormat="1" ht="6" customHeight="1" x14ac:dyDescent="0.25"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9"/>
    </row>
    <row r="41" spans="1:59" s="4" customFormat="1" ht="23.25" customHeight="1" x14ac:dyDescent="0.25">
      <c r="B41" s="105" t="s">
        <v>55</v>
      </c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</row>
    <row r="42" spans="1:59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31"/>
      <c r="N42" s="4"/>
      <c r="O42" s="4"/>
    </row>
  </sheetData>
  <mergeCells count="9">
    <mergeCell ref="B41:N41"/>
    <mergeCell ref="B3:N3"/>
    <mergeCell ref="B5:B6"/>
    <mergeCell ref="C5:D5"/>
    <mergeCell ref="E5:F5"/>
    <mergeCell ref="G5:H5"/>
    <mergeCell ref="I5:J5"/>
    <mergeCell ref="K5:L5"/>
    <mergeCell ref="M5:N5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&amp;L&amp;G&amp;R_x000D_&amp;1#&amp;"Aptos"&amp;10&amp;K000000 Documento interno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75F19-C382-415F-8A10-C97D32FA14A4}">
  <sheetPr>
    <tabColor rgb="FF92D050"/>
  </sheetPr>
  <dimension ref="A1:BS79"/>
  <sheetViews>
    <sheetView showGridLines="0" zoomScaleNormal="100" workbookViewId="0">
      <pane xSplit="2" ySplit="7" topLeftCell="C8" activePane="bottomRight" state="frozen"/>
      <selection activeCell="B11" sqref="B11"/>
      <selection pane="topRight" activeCell="B11" sqref="B11"/>
      <selection pane="bottomLeft" activeCell="B11" sqref="B11"/>
      <selection pane="bottomRight"/>
    </sheetView>
  </sheetViews>
  <sheetFormatPr baseColWidth="10" defaultRowHeight="15" x14ac:dyDescent="0.25"/>
  <cols>
    <col min="1" max="1" width="17.7109375" customWidth="1"/>
    <col min="2" max="2" width="23" customWidth="1"/>
    <col min="3" max="71" width="8.42578125" customWidth="1"/>
  </cols>
  <sheetData>
    <row r="1" spans="1:71" ht="30" customHeight="1" x14ac:dyDescent="0.25">
      <c r="F1" s="1"/>
      <c r="H1" s="1"/>
      <c r="I1" s="1"/>
      <c r="K1" s="1"/>
      <c r="L1" s="1"/>
      <c r="N1" s="32"/>
      <c r="O1" s="32"/>
      <c r="Q1" s="1"/>
      <c r="R1" s="1"/>
      <c r="T1" s="1"/>
      <c r="U1" s="1"/>
      <c r="W1" s="1"/>
      <c r="X1" s="1"/>
      <c r="Z1" s="1"/>
      <c r="AA1" s="1"/>
      <c r="AC1" s="1"/>
      <c r="AD1" s="1"/>
      <c r="AF1" s="1"/>
      <c r="AG1" s="1"/>
      <c r="AI1" s="1"/>
      <c r="AJ1" s="1"/>
      <c r="AL1" s="1"/>
      <c r="AM1" s="1"/>
      <c r="AO1" s="1"/>
      <c r="AP1" s="1"/>
      <c r="AR1" s="1"/>
      <c r="AS1" s="1"/>
      <c r="AU1" s="1"/>
      <c r="AV1" s="1"/>
      <c r="AX1" s="1"/>
      <c r="AY1" s="1"/>
      <c r="BA1" s="1"/>
      <c r="BB1" s="1"/>
      <c r="BD1" s="1"/>
      <c r="BE1" s="1"/>
      <c r="BG1" s="1"/>
      <c r="BH1" s="1"/>
      <c r="BJ1" s="1"/>
      <c r="BK1" s="1"/>
      <c r="BM1" s="1"/>
      <c r="BN1" s="1"/>
      <c r="BP1" s="1"/>
      <c r="BQ1" s="1"/>
      <c r="BS1" s="1"/>
    </row>
    <row r="3" spans="1:71" s="4" customFormat="1" ht="56.25" customHeight="1" thickBot="1" x14ac:dyDescent="0.3">
      <c r="B3" s="107" t="s">
        <v>108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</row>
    <row r="4" spans="1:71" s="4" customFormat="1" ht="6" customHeight="1" x14ac:dyDescent="0.25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</row>
    <row r="5" spans="1:71" s="4" customFormat="1" x14ac:dyDescent="0.25">
      <c r="B5" s="13"/>
      <c r="C5" s="118" t="s">
        <v>17</v>
      </c>
      <c r="D5" s="118"/>
      <c r="E5" s="118"/>
      <c r="F5" s="120" t="s">
        <v>60</v>
      </c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2" t="s">
        <v>61</v>
      </c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11" t="s">
        <v>18</v>
      </c>
      <c r="BL5" s="112"/>
      <c r="BM5" s="112"/>
      <c r="BN5" s="114" t="s">
        <v>19</v>
      </c>
      <c r="BO5" s="115"/>
      <c r="BP5" s="116"/>
      <c r="BQ5" s="111" t="s">
        <v>20</v>
      </c>
      <c r="BR5" s="112"/>
      <c r="BS5" s="112"/>
    </row>
    <row r="6" spans="1:71" s="4" customFormat="1" x14ac:dyDescent="0.25">
      <c r="B6" s="108" t="s">
        <v>16</v>
      </c>
      <c r="C6" s="118"/>
      <c r="D6" s="118"/>
      <c r="E6" s="118"/>
      <c r="F6" s="109" t="s">
        <v>62</v>
      </c>
      <c r="G6" s="108"/>
      <c r="H6" s="110"/>
      <c r="I6" s="109" t="s">
        <v>63</v>
      </c>
      <c r="J6" s="108"/>
      <c r="K6" s="110"/>
      <c r="L6" s="109" t="s">
        <v>64</v>
      </c>
      <c r="M6" s="108"/>
      <c r="N6" s="110"/>
      <c r="O6" s="109" t="s">
        <v>65</v>
      </c>
      <c r="P6" s="108"/>
      <c r="Q6" s="110"/>
      <c r="R6" s="109" t="s">
        <v>66</v>
      </c>
      <c r="S6" s="108"/>
      <c r="T6" s="110"/>
      <c r="U6" s="109" t="s">
        <v>67</v>
      </c>
      <c r="V6" s="108"/>
      <c r="W6" s="110"/>
      <c r="X6" s="109" t="s">
        <v>68</v>
      </c>
      <c r="Y6" s="108"/>
      <c r="Z6" s="110"/>
      <c r="AA6" s="109" t="s">
        <v>69</v>
      </c>
      <c r="AB6" s="108"/>
      <c r="AC6" s="110"/>
      <c r="AD6" s="109" t="s">
        <v>70</v>
      </c>
      <c r="AE6" s="108"/>
      <c r="AF6" s="108"/>
      <c r="AG6" s="114" t="s">
        <v>71</v>
      </c>
      <c r="AH6" s="115"/>
      <c r="AI6" s="116"/>
      <c r="AJ6" s="114" t="s">
        <v>72</v>
      </c>
      <c r="AK6" s="115"/>
      <c r="AL6" s="116"/>
      <c r="AM6" s="114" t="s">
        <v>73</v>
      </c>
      <c r="AN6" s="115"/>
      <c r="AO6" s="116"/>
      <c r="AP6" s="114" t="s">
        <v>74</v>
      </c>
      <c r="AQ6" s="115"/>
      <c r="AR6" s="116"/>
      <c r="AS6" s="114" t="s">
        <v>75</v>
      </c>
      <c r="AT6" s="115"/>
      <c r="AU6" s="116"/>
      <c r="AV6" s="114" t="s">
        <v>65</v>
      </c>
      <c r="AW6" s="115"/>
      <c r="AX6" s="116"/>
      <c r="AY6" s="114" t="s">
        <v>66</v>
      </c>
      <c r="AZ6" s="115"/>
      <c r="BA6" s="116"/>
      <c r="BB6" s="114" t="s">
        <v>67</v>
      </c>
      <c r="BC6" s="115"/>
      <c r="BD6" s="116"/>
      <c r="BE6" s="114" t="s">
        <v>76</v>
      </c>
      <c r="BF6" s="115"/>
      <c r="BG6" s="116"/>
      <c r="BH6" s="114" t="s">
        <v>77</v>
      </c>
      <c r="BI6" s="115"/>
      <c r="BJ6" s="115"/>
      <c r="BK6" s="113"/>
      <c r="BL6" s="108"/>
      <c r="BM6" s="108"/>
      <c r="BN6" s="117"/>
      <c r="BO6" s="118"/>
      <c r="BP6" s="119"/>
      <c r="BQ6" s="113"/>
      <c r="BR6" s="108"/>
      <c r="BS6" s="108"/>
    </row>
    <row r="7" spans="1:71" s="4" customFormat="1" ht="72.75" customHeight="1" x14ac:dyDescent="0.25">
      <c r="B7" s="108"/>
      <c r="C7" s="40" t="s">
        <v>21</v>
      </c>
      <c r="D7" s="41" t="s">
        <v>79</v>
      </c>
      <c r="E7" s="42" t="s">
        <v>80</v>
      </c>
      <c r="F7" s="14" t="s">
        <v>21</v>
      </c>
      <c r="G7" s="43" t="s">
        <v>79</v>
      </c>
      <c r="H7" s="15" t="s">
        <v>80</v>
      </c>
      <c r="I7" s="14" t="s">
        <v>21</v>
      </c>
      <c r="J7" s="43" t="s">
        <v>79</v>
      </c>
      <c r="K7" s="15" t="s">
        <v>80</v>
      </c>
      <c r="L7" s="14" t="s">
        <v>21</v>
      </c>
      <c r="M7" s="43" t="s">
        <v>79</v>
      </c>
      <c r="N7" s="15" t="s">
        <v>80</v>
      </c>
      <c r="O7" s="14" t="s">
        <v>21</v>
      </c>
      <c r="P7" s="43" t="s">
        <v>79</v>
      </c>
      <c r="Q7" s="15" t="s">
        <v>80</v>
      </c>
      <c r="R7" s="14" t="s">
        <v>21</v>
      </c>
      <c r="S7" s="43" t="s">
        <v>79</v>
      </c>
      <c r="T7" s="15" t="s">
        <v>80</v>
      </c>
      <c r="U7" s="14" t="s">
        <v>21</v>
      </c>
      <c r="V7" s="43" t="s">
        <v>79</v>
      </c>
      <c r="W7" s="15" t="s">
        <v>80</v>
      </c>
      <c r="X7" s="14" t="s">
        <v>21</v>
      </c>
      <c r="Y7" s="43" t="s">
        <v>79</v>
      </c>
      <c r="Z7" s="15" t="s">
        <v>80</v>
      </c>
      <c r="AA7" s="14" t="s">
        <v>21</v>
      </c>
      <c r="AB7" s="43" t="s">
        <v>79</v>
      </c>
      <c r="AC7" s="15" t="s">
        <v>80</v>
      </c>
      <c r="AD7" s="14" t="s">
        <v>21</v>
      </c>
      <c r="AE7" s="43" t="s">
        <v>79</v>
      </c>
      <c r="AF7" s="44" t="s">
        <v>80</v>
      </c>
      <c r="AG7" s="45" t="s">
        <v>21</v>
      </c>
      <c r="AH7" s="46" t="s">
        <v>79</v>
      </c>
      <c r="AI7" s="47" t="s">
        <v>80</v>
      </c>
      <c r="AJ7" s="45" t="s">
        <v>21</v>
      </c>
      <c r="AK7" s="46" t="s">
        <v>79</v>
      </c>
      <c r="AL7" s="47" t="s">
        <v>80</v>
      </c>
      <c r="AM7" s="45" t="s">
        <v>21</v>
      </c>
      <c r="AN7" s="46" t="s">
        <v>79</v>
      </c>
      <c r="AO7" s="47" t="s">
        <v>80</v>
      </c>
      <c r="AP7" s="45" t="s">
        <v>21</v>
      </c>
      <c r="AQ7" s="46" t="s">
        <v>79</v>
      </c>
      <c r="AR7" s="47" t="s">
        <v>80</v>
      </c>
      <c r="AS7" s="45" t="s">
        <v>21</v>
      </c>
      <c r="AT7" s="46" t="s">
        <v>79</v>
      </c>
      <c r="AU7" s="47" t="s">
        <v>80</v>
      </c>
      <c r="AV7" s="45" t="s">
        <v>21</v>
      </c>
      <c r="AW7" s="46" t="s">
        <v>79</v>
      </c>
      <c r="AX7" s="47" t="s">
        <v>80</v>
      </c>
      <c r="AY7" s="45" t="s">
        <v>21</v>
      </c>
      <c r="AZ7" s="46" t="s">
        <v>79</v>
      </c>
      <c r="BA7" s="47" t="s">
        <v>80</v>
      </c>
      <c r="BB7" s="45" t="s">
        <v>21</v>
      </c>
      <c r="BC7" s="46" t="s">
        <v>79</v>
      </c>
      <c r="BD7" s="47" t="s">
        <v>80</v>
      </c>
      <c r="BE7" s="45" t="s">
        <v>21</v>
      </c>
      <c r="BF7" s="46" t="s">
        <v>79</v>
      </c>
      <c r="BG7" s="47" t="s">
        <v>80</v>
      </c>
      <c r="BH7" s="45" t="s">
        <v>21</v>
      </c>
      <c r="BI7" s="46" t="s">
        <v>79</v>
      </c>
      <c r="BJ7" s="48" t="s">
        <v>80</v>
      </c>
      <c r="BK7" s="49" t="s">
        <v>21</v>
      </c>
      <c r="BL7" s="43" t="s">
        <v>79</v>
      </c>
      <c r="BM7" s="50" t="s">
        <v>80</v>
      </c>
      <c r="BN7" s="51" t="s">
        <v>21</v>
      </c>
      <c r="BO7" s="41" t="s">
        <v>79</v>
      </c>
      <c r="BP7" s="42" t="s">
        <v>80</v>
      </c>
      <c r="BQ7" s="14" t="s">
        <v>21</v>
      </c>
      <c r="BR7" s="43" t="s">
        <v>79</v>
      </c>
      <c r="BS7" s="15" t="s">
        <v>80</v>
      </c>
    </row>
    <row r="8" spans="1:71" s="19" customFormat="1" ht="15.75" x14ac:dyDescent="0.25">
      <c r="B8" s="16" t="s">
        <v>23</v>
      </c>
      <c r="C8" s="17">
        <f t="shared" ref="C8:D39" si="0">F8+AG8+BK8+BN8+BQ8</f>
        <v>31423</v>
      </c>
      <c r="D8" s="39">
        <f>G8+AH8+BL8+BO8+BR8</f>
        <v>-226</v>
      </c>
      <c r="E8" s="38">
        <f>C8/(C8-D8)-1</f>
        <v>-7.1408259344687419E-3</v>
      </c>
      <c r="F8" s="17">
        <v>289</v>
      </c>
      <c r="G8" s="39">
        <v>2</v>
      </c>
      <c r="H8" s="38">
        <v>6.9686411149825211E-3</v>
      </c>
      <c r="I8" s="17">
        <v>43</v>
      </c>
      <c r="J8" s="39">
        <v>0</v>
      </c>
      <c r="K8" s="18">
        <v>0</v>
      </c>
      <c r="L8" s="17">
        <v>31</v>
      </c>
      <c r="M8" s="39">
        <v>0</v>
      </c>
      <c r="N8" s="18">
        <v>0</v>
      </c>
      <c r="O8" s="17">
        <v>52</v>
      </c>
      <c r="P8" s="39">
        <v>0</v>
      </c>
      <c r="Q8" s="18">
        <v>0</v>
      </c>
      <c r="R8" s="17">
        <v>114</v>
      </c>
      <c r="S8" s="39">
        <v>2</v>
      </c>
      <c r="T8" s="18">
        <v>1.7857142857142794E-2</v>
      </c>
      <c r="U8" s="17">
        <v>20</v>
      </c>
      <c r="V8" s="39">
        <v>0</v>
      </c>
      <c r="W8" s="18">
        <v>0</v>
      </c>
      <c r="X8" s="17">
        <v>4</v>
      </c>
      <c r="Y8" s="39">
        <v>0</v>
      </c>
      <c r="Z8" s="18">
        <v>0</v>
      </c>
      <c r="AA8" s="17">
        <v>9</v>
      </c>
      <c r="AB8" s="39">
        <v>0</v>
      </c>
      <c r="AC8" s="18">
        <v>0</v>
      </c>
      <c r="AD8" s="17">
        <v>16</v>
      </c>
      <c r="AE8" s="39">
        <v>5</v>
      </c>
      <c r="AF8" s="18">
        <v>0.45454545454545459</v>
      </c>
      <c r="AG8" s="17">
        <v>236</v>
      </c>
      <c r="AH8" s="39">
        <v>1</v>
      </c>
      <c r="AI8" s="18">
        <v>4.2553191489360653E-3</v>
      </c>
      <c r="AJ8" s="17">
        <v>45</v>
      </c>
      <c r="AK8" s="39">
        <v>0</v>
      </c>
      <c r="AL8" s="18">
        <v>0</v>
      </c>
      <c r="AM8" s="17">
        <v>50</v>
      </c>
      <c r="AN8" s="39">
        <v>0</v>
      </c>
      <c r="AO8" s="18">
        <v>0</v>
      </c>
      <c r="AP8" s="17">
        <v>41</v>
      </c>
      <c r="AQ8" s="39">
        <v>0</v>
      </c>
      <c r="AR8" s="18">
        <v>0</v>
      </c>
      <c r="AS8" s="17">
        <v>1</v>
      </c>
      <c r="AT8" s="39">
        <v>0</v>
      </c>
      <c r="AU8" s="18">
        <v>0</v>
      </c>
      <c r="AV8" s="17">
        <v>25</v>
      </c>
      <c r="AW8" s="39">
        <v>1</v>
      </c>
      <c r="AX8" s="18">
        <v>4.1666666666666741E-2</v>
      </c>
      <c r="AY8" s="17">
        <v>9</v>
      </c>
      <c r="AZ8" s="39">
        <v>0</v>
      </c>
      <c r="BA8" s="18">
        <v>0</v>
      </c>
      <c r="BB8" s="17">
        <v>5</v>
      </c>
      <c r="BC8" s="39">
        <v>0</v>
      </c>
      <c r="BD8" s="18">
        <v>0</v>
      </c>
      <c r="BE8" s="17">
        <v>42</v>
      </c>
      <c r="BF8" s="39">
        <v>0</v>
      </c>
      <c r="BG8" s="18">
        <v>0</v>
      </c>
      <c r="BH8" s="17">
        <v>18</v>
      </c>
      <c r="BI8" s="39">
        <v>0</v>
      </c>
      <c r="BJ8" s="18">
        <v>0</v>
      </c>
      <c r="BK8" s="17">
        <v>30707</v>
      </c>
      <c r="BL8" s="39">
        <v>-228</v>
      </c>
      <c r="BM8" s="18">
        <v>-7.3700543056632872E-3</v>
      </c>
      <c r="BN8" s="17">
        <v>24</v>
      </c>
      <c r="BO8" s="39">
        <v>0</v>
      </c>
      <c r="BP8" s="18">
        <v>0</v>
      </c>
      <c r="BQ8" s="17">
        <v>167</v>
      </c>
      <c r="BR8" s="39">
        <v>-1</v>
      </c>
      <c r="BS8" s="18">
        <v>0</v>
      </c>
    </row>
    <row r="9" spans="1:71" s="4" customFormat="1" x14ac:dyDescent="0.25">
      <c r="A9" s="24"/>
      <c r="B9" s="20" t="s">
        <v>24</v>
      </c>
      <c r="C9" s="21">
        <f t="shared" si="0"/>
        <v>6082</v>
      </c>
      <c r="D9" s="25">
        <f t="shared" si="0"/>
        <v>-32</v>
      </c>
      <c r="E9" s="52">
        <f t="shared" ref="E9:E39" si="1">C9/(C9-D9)-1</f>
        <v>-5.2338894340857589E-3</v>
      </c>
      <c r="F9" s="21">
        <v>68</v>
      </c>
      <c r="G9" s="25">
        <v>0</v>
      </c>
      <c r="H9" s="52">
        <v>0</v>
      </c>
      <c r="I9" s="23">
        <v>6</v>
      </c>
      <c r="J9" s="25">
        <v>0</v>
      </c>
      <c r="K9" s="52">
        <v>0</v>
      </c>
      <c r="L9" s="23">
        <v>1</v>
      </c>
      <c r="M9" s="25">
        <v>0</v>
      </c>
      <c r="N9" s="52">
        <v>0</v>
      </c>
      <c r="O9" s="23">
        <v>8</v>
      </c>
      <c r="P9" s="25">
        <v>0</v>
      </c>
      <c r="Q9" s="52">
        <v>0</v>
      </c>
      <c r="R9" s="23">
        <v>34</v>
      </c>
      <c r="S9" s="25">
        <v>0</v>
      </c>
      <c r="T9" s="52">
        <v>0</v>
      </c>
      <c r="U9" s="23">
        <v>11</v>
      </c>
      <c r="V9" s="25">
        <v>0</v>
      </c>
      <c r="W9" s="52">
        <v>0</v>
      </c>
      <c r="X9" s="23">
        <v>2</v>
      </c>
      <c r="Y9" s="25">
        <v>0</v>
      </c>
      <c r="Z9" s="52">
        <v>0</v>
      </c>
      <c r="AA9" s="23">
        <v>6</v>
      </c>
      <c r="AB9" s="25">
        <v>0</v>
      </c>
      <c r="AC9" s="52">
        <v>0</v>
      </c>
      <c r="AD9" s="23">
        <v>0</v>
      </c>
      <c r="AE9" s="25">
        <v>0</v>
      </c>
      <c r="AF9" s="52" t="s">
        <v>81</v>
      </c>
      <c r="AG9" s="23">
        <v>50</v>
      </c>
      <c r="AH9" s="25">
        <v>0</v>
      </c>
      <c r="AI9" s="52">
        <v>0</v>
      </c>
      <c r="AJ9" s="23">
        <v>5</v>
      </c>
      <c r="AK9" s="25">
        <v>0</v>
      </c>
      <c r="AL9" s="52">
        <v>0</v>
      </c>
      <c r="AM9" s="23">
        <v>17</v>
      </c>
      <c r="AN9" s="25">
        <v>0</v>
      </c>
      <c r="AO9" s="52">
        <v>0</v>
      </c>
      <c r="AP9" s="23">
        <v>11</v>
      </c>
      <c r="AQ9" s="25">
        <v>0</v>
      </c>
      <c r="AR9" s="52">
        <v>0</v>
      </c>
      <c r="AS9" s="23">
        <v>0</v>
      </c>
      <c r="AT9" s="25">
        <v>0</v>
      </c>
      <c r="AU9" s="52" t="s">
        <v>81</v>
      </c>
      <c r="AV9" s="23">
        <v>10</v>
      </c>
      <c r="AW9" s="25">
        <v>0</v>
      </c>
      <c r="AX9" s="52">
        <v>0</v>
      </c>
      <c r="AY9" s="23">
        <v>1</v>
      </c>
      <c r="AZ9" s="25">
        <v>0</v>
      </c>
      <c r="BA9" s="52">
        <v>0</v>
      </c>
      <c r="BB9" s="23">
        <v>1</v>
      </c>
      <c r="BC9" s="25">
        <v>0</v>
      </c>
      <c r="BD9" s="52">
        <v>0</v>
      </c>
      <c r="BE9" s="23">
        <v>1</v>
      </c>
      <c r="BF9" s="25">
        <v>0</v>
      </c>
      <c r="BG9" s="52">
        <v>0</v>
      </c>
      <c r="BH9" s="23">
        <v>4</v>
      </c>
      <c r="BI9" s="25">
        <v>0</v>
      </c>
      <c r="BJ9" s="52">
        <v>0</v>
      </c>
      <c r="BK9" s="23">
        <v>5960</v>
      </c>
      <c r="BL9" s="25">
        <v>-32</v>
      </c>
      <c r="BM9" s="52">
        <v>-5.3404539385847327E-3</v>
      </c>
      <c r="BN9" s="23">
        <v>1</v>
      </c>
      <c r="BO9" s="25">
        <v>0</v>
      </c>
      <c r="BP9" s="52">
        <v>0</v>
      </c>
      <c r="BQ9" s="23">
        <v>3</v>
      </c>
      <c r="BR9" s="25">
        <v>0</v>
      </c>
      <c r="BS9" s="52">
        <v>0</v>
      </c>
    </row>
    <row r="10" spans="1:71" s="4" customFormat="1" x14ac:dyDescent="0.25">
      <c r="A10" s="24"/>
      <c r="B10" s="20" t="s">
        <v>25</v>
      </c>
      <c r="C10" s="21">
        <f t="shared" si="0"/>
        <v>78</v>
      </c>
      <c r="D10" s="25">
        <f t="shared" si="0"/>
        <v>-1</v>
      </c>
      <c r="E10" s="52">
        <f t="shared" si="1"/>
        <v>-1.2658227848101222E-2</v>
      </c>
      <c r="F10" s="21">
        <v>0</v>
      </c>
      <c r="G10" s="25">
        <v>0</v>
      </c>
      <c r="H10" s="52" t="s">
        <v>81</v>
      </c>
      <c r="I10" s="23">
        <v>0</v>
      </c>
      <c r="J10" s="25">
        <v>0</v>
      </c>
      <c r="K10" s="52" t="s">
        <v>81</v>
      </c>
      <c r="L10" s="23">
        <v>0</v>
      </c>
      <c r="M10" s="25">
        <v>0</v>
      </c>
      <c r="N10" s="52" t="s">
        <v>81</v>
      </c>
      <c r="O10" s="23">
        <v>0</v>
      </c>
      <c r="P10" s="25">
        <v>0</v>
      </c>
      <c r="Q10" s="52" t="s">
        <v>81</v>
      </c>
      <c r="R10" s="23">
        <v>0</v>
      </c>
      <c r="S10" s="25">
        <v>0</v>
      </c>
      <c r="T10" s="52" t="s">
        <v>81</v>
      </c>
      <c r="U10" s="23">
        <v>0</v>
      </c>
      <c r="V10" s="25">
        <v>0</v>
      </c>
      <c r="W10" s="52" t="s">
        <v>81</v>
      </c>
      <c r="X10" s="23">
        <v>0</v>
      </c>
      <c r="Y10" s="25">
        <v>0</v>
      </c>
      <c r="Z10" s="52" t="s">
        <v>81</v>
      </c>
      <c r="AA10" s="23">
        <v>0</v>
      </c>
      <c r="AB10" s="25">
        <v>0</v>
      </c>
      <c r="AC10" s="52" t="s">
        <v>81</v>
      </c>
      <c r="AD10" s="23">
        <v>0</v>
      </c>
      <c r="AE10" s="25">
        <v>0</v>
      </c>
      <c r="AF10" s="52" t="s">
        <v>81</v>
      </c>
      <c r="AG10" s="23">
        <v>0</v>
      </c>
      <c r="AH10" s="25">
        <v>0</v>
      </c>
      <c r="AI10" s="52" t="s">
        <v>81</v>
      </c>
      <c r="AJ10" s="23">
        <v>0</v>
      </c>
      <c r="AK10" s="25">
        <v>0</v>
      </c>
      <c r="AL10" s="52" t="s">
        <v>81</v>
      </c>
      <c r="AM10" s="23">
        <v>0</v>
      </c>
      <c r="AN10" s="25">
        <v>0</v>
      </c>
      <c r="AO10" s="52" t="s">
        <v>81</v>
      </c>
      <c r="AP10" s="23">
        <v>0</v>
      </c>
      <c r="AQ10" s="25">
        <v>0</v>
      </c>
      <c r="AR10" s="52" t="s">
        <v>81</v>
      </c>
      <c r="AS10" s="23">
        <v>0</v>
      </c>
      <c r="AT10" s="25">
        <v>0</v>
      </c>
      <c r="AU10" s="52" t="s">
        <v>81</v>
      </c>
      <c r="AV10" s="23">
        <v>0</v>
      </c>
      <c r="AW10" s="25">
        <v>0</v>
      </c>
      <c r="AX10" s="52" t="s">
        <v>81</v>
      </c>
      <c r="AY10" s="23">
        <v>0</v>
      </c>
      <c r="AZ10" s="25">
        <v>0</v>
      </c>
      <c r="BA10" s="52" t="s">
        <v>81</v>
      </c>
      <c r="BB10" s="23">
        <v>0</v>
      </c>
      <c r="BC10" s="25">
        <v>0</v>
      </c>
      <c r="BD10" s="52" t="s">
        <v>81</v>
      </c>
      <c r="BE10" s="23">
        <v>0</v>
      </c>
      <c r="BF10" s="25">
        <v>0</v>
      </c>
      <c r="BG10" s="52" t="s">
        <v>81</v>
      </c>
      <c r="BH10" s="23">
        <v>0</v>
      </c>
      <c r="BI10" s="25">
        <v>0</v>
      </c>
      <c r="BJ10" s="52" t="s">
        <v>81</v>
      </c>
      <c r="BK10" s="23">
        <v>75</v>
      </c>
      <c r="BL10" s="25">
        <v>-1</v>
      </c>
      <c r="BM10" s="52">
        <v>-1.3157894736842146E-2</v>
      </c>
      <c r="BN10" s="23">
        <v>0</v>
      </c>
      <c r="BO10" s="25">
        <v>0</v>
      </c>
      <c r="BP10" s="52" t="s">
        <v>81</v>
      </c>
      <c r="BQ10" s="23">
        <v>3</v>
      </c>
      <c r="BR10" s="25">
        <v>0</v>
      </c>
      <c r="BS10" s="52">
        <v>0</v>
      </c>
    </row>
    <row r="11" spans="1:71" s="4" customFormat="1" x14ac:dyDescent="0.25">
      <c r="A11" s="24"/>
      <c r="B11" s="20" t="s">
        <v>26</v>
      </c>
      <c r="C11" s="21">
        <f t="shared" si="0"/>
        <v>807</v>
      </c>
      <c r="D11" s="25">
        <f t="shared" si="0"/>
        <v>-5</v>
      </c>
      <c r="E11" s="52">
        <f t="shared" si="1"/>
        <v>-6.1576354679803158E-3</v>
      </c>
      <c r="F11" s="21">
        <v>1</v>
      </c>
      <c r="G11" s="25">
        <v>0</v>
      </c>
      <c r="H11" s="52">
        <v>0</v>
      </c>
      <c r="I11" s="23">
        <v>0</v>
      </c>
      <c r="J11" s="25">
        <v>0</v>
      </c>
      <c r="K11" s="52" t="s">
        <v>81</v>
      </c>
      <c r="L11" s="23">
        <v>1</v>
      </c>
      <c r="M11" s="25">
        <v>0</v>
      </c>
      <c r="N11" s="52">
        <v>0</v>
      </c>
      <c r="O11" s="23">
        <v>0</v>
      </c>
      <c r="P11" s="25">
        <v>0</v>
      </c>
      <c r="Q11" s="52" t="s">
        <v>81</v>
      </c>
      <c r="R11" s="23">
        <v>0</v>
      </c>
      <c r="S11" s="25">
        <v>0</v>
      </c>
      <c r="T11" s="52" t="s">
        <v>81</v>
      </c>
      <c r="U11" s="23">
        <v>0</v>
      </c>
      <c r="V11" s="25">
        <v>0</v>
      </c>
      <c r="W11" s="52" t="s">
        <v>81</v>
      </c>
      <c r="X11" s="23">
        <v>0</v>
      </c>
      <c r="Y11" s="25">
        <v>0</v>
      </c>
      <c r="Z11" s="52" t="s">
        <v>81</v>
      </c>
      <c r="AA11" s="23">
        <v>0</v>
      </c>
      <c r="AB11" s="25">
        <v>0</v>
      </c>
      <c r="AC11" s="52" t="s">
        <v>81</v>
      </c>
      <c r="AD11" s="23">
        <v>0</v>
      </c>
      <c r="AE11" s="25">
        <v>0</v>
      </c>
      <c r="AF11" s="52" t="s">
        <v>81</v>
      </c>
      <c r="AG11" s="23">
        <v>6</v>
      </c>
      <c r="AH11" s="25">
        <v>0</v>
      </c>
      <c r="AI11" s="52">
        <v>0</v>
      </c>
      <c r="AJ11" s="23">
        <v>0</v>
      </c>
      <c r="AK11" s="25">
        <v>0</v>
      </c>
      <c r="AL11" s="52" t="s">
        <v>81</v>
      </c>
      <c r="AM11" s="23">
        <v>0</v>
      </c>
      <c r="AN11" s="25">
        <v>0</v>
      </c>
      <c r="AO11" s="52" t="s">
        <v>81</v>
      </c>
      <c r="AP11" s="23">
        <v>0</v>
      </c>
      <c r="AQ11" s="25">
        <v>0</v>
      </c>
      <c r="AR11" s="52" t="s">
        <v>81</v>
      </c>
      <c r="AS11" s="23">
        <v>0</v>
      </c>
      <c r="AT11" s="25">
        <v>0</v>
      </c>
      <c r="AU11" s="52" t="s">
        <v>81</v>
      </c>
      <c r="AV11" s="23">
        <v>0</v>
      </c>
      <c r="AW11" s="25">
        <v>0</v>
      </c>
      <c r="AX11" s="52" t="s">
        <v>81</v>
      </c>
      <c r="AY11" s="23">
        <v>0</v>
      </c>
      <c r="AZ11" s="25">
        <v>0</v>
      </c>
      <c r="BA11" s="52" t="s">
        <v>81</v>
      </c>
      <c r="BB11" s="23">
        <v>0</v>
      </c>
      <c r="BC11" s="25">
        <v>0</v>
      </c>
      <c r="BD11" s="52" t="s">
        <v>81</v>
      </c>
      <c r="BE11" s="23">
        <v>1</v>
      </c>
      <c r="BF11" s="25">
        <v>0</v>
      </c>
      <c r="BG11" s="52">
        <v>0</v>
      </c>
      <c r="BH11" s="23">
        <v>5</v>
      </c>
      <c r="BI11" s="25">
        <v>0</v>
      </c>
      <c r="BJ11" s="52">
        <v>0</v>
      </c>
      <c r="BK11" s="23">
        <v>787</v>
      </c>
      <c r="BL11" s="25">
        <v>-5</v>
      </c>
      <c r="BM11" s="52">
        <v>-6.3131313131312705E-3</v>
      </c>
      <c r="BN11" s="23">
        <v>0</v>
      </c>
      <c r="BO11" s="25">
        <v>0</v>
      </c>
      <c r="BP11" s="52" t="s">
        <v>81</v>
      </c>
      <c r="BQ11" s="23">
        <v>13</v>
      </c>
      <c r="BR11" s="25">
        <v>0</v>
      </c>
      <c r="BS11" s="52">
        <v>0</v>
      </c>
    </row>
    <row r="12" spans="1:71" s="4" customFormat="1" x14ac:dyDescent="0.25">
      <c r="A12" s="24"/>
      <c r="B12" s="20" t="s">
        <v>27</v>
      </c>
      <c r="C12" s="21">
        <f t="shared" si="0"/>
        <v>6936</v>
      </c>
      <c r="D12" s="25">
        <f t="shared" si="0"/>
        <v>-53</v>
      </c>
      <c r="E12" s="52">
        <f t="shared" si="1"/>
        <v>-7.5833452568321302E-3</v>
      </c>
      <c r="F12" s="21">
        <v>45</v>
      </c>
      <c r="G12" s="25">
        <v>1</v>
      </c>
      <c r="H12" s="52">
        <v>2.2727272727272707E-2</v>
      </c>
      <c r="I12" s="23">
        <v>10</v>
      </c>
      <c r="J12" s="25">
        <v>0</v>
      </c>
      <c r="K12" s="52">
        <v>0</v>
      </c>
      <c r="L12" s="23">
        <v>2</v>
      </c>
      <c r="M12" s="25">
        <v>0</v>
      </c>
      <c r="N12" s="52">
        <v>0</v>
      </c>
      <c r="O12" s="23">
        <v>6</v>
      </c>
      <c r="P12" s="25">
        <v>0</v>
      </c>
      <c r="Q12" s="52">
        <v>0</v>
      </c>
      <c r="R12" s="23">
        <v>22</v>
      </c>
      <c r="S12" s="25">
        <v>1</v>
      </c>
      <c r="T12" s="52">
        <v>4.7619047619047672E-2</v>
      </c>
      <c r="U12" s="23">
        <v>3</v>
      </c>
      <c r="V12" s="25">
        <v>0</v>
      </c>
      <c r="W12" s="52">
        <v>0</v>
      </c>
      <c r="X12" s="23">
        <v>0</v>
      </c>
      <c r="Y12" s="25">
        <v>0</v>
      </c>
      <c r="Z12" s="52" t="s">
        <v>81</v>
      </c>
      <c r="AA12" s="23">
        <v>1</v>
      </c>
      <c r="AB12" s="25">
        <v>0</v>
      </c>
      <c r="AC12" s="52">
        <v>0</v>
      </c>
      <c r="AD12" s="23">
        <v>1</v>
      </c>
      <c r="AE12" s="25">
        <v>0</v>
      </c>
      <c r="AF12" s="52">
        <v>0</v>
      </c>
      <c r="AG12" s="23">
        <v>69</v>
      </c>
      <c r="AH12" s="25">
        <v>0</v>
      </c>
      <c r="AI12" s="52">
        <v>0</v>
      </c>
      <c r="AJ12" s="23">
        <v>19</v>
      </c>
      <c r="AK12" s="25">
        <v>0</v>
      </c>
      <c r="AL12" s="52">
        <v>0</v>
      </c>
      <c r="AM12" s="23">
        <v>20</v>
      </c>
      <c r="AN12" s="25">
        <v>0</v>
      </c>
      <c r="AO12" s="52">
        <v>0</v>
      </c>
      <c r="AP12" s="23">
        <v>17</v>
      </c>
      <c r="AQ12" s="25">
        <v>0</v>
      </c>
      <c r="AR12" s="52">
        <v>0</v>
      </c>
      <c r="AS12" s="23">
        <v>1</v>
      </c>
      <c r="AT12" s="25">
        <v>0</v>
      </c>
      <c r="AU12" s="52">
        <v>0</v>
      </c>
      <c r="AV12" s="23">
        <v>9</v>
      </c>
      <c r="AW12" s="25">
        <v>0</v>
      </c>
      <c r="AX12" s="52">
        <v>0</v>
      </c>
      <c r="AY12" s="23">
        <v>3</v>
      </c>
      <c r="AZ12" s="25">
        <v>0</v>
      </c>
      <c r="BA12" s="52">
        <v>0</v>
      </c>
      <c r="BB12" s="23">
        <v>0</v>
      </c>
      <c r="BC12" s="25">
        <v>0</v>
      </c>
      <c r="BD12" s="52" t="s">
        <v>81</v>
      </c>
      <c r="BE12" s="23">
        <v>0</v>
      </c>
      <c r="BF12" s="25">
        <v>0</v>
      </c>
      <c r="BG12" s="52" t="s">
        <v>81</v>
      </c>
      <c r="BH12" s="23">
        <v>0</v>
      </c>
      <c r="BI12" s="25">
        <v>0</v>
      </c>
      <c r="BJ12" s="52" t="s">
        <v>81</v>
      </c>
      <c r="BK12" s="23">
        <v>6816</v>
      </c>
      <c r="BL12" s="25">
        <v>-54</v>
      </c>
      <c r="BM12" s="52">
        <v>-7.8602620087335762E-3</v>
      </c>
      <c r="BN12" s="23">
        <v>2</v>
      </c>
      <c r="BO12" s="25">
        <v>0</v>
      </c>
      <c r="BP12" s="52">
        <v>0</v>
      </c>
      <c r="BQ12" s="23">
        <v>4</v>
      </c>
      <c r="BR12" s="25">
        <v>0</v>
      </c>
      <c r="BS12" s="52">
        <v>0</v>
      </c>
    </row>
    <row r="13" spans="1:71" s="4" customFormat="1" x14ac:dyDescent="0.25">
      <c r="A13" s="54"/>
      <c r="B13" s="20" t="s">
        <v>28</v>
      </c>
      <c r="C13" s="21">
        <f t="shared" si="0"/>
        <v>120</v>
      </c>
      <c r="D13" s="25">
        <f t="shared" si="0"/>
        <v>-1</v>
      </c>
      <c r="E13" s="52">
        <f t="shared" si="1"/>
        <v>-8.2644628099173278E-3</v>
      </c>
      <c r="F13" s="21">
        <v>1</v>
      </c>
      <c r="G13" s="25">
        <v>0</v>
      </c>
      <c r="H13" s="52">
        <v>0</v>
      </c>
      <c r="I13" s="23">
        <v>0</v>
      </c>
      <c r="J13" s="25">
        <v>0</v>
      </c>
      <c r="K13" s="52" t="s">
        <v>81</v>
      </c>
      <c r="L13" s="23">
        <v>0</v>
      </c>
      <c r="M13" s="25">
        <v>0</v>
      </c>
      <c r="N13" s="52" t="s">
        <v>81</v>
      </c>
      <c r="O13" s="23">
        <v>0</v>
      </c>
      <c r="P13" s="25">
        <v>0</v>
      </c>
      <c r="Q13" s="52" t="s">
        <v>81</v>
      </c>
      <c r="R13" s="23">
        <v>0</v>
      </c>
      <c r="S13" s="25">
        <v>0</v>
      </c>
      <c r="T13" s="52" t="s">
        <v>81</v>
      </c>
      <c r="U13" s="23">
        <v>0</v>
      </c>
      <c r="V13" s="25">
        <v>0</v>
      </c>
      <c r="W13" s="52" t="s">
        <v>81</v>
      </c>
      <c r="X13" s="23">
        <v>0</v>
      </c>
      <c r="Y13" s="25">
        <v>0</v>
      </c>
      <c r="Z13" s="52" t="s">
        <v>81</v>
      </c>
      <c r="AA13" s="23">
        <v>1</v>
      </c>
      <c r="AB13" s="25">
        <v>0</v>
      </c>
      <c r="AC13" s="52">
        <v>0</v>
      </c>
      <c r="AD13" s="23">
        <v>0</v>
      </c>
      <c r="AE13" s="25">
        <v>0</v>
      </c>
      <c r="AF13" s="52" t="s">
        <v>81</v>
      </c>
      <c r="AG13" s="23">
        <v>0</v>
      </c>
      <c r="AH13" s="25">
        <v>0</v>
      </c>
      <c r="AI13" s="52" t="s">
        <v>81</v>
      </c>
      <c r="AJ13" s="23">
        <v>0</v>
      </c>
      <c r="AK13" s="25">
        <v>0</v>
      </c>
      <c r="AL13" s="52" t="s">
        <v>81</v>
      </c>
      <c r="AM13" s="23">
        <v>0</v>
      </c>
      <c r="AN13" s="25">
        <v>0</v>
      </c>
      <c r="AO13" s="52" t="s">
        <v>81</v>
      </c>
      <c r="AP13" s="23">
        <v>0</v>
      </c>
      <c r="AQ13" s="25">
        <v>0</v>
      </c>
      <c r="AR13" s="52" t="s">
        <v>81</v>
      </c>
      <c r="AS13" s="23">
        <v>0</v>
      </c>
      <c r="AT13" s="25">
        <v>0</v>
      </c>
      <c r="AU13" s="52" t="s">
        <v>81</v>
      </c>
      <c r="AV13" s="23">
        <v>0</v>
      </c>
      <c r="AW13" s="25">
        <v>0</v>
      </c>
      <c r="AX13" s="52" t="s">
        <v>81</v>
      </c>
      <c r="AY13" s="23">
        <v>0</v>
      </c>
      <c r="AZ13" s="25">
        <v>0</v>
      </c>
      <c r="BA13" s="52" t="s">
        <v>81</v>
      </c>
      <c r="BB13" s="23">
        <v>0</v>
      </c>
      <c r="BC13" s="25">
        <v>0</v>
      </c>
      <c r="BD13" s="52" t="s">
        <v>81</v>
      </c>
      <c r="BE13" s="23">
        <v>0</v>
      </c>
      <c r="BF13" s="25">
        <v>0</v>
      </c>
      <c r="BG13" s="52" t="s">
        <v>81</v>
      </c>
      <c r="BH13" s="23">
        <v>0</v>
      </c>
      <c r="BI13" s="25">
        <v>0</v>
      </c>
      <c r="BJ13" s="52" t="s">
        <v>81</v>
      </c>
      <c r="BK13" s="23">
        <v>106</v>
      </c>
      <c r="BL13" s="25">
        <v>-1</v>
      </c>
      <c r="BM13" s="52">
        <v>-9.3457943925233655E-3</v>
      </c>
      <c r="BN13" s="23">
        <v>0</v>
      </c>
      <c r="BO13" s="25">
        <v>0</v>
      </c>
      <c r="BP13" s="52" t="s">
        <v>81</v>
      </c>
      <c r="BQ13" s="23">
        <v>13</v>
      </c>
      <c r="BR13" s="25">
        <v>0</v>
      </c>
      <c r="BS13" s="52">
        <v>0</v>
      </c>
    </row>
    <row r="14" spans="1:71" s="4" customFormat="1" x14ac:dyDescent="0.25">
      <c r="A14" s="54"/>
      <c r="B14" s="20" t="s">
        <v>29</v>
      </c>
      <c r="C14" s="21">
        <f t="shared" si="0"/>
        <v>657</v>
      </c>
      <c r="D14" s="25">
        <f t="shared" si="0"/>
        <v>-2</v>
      </c>
      <c r="E14" s="52">
        <f t="shared" si="1"/>
        <v>-3.0349013657056112E-3</v>
      </c>
      <c r="F14" s="21">
        <v>2</v>
      </c>
      <c r="G14" s="25">
        <v>0</v>
      </c>
      <c r="H14" s="52">
        <v>0</v>
      </c>
      <c r="I14" s="23">
        <v>0</v>
      </c>
      <c r="J14" s="25">
        <v>0</v>
      </c>
      <c r="K14" s="52" t="s">
        <v>81</v>
      </c>
      <c r="L14" s="23">
        <v>0</v>
      </c>
      <c r="M14" s="25">
        <v>0</v>
      </c>
      <c r="N14" s="52" t="s">
        <v>81</v>
      </c>
      <c r="O14" s="23">
        <v>1</v>
      </c>
      <c r="P14" s="25">
        <v>0</v>
      </c>
      <c r="Q14" s="52">
        <v>0</v>
      </c>
      <c r="R14" s="23">
        <v>1</v>
      </c>
      <c r="S14" s="25">
        <v>0</v>
      </c>
      <c r="T14" s="52">
        <v>0</v>
      </c>
      <c r="U14" s="23">
        <v>0</v>
      </c>
      <c r="V14" s="25">
        <v>0</v>
      </c>
      <c r="W14" s="52" t="s">
        <v>81</v>
      </c>
      <c r="X14" s="23">
        <v>0</v>
      </c>
      <c r="Y14" s="25">
        <v>0</v>
      </c>
      <c r="Z14" s="52" t="s">
        <v>81</v>
      </c>
      <c r="AA14" s="23">
        <v>0</v>
      </c>
      <c r="AB14" s="25">
        <v>0</v>
      </c>
      <c r="AC14" s="52" t="s">
        <v>81</v>
      </c>
      <c r="AD14" s="23">
        <v>0</v>
      </c>
      <c r="AE14" s="25">
        <v>0</v>
      </c>
      <c r="AF14" s="52" t="s">
        <v>81</v>
      </c>
      <c r="AG14" s="23">
        <v>3</v>
      </c>
      <c r="AH14" s="25">
        <v>0</v>
      </c>
      <c r="AI14" s="52">
        <v>0</v>
      </c>
      <c r="AJ14" s="23">
        <v>0</v>
      </c>
      <c r="AK14" s="25">
        <v>0</v>
      </c>
      <c r="AL14" s="52" t="s">
        <v>81</v>
      </c>
      <c r="AM14" s="23">
        <v>1</v>
      </c>
      <c r="AN14" s="25">
        <v>0</v>
      </c>
      <c r="AO14" s="52">
        <v>0</v>
      </c>
      <c r="AP14" s="23">
        <v>0</v>
      </c>
      <c r="AQ14" s="25">
        <v>0</v>
      </c>
      <c r="AR14" s="52" t="s">
        <v>81</v>
      </c>
      <c r="AS14" s="23">
        <v>0</v>
      </c>
      <c r="AT14" s="25">
        <v>0</v>
      </c>
      <c r="AU14" s="52" t="s">
        <v>81</v>
      </c>
      <c r="AV14" s="23">
        <v>0</v>
      </c>
      <c r="AW14" s="25">
        <v>0</v>
      </c>
      <c r="AX14" s="52" t="s">
        <v>81</v>
      </c>
      <c r="AY14" s="23">
        <v>0</v>
      </c>
      <c r="AZ14" s="25">
        <v>0</v>
      </c>
      <c r="BA14" s="52" t="s">
        <v>81</v>
      </c>
      <c r="BB14" s="23">
        <v>0</v>
      </c>
      <c r="BC14" s="25">
        <v>0</v>
      </c>
      <c r="BD14" s="52" t="s">
        <v>81</v>
      </c>
      <c r="BE14" s="23">
        <v>2</v>
      </c>
      <c r="BF14" s="25">
        <v>0</v>
      </c>
      <c r="BG14" s="52">
        <v>0</v>
      </c>
      <c r="BH14" s="23">
        <v>0</v>
      </c>
      <c r="BI14" s="25">
        <v>0</v>
      </c>
      <c r="BJ14" s="52" t="s">
        <v>81</v>
      </c>
      <c r="BK14" s="23">
        <v>651</v>
      </c>
      <c r="BL14" s="25">
        <v>-2</v>
      </c>
      <c r="BM14" s="52">
        <v>-3.0627871362940429E-3</v>
      </c>
      <c r="BN14" s="23">
        <v>0</v>
      </c>
      <c r="BO14" s="25">
        <v>0</v>
      </c>
      <c r="BP14" s="52" t="s">
        <v>81</v>
      </c>
      <c r="BQ14" s="23">
        <v>1</v>
      </c>
      <c r="BR14" s="25">
        <v>0</v>
      </c>
      <c r="BS14" s="52">
        <v>0</v>
      </c>
    </row>
    <row r="15" spans="1:71" s="4" customFormat="1" x14ac:dyDescent="0.25">
      <c r="A15" s="54"/>
      <c r="B15" s="20" t="s">
        <v>30</v>
      </c>
      <c r="C15" s="21">
        <f t="shared" si="0"/>
        <v>96</v>
      </c>
      <c r="D15" s="25">
        <f t="shared" si="0"/>
        <v>-1</v>
      </c>
      <c r="E15" s="52">
        <f t="shared" si="1"/>
        <v>-1.0309278350515427E-2</v>
      </c>
      <c r="F15" s="21">
        <v>0</v>
      </c>
      <c r="G15" s="25">
        <v>0</v>
      </c>
      <c r="H15" s="52" t="s">
        <v>81</v>
      </c>
      <c r="I15" s="23">
        <v>0</v>
      </c>
      <c r="J15" s="25">
        <v>0</v>
      </c>
      <c r="K15" s="52" t="s">
        <v>81</v>
      </c>
      <c r="L15" s="23">
        <v>0</v>
      </c>
      <c r="M15" s="25">
        <v>0</v>
      </c>
      <c r="N15" s="52" t="s">
        <v>81</v>
      </c>
      <c r="O15" s="23">
        <v>0</v>
      </c>
      <c r="P15" s="25">
        <v>0</v>
      </c>
      <c r="Q15" s="52" t="s">
        <v>81</v>
      </c>
      <c r="R15" s="23">
        <v>0</v>
      </c>
      <c r="S15" s="25">
        <v>0</v>
      </c>
      <c r="T15" s="52" t="s">
        <v>81</v>
      </c>
      <c r="U15" s="23">
        <v>0</v>
      </c>
      <c r="V15" s="25">
        <v>0</v>
      </c>
      <c r="W15" s="52" t="s">
        <v>81</v>
      </c>
      <c r="X15" s="23">
        <v>0</v>
      </c>
      <c r="Y15" s="25">
        <v>0</v>
      </c>
      <c r="Z15" s="52" t="s">
        <v>81</v>
      </c>
      <c r="AA15" s="23">
        <v>0</v>
      </c>
      <c r="AB15" s="25">
        <v>0</v>
      </c>
      <c r="AC15" s="52" t="s">
        <v>81</v>
      </c>
      <c r="AD15" s="23">
        <v>0</v>
      </c>
      <c r="AE15" s="25">
        <v>0</v>
      </c>
      <c r="AF15" s="52" t="s">
        <v>81</v>
      </c>
      <c r="AG15" s="23">
        <v>1</v>
      </c>
      <c r="AH15" s="25">
        <v>0</v>
      </c>
      <c r="AI15" s="52">
        <v>0</v>
      </c>
      <c r="AJ15" s="23">
        <v>0</v>
      </c>
      <c r="AK15" s="25">
        <v>0</v>
      </c>
      <c r="AL15" s="52" t="s">
        <v>81</v>
      </c>
      <c r="AM15" s="23">
        <v>0</v>
      </c>
      <c r="AN15" s="25">
        <v>0</v>
      </c>
      <c r="AO15" s="52" t="s">
        <v>81</v>
      </c>
      <c r="AP15" s="23">
        <v>0</v>
      </c>
      <c r="AQ15" s="25">
        <v>0</v>
      </c>
      <c r="AR15" s="52" t="s">
        <v>81</v>
      </c>
      <c r="AS15" s="23">
        <v>0</v>
      </c>
      <c r="AT15" s="25">
        <v>0</v>
      </c>
      <c r="AU15" s="52" t="s">
        <v>81</v>
      </c>
      <c r="AV15" s="23">
        <v>0</v>
      </c>
      <c r="AW15" s="25">
        <v>0</v>
      </c>
      <c r="AX15" s="52" t="s">
        <v>81</v>
      </c>
      <c r="AY15" s="23">
        <v>0</v>
      </c>
      <c r="AZ15" s="25">
        <v>0</v>
      </c>
      <c r="BA15" s="52" t="s">
        <v>81</v>
      </c>
      <c r="BB15" s="23">
        <v>0</v>
      </c>
      <c r="BC15" s="25">
        <v>0</v>
      </c>
      <c r="BD15" s="52" t="s">
        <v>81</v>
      </c>
      <c r="BE15" s="23">
        <v>1</v>
      </c>
      <c r="BF15" s="25">
        <v>0</v>
      </c>
      <c r="BG15" s="52">
        <v>0</v>
      </c>
      <c r="BH15" s="23">
        <v>0</v>
      </c>
      <c r="BI15" s="25">
        <v>0</v>
      </c>
      <c r="BJ15" s="52" t="s">
        <v>81</v>
      </c>
      <c r="BK15" s="23">
        <v>88</v>
      </c>
      <c r="BL15" s="25">
        <v>-1</v>
      </c>
      <c r="BM15" s="52">
        <v>-1.1235955056179803E-2</v>
      </c>
      <c r="BN15" s="23">
        <v>0</v>
      </c>
      <c r="BO15" s="25">
        <v>0</v>
      </c>
      <c r="BP15" s="52" t="s">
        <v>81</v>
      </c>
      <c r="BQ15" s="23">
        <v>7</v>
      </c>
      <c r="BR15" s="25">
        <v>0</v>
      </c>
      <c r="BS15" s="52">
        <v>0</v>
      </c>
    </row>
    <row r="16" spans="1:71" s="4" customFormat="1" x14ac:dyDescent="0.25">
      <c r="A16" s="54"/>
      <c r="B16" s="20" t="s">
        <v>31</v>
      </c>
      <c r="C16" s="21">
        <f t="shared" si="0"/>
        <v>249</v>
      </c>
      <c r="D16" s="25">
        <f t="shared" si="0"/>
        <v>0</v>
      </c>
      <c r="E16" s="52">
        <f t="shared" si="1"/>
        <v>0</v>
      </c>
      <c r="F16" s="21">
        <v>3</v>
      </c>
      <c r="G16" s="25">
        <v>0</v>
      </c>
      <c r="H16" s="52">
        <v>0</v>
      </c>
      <c r="I16" s="23">
        <v>1</v>
      </c>
      <c r="J16" s="25">
        <v>0</v>
      </c>
      <c r="K16" s="52">
        <v>0</v>
      </c>
      <c r="L16" s="23">
        <v>0</v>
      </c>
      <c r="M16" s="25">
        <v>0</v>
      </c>
      <c r="N16" s="52" t="s">
        <v>81</v>
      </c>
      <c r="O16" s="23">
        <v>0</v>
      </c>
      <c r="P16" s="25">
        <v>0</v>
      </c>
      <c r="Q16" s="52" t="s">
        <v>81</v>
      </c>
      <c r="R16" s="23">
        <v>1</v>
      </c>
      <c r="S16" s="25">
        <v>0</v>
      </c>
      <c r="T16" s="52">
        <v>0</v>
      </c>
      <c r="U16" s="23">
        <v>0</v>
      </c>
      <c r="V16" s="25">
        <v>0</v>
      </c>
      <c r="W16" s="52" t="s">
        <v>81</v>
      </c>
      <c r="X16" s="23">
        <v>0</v>
      </c>
      <c r="Y16" s="25">
        <v>0</v>
      </c>
      <c r="Z16" s="52" t="s">
        <v>81</v>
      </c>
      <c r="AA16" s="23">
        <v>0</v>
      </c>
      <c r="AB16" s="25">
        <v>0</v>
      </c>
      <c r="AC16" s="52" t="s">
        <v>81</v>
      </c>
      <c r="AD16" s="23">
        <v>1</v>
      </c>
      <c r="AE16" s="25">
        <v>0</v>
      </c>
      <c r="AF16" s="52">
        <v>0</v>
      </c>
      <c r="AG16" s="23">
        <v>8</v>
      </c>
      <c r="AH16" s="25">
        <v>0</v>
      </c>
      <c r="AI16" s="52">
        <v>0</v>
      </c>
      <c r="AJ16" s="23">
        <v>0</v>
      </c>
      <c r="AK16" s="25">
        <v>0</v>
      </c>
      <c r="AL16" s="52" t="s">
        <v>81</v>
      </c>
      <c r="AM16" s="23">
        <v>0</v>
      </c>
      <c r="AN16" s="25">
        <v>0</v>
      </c>
      <c r="AO16" s="52" t="s">
        <v>81</v>
      </c>
      <c r="AP16" s="23">
        <v>0</v>
      </c>
      <c r="AQ16" s="25">
        <v>0</v>
      </c>
      <c r="AR16" s="52" t="s">
        <v>81</v>
      </c>
      <c r="AS16" s="23">
        <v>0</v>
      </c>
      <c r="AT16" s="25">
        <v>0</v>
      </c>
      <c r="AU16" s="52" t="s">
        <v>81</v>
      </c>
      <c r="AV16" s="23">
        <v>0</v>
      </c>
      <c r="AW16" s="25">
        <v>0</v>
      </c>
      <c r="AX16" s="52" t="s">
        <v>81</v>
      </c>
      <c r="AY16" s="23">
        <v>0</v>
      </c>
      <c r="AZ16" s="25">
        <v>0</v>
      </c>
      <c r="BA16" s="52" t="s">
        <v>81</v>
      </c>
      <c r="BB16" s="23">
        <v>0</v>
      </c>
      <c r="BC16" s="25">
        <v>0</v>
      </c>
      <c r="BD16" s="52" t="s">
        <v>81</v>
      </c>
      <c r="BE16" s="23">
        <v>7</v>
      </c>
      <c r="BF16" s="25">
        <v>0</v>
      </c>
      <c r="BG16" s="52">
        <v>0</v>
      </c>
      <c r="BH16" s="23">
        <v>1</v>
      </c>
      <c r="BI16" s="25">
        <v>0</v>
      </c>
      <c r="BJ16" s="52">
        <v>0</v>
      </c>
      <c r="BK16" s="23">
        <v>232</v>
      </c>
      <c r="BL16" s="25">
        <v>0</v>
      </c>
      <c r="BM16" s="52">
        <v>0</v>
      </c>
      <c r="BN16" s="23">
        <v>2</v>
      </c>
      <c r="BO16" s="25">
        <v>0</v>
      </c>
      <c r="BP16" s="52">
        <v>0</v>
      </c>
      <c r="BQ16" s="23">
        <v>4</v>
      </c>
      <c r="BR16" s="25">
        <v>0</v>
      </c>
      <c r="BS16" s="52">
        <v>0</v>
      </c>
    </row>
    <row r="17" spans="2:71" s="4" customFormat="1" x14ac:dyDescent="0.25">
      <c r="B17" s="20" t="s">
        <v>32</v>
      </c>
      <c r="C17" s="21">
        <f t="shared" si="0"/>
        <v>2077</v>
      </c>
      <c r="D17" s="25">
        <f t="shared" si="0"/>
        <v>-53</v>
      </c>
      <c r="E17" s="52">
        <f t="shared" si="1"/>
        <v>-2.4882629107981225E-2</v>
      </c>
      <c r="F17" s="21">
        <v>8</v>
      </c>
      <c r="G17" s="25">
        <v>0</v>
      </c>
      <c r="H17" s="52">
        <v>0</v>
      </c>
      <c r="I17" s="23">
        <v>2</v>
      </c>
      <c r="J17" s="25">
        <v>0</v>
      </c>
      <c r="K17" s="52">
        <v>0</v>
      </c>
      <c r="L17" s="23">
        <v>2</v>
      </c>
      <c r="M17" s="25">
        <v>0</v>
      </c>
      <c r="N17" s="52">
        <v>0</v>
      </c>
      <c r="O17" s="23">
        <v>3</v>
      </c>
      <c r="P17" s="25">
        <v>0</v>
      </c>
      <c r="Q17" s="52">
        <v>0</v>
      </c>
      <c r="R17" s="23">
        <v>1</v>
      </c>
      <c r="S17" s="25">
        <v>0</v>
      </c>
      <c r="T17" s="52">
        <v>0</v>
      </c>
      <c r="U17" s="23">
        <v>0</v>
      </c>
      <c r="V17" s="25">
        <v>0</v>
      </c>
      <c r="W17" s="52" t="s">
        <v>81</v>
      </c>
      <c r="X17" s="23">
        <v>0</v>
      </c>
      <c r="Y17" s="25">
        <v>0</v>
      </c>
      <c r="Z17" s="52" t="s">
        <v>81</v>
      </c>
      <c r="AA17" s="23">
        <v>0</v>
      </c>
      <c r="AB17" s="25">
        <v>0</v>
      </c>
      <c r="AC17" s="52" t="s">
        <v>81</v>
      </c>
      <c r="AD17" s="23">
        <v>0</v>
      </c>
      <c r="AE17" s="25">
        <v>0</v>
      </c>
      <c r="AF17" s="52" t="s">
        <v>81</v>
      </c>
      <c r="AG17" s="23">
        <v>8</v>
      </c>
      <c r="AH17" s="25">
        <v>0</v>
      </c>
      <c r="AI17" s="52">
        <v>0</v>
      </c>
      <c r="AJ17" s="23">
        <v>4</v>
      </c>
      <c r="AK17" s="25">
        <v>0</v>
      </c>
      <c r="AL17" s="52">
        <v>0</v>
      </c>
      <c r="AM17" s="23">
        <v>2</v>
      </c>
      <c r="AN17" s="25">
        <v>0</v>
      </c>
      <c r="AO17" s="52">
        <v>0</v>
      </c>
      <c r="AP17" s="23">
        <v>0</v>
      </c>
      <c r="AQ17" s="25">
        <v>0</v>
      </c>
      <c r="AR17" s="52" t="s">
        <v>81</v>
      </c>
      <c r="AS17" s="23">
        <v>0</v>
      </c>
      <c r="AT17" s="25">
        <v>0</v>
      </c>
      <c r="AU17" s="52" t="s">
        <v>81</v>
      </c>
      <c r="AV17" s="23">
        <v>0</v>
      </c>
      <c r="AW17" s="25">
        <v>0</v>
      </c>
      <c r="AX17" s="52" t="s">
        <v>81</v>
      </c>
      <c r="AY17" s="23">
        <v>0</v>
      </c>
      <c r="AZ17" s="25">
        <v>0</v>
      </c>
      <c r="BA17" s="52" t="s">
        <v>81</v>
      </c>
      <c r="BB17" s="23">
        <v>0</v>
      </c>
      <c r="BC17" s="25">
        <v>0</v>
      </c>
      <c r="BD17" s="52" t="s">
        <v>81</v>
      </c>
      <c r="BE17" s="23">
        <v>1</v>
      </c>
      <c r="BF17" s="25">
        <v>0</v>
      </c>
      <c r="BG17" s="52">
        <v>0</v>
      </c>
      <c r="BH17" s="23">
        <v>1</v>
      </c>
      <c r="BI17" s="25">
        <v>0</v>
      </c>
      <c r="BJ17" s="52">
        <v>0</v>
      </c>
      <c r="BK17" s="23">
        <v>2048</v>
      </c>
      <c r="BL17" s="25">
        <v>-53</v>
      </c>
      <c r="BM17" s="52">
        <v>-2.5226082817705886E-2</v>
      </c>
      <c r="BN17" s="23">
        <v>2</v>
      </c>
      <c r="BO17" s="25">
        <v>0</v>
      </c>
      <c r="BP17" s="52">
        <v>0</v>
      </c>
      <c r="BQ17" s="23">
        <v>11</v>
      </c>
      <c r="BR17" s="25">
        <v>0</v>
      </c>
      <c r="BS17" s="52">
        <v>0</v>
      </c>
    </row>
    <row r="18" spans="2:71" s="4" customFormat="1" x14ac:dyDescent="0.25">
      <c r="B18" s="20" t="s">
        <v>33</v>
      </c>
      <c r="C18" s="21">
        <f t="shared" si="0"/>
        <v>103</v>
      </c>
      <c r="D18" s="25">
        <f t="shared" si="0"/>
        <v>0</v>
      </c>
      <c r="E18" s="52">
        <f t="shared" si="1"/>
        <v>0</v>
      </c>
      <c r="F18" s="21">
        <v>0</v>
      </c>
      <c r="G18" s="25">
        <v>0</v>
      </c>
      <c r="H18" s="52" t="s">
        <v>81</v>
      </c>
      <c r="I18" s="23">
        <v>0</v>
      </c>
      <c r="J18" s="25">
        <v>0</v>
      </c>
      <c r="K18" s="52" t="s">
        <v>81</v>
      </c>
      <c r="L18" s="23">
        <v>0</v>
      </c>
      <c r="M18" s="25">
        <v>0</v>
      </c>
      <c r="N18" s="52" t="s">
        <v>81</v>
      </c>
      <c r="O18" s="23">
        <v>0</v>
      </c>
      <c r="P18" s="25">
        <v>0</v>
      </c>
      <c r="Q18" s="52" t="s">
        <v>81</v>
      </c>
      <c r="R18" s="23">
        <v>0</v>
      </c>
      <c r="S18" s="25">
        <v>0</v>
      </c>
      <c r="T18" s="52" t="s">
        <v>81</v>
      </c>
      <c r="U18" s="23">
        <v>0</v>
      </c>
      <c r="V18" s="25">
        <v>0</v>
      </c>
      <c r="W18" s="52" t="s">
        <v>81</v>
      </c>
      <c r="X18" s="23">
        <v>0</v>
      </c>
      <c r="Y18" s="25">
        <v>0</v>
      </c>
      <c r="Z18" s="52" t="s">
        <v>81</v>
      </c>
      <c r="AA18" s="23">
        <v>0</v>
      </c>
      <c r="AB18" s="25">
        <v>0</v>
      </c>
      <c r="AC18" s="52" t="s">
        <v>81</v>
      </c>
      <c r="AD18" s="23">
        <v>0</v>
      </c>
      <c r="AE18" s="25">
        <v>0</v>
      </c>
      <c r="AF18" s="52" t="s">
        <v>81</v>
      </c>
      <c r="AG18" s="23">
        <v>0</v>
      </c>
      <c r="AH18" s="25">
        <v>0</v>
      </c>
      <c r="AI18" s="52" t="s">
        <v>81</v>
      </c>
      <c r="AJ18" s="23">
        <v>0</v>
      </c>
      <c r="AK18" s="25">
        <v>0</v>
      </c>
      <c r="AL18" s="52" t="s">
        <v>81</v>
      </c>
      <c r="AM18" s="23">
        <v>0</v>
      </c>
      <c r="AN18" s="25">
        <v>0</v>
      </c>
      <c r="AO18" s="52" t="s">
        <v>81</v>
      </c>
      <c r="AP18" s="23">
        <v>0</v>
      </c>
      <c r="AQ18" s="25">
        <v>0</v>
      </c>
      <c r="AR18" s="52" t="s">
        <v>81</v>
      </c>
      <c r="AS18" s="23">
        <v>0</v>
      </c>
      <c r="AT18" s="25">
        <v>0</v>
      </c>
      <c r="AU18" s="52" t="s">
        <v>81</v>
      </c>
      <c r="AV18" s="23">
        <v>0</v>
      </c>
      <c r="AW18" s="25">
        <v>0</v>
      </c>
      <c r="AX18" s="52" t="s">
        <v>81</v>
      </c>
      <c r="AY18" s="23">
        <v>0</v>
      </c>
      <c r="AZ18" s="25">
        <v>0</v>
      </c>
      <c r="BA18" s="52" t="s">
        <v>81</v>
      </c>
      <c r="BB18" s="23">
        <v>0</v>
      </c>
      <c r="BC18" s="25">
        <v>0</v>
      </c>
      <c r="BD18" s="52" t="s">
        <v>81</v>
      </c>
      <c r="BE18" s="23">
        <v>0</v>
      </c>
      <c r="BF18" s="25">
        <v>0</v>
      </c>
      <c r="BG18" s="52" t="s">
        <v>81</v>
      </c>
      <c r="BH18" s="23">
        <v>0</v>
      </c>
      <c r="BI18" s="25">
        <v>0</v>
      </c>
      <c r="BJ18" s="52" t="s">
        <v>81</v>
      </c>
      <c r="BK18" s="23">
        <v>102</v>
      </c>
      <c r="BL18" s="25">
        <v>0</v>
      </c>
      <c r="BM18" s="52">
        <v>0</v>
      </c>
      <c r="BN18" s="23">
        <v>0</v>
      </c>
      <c r="BO18" s="25">
        <v>0</v>
      </c>
      <c r="BP18" s="52" t="s">
        <v>81</v>
      </c>
      <c r="BQ18" s="23">
        <v>1</v>
      </c>
      <c r="BR18" s="25">
        <v>0</v>
      </c>
      <c r="BS18" s="52">
        <v>0</v>
      </c>
    </row>
    <row r="19" spans="2:71" s="4" customFormat="1" x14ac:dyDescent="0.25">
      <c r="B19" s="20" t="s">
        <v>93</v>
      </c>
      <c r="C19" s="21">
        <f t="shared" si="0"/>
        <v>910</v>
      </c>
      <c r="D19" s="25">
        <f t="shared" si="0"/>
        <v>-5</v>
      </c>
      <c r="E19" s="52">
        <f t="shared" si="1"/>
        <v>-5.464480874316946E-3</v>
      </c>
      <c r="F19" s="21">
        <v>7</v>
      </c>
      <c r="G19" s="25">
        <v>-1</v>
      </c>
      <c r="H19" s="52">
        <v>-0.125</v>
      </c>
      <c r="I19" s="23">
        <v>3</v>
      </c>
      <c r="J19" s="25">
        <v>0</v>
      </c>
      <c r="K19" s="52">
        <v>0</v>
      </c>
      <c r="L19" s="23">
        <v>1</v>
      </c>
      <c r="M19" s="25">
        <v>0</v>
      </c>
      <c r="N19" s="52">
        <v>0</v>
      </c>
      <c r="O19" s="23">
        <v>1</v>
      </c>
      <c r="P19" s="25">
        <v>0</v>
      </c>
      <c r="Q19" s="52">
        <v>0</v>
      </c>
      <c r="R19" s="23">
        <v>0</v>
      </c>
      <c r="S19" s="25">
        <v>-1</v>
      </c>
      <c r="T19" s="52">
        <v>-1</v>
      </c>
      <c r="U19" s="23">
        <v>0</v>
      </c>
      <c r="V19" s="25">
        <v>0</v>
      </c>
      <c r="W19" s="52" t="s">
        <v>81</v>
      </c>
      <c r="X19" s="23">
        <v>1</v>
      </c>
      <c r="Y19" s="25">
        <v>0</v>
      </c>
      <c r="Z19" s="52">
        <v>0</v>
      </c>
      <c r="AA19" s="23">
        <v>1</v>
      </c>
      <c r="AB19" s="25">
        <v>0</v>
      </c>
      <c r="AC19" s="52">
        <v>0</v>
      </c>
      <c r="AD19" s="23">
        <v>0</v>
      </c>
      <c r="AE19" s="25">
        <v>0</v>
      </c>
      <c r="AF19" s="52" t="s">
        <v>81</v>
      </c>
      <c r="AG19" s="23">
        <v>1</v>
      </c>
      <c r="AH19" s="25">
        <v>0</v>
      </c>
      <c r="AI19" s="52">
        <v>0</v>
      </c>
      <c r="AJ19" s="23">
        <v>0</v>
      </c>
      <c r="AK19" s="25">
        <v>0</v>
      </c>
      <c r="AL19" s="52" t="s">
        <v>81</v>
      </c>
      <c r="AM19" s="23">
        <v>0</v>
      </c>
      <c r="AN19" s="25">
        <v>0</v>
      </c>
      <c r="AO19" s="52" t="s">
        <v>81</v>
      </c>
      <c r="AP19" s="23">
        <v>0</v>
      </c>
      <c r="AQ19" s="25">
        <v>0</v>
      </c>
      <c r="AR19" s="52" t="s">
        <v>81</v>
      </c>
      <c r="AS19" s="23">
        <v>0</v>
      </c>
      <c r="AT19" s="25">
        <v>0</v>
      </c>
      <c r="AU19" s="52" t="s">
        <v>81</v>
      </c>
      <c r="AV19" s="23">
        <v>0</v>
      </c>
      <c r="AW19" s="25">
        <v>0</v>
      </c>
      <c r="AX19" s="52" t="s">
        <v>81</v>
      </c>
      <c r="AY19" s="23">
        <v>0</v>
      </c>
      <c r="AZ19" s="25">
        <v>0</v>
      </c>
      <c r="BA19" s="52" t="s">
        <v>81</v>
      </c>
      <c r="BB19" s="23">
        <v>1</v>
      </c>
      <c r="BC19" s="25">
        <v>0</v>
      </c>
      <c r="BD19" s="52">
        <v>0</v>
      </c>
      <c r="BE19" s="23">
        <v>0</v>
      </c>
      <c r="BF19" s="25">
        <v>0</v>
      </c>
      <c r="BG19" s="52" t="s">
        <v>81</v>
      </c>
      <c r="BH19" s="23">
        <v>0</v>
      </c>
      <c r="BI19" s="25">
        <v>0</v>
      </c>
      <c r="BJ19" s="52" t="s">
        <v>81</v>
      </c>
      <c r="BK19" s="23">
        <v>891</v>
      </c>
      <c r="BL19" s="25">
        <v>-4</v>
      </c>
      <c r="BM19" s="52">
        <v>-4.4692737430167551E-3</v>
      </c>
      <c r="BN19" s="23">
        <v>1</v>
      </c>
      <c r="BO19" s="25">
        <v>0</v>
      </c>
      <c r="BP19" s="52">
        <v>0</v>
      </c>
      <c r="BQ19" s="23">
        <v>10</v>
      </c>
      <c r="BR19" s="25">
        <v>0</v>
      </c>
      <c r="BS19" s="52">
        <v>0</v>
      </c>
    </row>
    <row r="20" spans="2:71" s="4" customFormat="1" x14ac:dyDescent="0.25">
      <c r="B20" s="20" t="s">
        <v>94</v>
      </c>
      <c r="C20" s="21">
        <f t="shared" si="0"/>
        <v>514</v>
      </c>
      <c r="D20" s="25">
        <f t="shared" si="0"/>
        <v>-4</v>
      </c>
      <c r="E20" s="52">
        <f t="shared" si="1"/>
        <v>-7.7220077220077066E-3</v>
      </c>
      <c r="F20" s="21">
        <v>1</v>
      </c>
      <c r="G20" s="25">
        <v>0</v>
      </c>
      <c r="H20" s="52">
        <v>0</v>
      </c>
      <c r="I20" s="23">
        <v>0</v>
      </c>
      <c r="J20" s="25">
        <v>0</v>
      </c>
      <c r="K20" s="52" t="s">
        <v>81</v>
      </c>
      <c r="L20" s="23">
        <v>0</v>
      </c>
      <c r="M20" s="25">
        <v>0</v>
      </c>
      <c r="N20" s="52" t="s">
        <v>81</v>
      </c>
      <c r="O20" s="23">
        <v>0</v>
      </c>
      <c r="P20" s="25">
        <v>0</v>
      </c>
      <c r="Q20" s="52" t="s">
        <v>81</v>
      </c>
      <c r="R20" s="23">
        <v>0</v>
      </c>
      <c r="S20" s="25">
        <v>0</v>
      </c>
      <c r="T20" s="52" t="s">
        <v>81</v>
      </c>
      <c r="U20" s="23">
        <v>0</v>
      </c>
      <c r="V20" s="25">
        <v>0</v>
      </c>
      <c r="W20" s="52" t="s">
        <v>81</v>
      </c>
      <c r="X20" s="23">
        <v>0</v>
      </c>
      <c r="Y20" s="25">
        <v>0</v>
      </c>
      <c r="Z20" s="52" t="s">
        <v>81</v>
      </c>
      <c r="AA20" s="23">
        <v>0</v>
      </c>
      <c r="AB20" s="25">
        <v>0</v>
      </c>
      <c r="AC20" s="52" t="s">
        <v>81</v>
      </c>
      <c r="AD20" s="23">
        <v>1</v>
      </c>
      <c r="AE20" s="25">
        <v>0</v>
      </c>
      <c r="AF20" s="52">
        <v>0</v>
      </c>
      <c r="AG20" s="23">
        <v>1</v>
      </c>
      <c r="AH20" s="25">
        <v>0</v>
      </c>
      <c r="AI20" s="52">
        <v>0</v>
      </c>
      <c r="AJ20" s="23">
        <v>0</v>
      </c>
      <c r="AK20" s="25">
        <v>0</v>
      </c>
      <c r="AL20" s="52" t="s">
        <v>81</v>
      </c>
      <c r="AM20" s="23">
        <v>0</v>
      </c>
      <c r="AN20" s="25">
        <v>0</v>
      </c>
      <c r="AO20" s="52" t="s">
        <v>81</v>
      </c>
      <c r="AP20" s="23">
        <v>0</v>
      </c>
      <c r="AQ20" s="25">
        <v>0</v>
      </c>
      <c r="AR20" s="52" t="s">
        <v>81</v>
      </c>
      <c r="AS20" s="23">
        <v>0</v>
      </c>
      <c r="AT20" s="25">
        <v>0</v>
      </c>
      <c r="AU20" s="52" t="s">
        <v>81</v>
      </c>
      <c r="AV20" s="23">
        <v>0</v>
      </c>
      <c r="AW20" s="25">
        <v>0</v>
      </c>
      <c r="AX20" s="52" t="s">
        <v>81</v>
      </c>
      <c r="AY20" s="23">
        <v>0</v>
      </c>
      <c r="AZ20" s="25">
        <v>0</v>
      </c>
      <c r="BA20" s="52" t="s">
        <v>81</v>
      </c>
      <c r="BB20" s="23">
        <v>0</v>
      </c>
      <c r="BC20" s="25">
        <v>0</v>
      </c>
      <c r="BD20" s="52" t="s">
        <v>81</v>
      </c>
      <c r="BE20" s="23">
        <v>1</v>
      </c>
      <c r="BF20" s="25">
        <v>0</v>
      </c>
      <c r="BG20" s="52">
        <v>0</v>
      </c>
      <c r="BH20" s="23">
        <v>0</v>
      </c>
      <c r="BI20" s="25">
        <v>0</v>
      </c>
      <c r="BJ20" s="52" t="s">
        <v>81</v>
      </c>
      <c r="BK20" s="23">
        <v>503</v>
      </c>
      <c r="BL20" s="25">
        <v>-4</v>
      </c>
      <c r="BM20" s="52">
        <v>-7.8895463510848529E-3</v>
      </c>
      <c r="BN20" s="23">
        <v>4</v>
      </c>
      <c r="BO20" s="25">
        <v>0</v>
      </c>
      <c r="BP20" s="52">
        <v>0</v>
      </c>
      <c r="BQ20" s="23">
        <v>5</v>
      </c>
      <c r="BR20" s="25">
        <v>0</v>
      </c>
      <c r="BS20" s="52">
        <v>0</v>
      </c>
    </row>
    <row r="21" spans="2:71" s="4" customFormat="1" x14ac:dyDescent="0.25">
      <c r="B21" s="20" t="s">
        <v>36</v>
      </c>
      <c r="C21" s="21">
        <f t="shared" si="0"/>
        <v>813</v>
      </c>
      <c r="D21" s="25">
        <f t="shared" si="0"/>
        <v>4</v>
      </c>
      <c r="E21" s="52">
        <f t="shared" si="1"/>
        <v>4.9443757725586845E-3</v>
      </c>
      <c r="F21" s="21">
        <v>3</v>
      </c>
      <c r="G21" s="25">
        <v>0</v>
      </c>
      <c r="H21" s="52">
        <v>0</v>
      </c>
      <c r="I21" s="23">
        <v>0</v>
      </c>
      <c r="J21" s="25">
        <v>0</v>
      </c>
      <c r="K21" s="52" t="s">
        <v>81</v>
      </c>
      <c r="L21" s="23">
        <v>0</v>
      </c>
      <c r="M21" s="25">
        <v>0</v>
      </c>
      <c r="N21" s="52" t="s">
        <v>81</v>
      </c>
      <c r="O21" s="23">
        <v>1</v>
      </c>
      <c r="P21" s="25">
        <v>0</v>
      </c>
      <c r="Q21" s="52">
        <v>0</v>
      </c>
      <c r="R21" s="23">
        <v>0</v>
      </c>
      <c r="S21" s="25">
        <v>0</v>
      </c>
      <c r="T21" s="52" t="s">
        <v>81</v>
      </c>
      <c r="U21" s="23">
        <v>0</v>
      </c>
      <c r="V21" s="25">
        <v>0</v>
      </c>
      <c r="W21" s="52" t="s">
        <v>81</v>
      </c>
      <c r="X21" s="23">
        <v>0</v>
      </c>
      <c r="Y21" s="25">
        <v>0</v>
      </c>
      <c r="Z21" s="52" t="s">
        <v>81</v>
      </c>
      <c r="AA21" s="23">
        <v>0</v>
      </c>
      <c r="AB21" s="25">
        <v>0</v>
      </c>
      <c r="AC21" s="52" t="s">
        <v>81</v>
      </c>
      <c r="AD21" s="23">
        <v>2</v>
      </c>
      <c r="AE21" s="25">
        <v>0</v>
      </c>
      <c r="AF21" s="52">
        <v>0</v>
      </c>
      <c r="AG21" s="23">
        <v>3</v>
      </c>
      <c r="AH21" s="25">
        <v>0</v>
      </c>
      <c r="AI21" s="52">
        <v>0</v>
      </c>
      <c r="AJ21" s="23">
        <v>0</v>
      </c>
      <c r="AK21" s="25">
        <v>0</v>
      </c>
      <c r="AL21" s="52" t="s">
        <v>81</v>
      </c>
      <c r="AM21" s="23">
        <v>0</v>
      </c>
      <c r="AN21" s="25">
        <v>0</v>
      </c>
      <c r="AO21" s="52" t="s">
        <v>81</v>
      </c>
      <c r="AP21" s="23">
        <v>0</v>
      </c>
      <c r="AQ21" s="25">
        <v>0</v>
      </c>
      <c r="AR21" s="52" t="s">
        <v>81</v>
      </c>
      <c r="AS21" s="23">
        <v>0</v>
      </c>
      <c r="AT21" s="25">
        <v>0</v>
      </c>
      <c r="AU21" s="52" t="s">
        <v>81</v>
      </c>
      <c r="AV21" s="23">
        <v>0</v>
      </c>
      <c r="AW21" s="25">
        <v>0</v>
      </c>
      <c r="AX21" s="52" t="s">
        <v>81</v>
      </c>
      <c r="AY21" s="23">
        <v>0</v>
      </c>
      <c r="AZ21" s="25">
        <v>0</v>
      </c>
      <c r="BA21" s="52" t="s">
        <v>81</v>
      </c>
      <c r="BB21" s="23">
        <v>0</v>
      </c>
      <c r="BC21" s="25">
        <v>0</v>
      </c>
      <c r="BD21" s="52" t="s">
        <v>81</v>
      </c>
      <c r="BE21" s="23">
        <v>3</v>
      </c>
      <c r="BF21" s="25">
        <v>0</v>
      </c>
      <c r="BG21" s="52">
        <v>0</v>
      </c>
      <c r="BH21" s="23">
        <v>0</v>
      </c>
      <c r="BI21" s="25">
        <v>0</v>
      </c>
      <c r="BJ21" s="52" t="s">
        <v>81</v>
      </c>
      <c r="BK21" s="23">
        <v>786</v>
      </c>
      <c r="BL21" s="25">
        <v>4</v>
      </c>
      <c r="BM21" s="52">
        <v>5.1150895140665842E-3</v>
      </c>
      <c r="BN21" s="23">
        <v>0</v>
      </c>
      <c r="BO21" s="25">
        <v>0</v>
      </c>
      <c r="BP21" s="52" t="s">
        <v>81</v>
      </c>
      <c r="BQ21" s="23">
        <v>21</v>
      </c>
      <c r="BR21" s="25">
        <v>0</v>
      </c>
      <c r="BS21" s="52">
        <v>0</v>
      </c>
    </row>
    <row r="22" spans="2:71" s="4" customFormat="1" x14ac:dyDescent="0.25">
      <c r="B22" s="20" t="s">
        <v>37</v>
      </c>
      <c r="C22" s="21">
        <f t="shared" si="0"/>
        <v>1193</v>
      </c>
      <c r="D22" s="25">
        <f t="shared" si="0"/>
        <v>-22</v>
      </c>
      <c r="E22" s="52">
        <f t="shared" si="1"/>
        <v>-1.8106995884773713E-2</v>
      </c>
      <c r="F22" s="21">
        <v>16</v>
      </c>
      <c r="G22" s="25">
        <v>0</v>
      </c>
      <c r="H22" s="52">
        <v>0</v>
      </c>
      <c r="I22" s="23">
        <v>6</v>
      </c>
      <c r="J22" s="25">
        <v>0</v>
      </c>
      <c r="K22" s="52">
        <v>0</v>
      </c>
      <c r="L22" s="23">
        <v>2</v>
      </c>
      <c r="M22" s="25">
        <v>0</v>
      </c>
      <c r="N22" s="52">
        <v>0</v>
      </c>
      <c r="O22" s="23">
        <v>2</v>
      </c>
      <c r="P22" s="25">
        <v>0</v>
      </c>
      <c r="Q22" s="52">
        <v>0</v>
      </c>
      <c r="R22" s="23">
        <v>3</v>
      </c>
      <c r="S22" s="25">
        <v>0</v>
      </c>
      <c r="T22" s="52">
        <v>0</v>
      </c>
      <c r="U22" s="23">
        <v>0</v>
      </c>
      <c r="V22" s="25">
        <v>0</v>
      </c>
      <c r="W22" s="52" t="s">
        <v>81</v>
      </c>
      <c r="X22" s="23">
        <v>0</v>
      </c>
      <c r="Y22" s="25">
        <v>0</v>
      </c>
      <c r="Z22" s="52" t="s">
        <v>81</v>
      </c>
      <c r="AA22" s="23">
        <v>0</v>
      </c>
      <c r="AB22" s="25">
        <v>0</v>
      </c>
      <c r="AC22" s="52" t="s">
        <v>81</v>
      </c>
      <c r="AD22" s="23">
        <v>3</v>
      </c>
      <c r="AE22" s="25">
        <v>2</v>
      </c>
      <c r="AF22" s="52">
        <v>2</v>
      </c>
      <c r="AG22" s="23">
        <v>7</v>
      </c>
      <c r="AH22" s="25">
        <v>0</v>
      </c>
      <c r="AI22" s="52">
        <v>0</v>
      </c>
      <c r="AJ22" s="23">
        <v>1</v>
      </c>
      <c r="AK22" s="25">
        <v>0</v>
      </c>
      <c r="AL22" s="52">
        <v>0</v>
      </c>
      <c r="AM22" s="23">
        <v>0</v>
      </c>
      <c r="AN22" s="25">
        <v>0</v>
      </c>
      <c r="AO22" s="52" t="s">
        <v>81</v>
      </c>
      <c r="AP22" s="23">
        <v>0</v>
      </c>
      <c r="AQ22" s="25">
        <v>0</v>
      </c>
      <c r="AR22" s="52" t="s">
        <v>81</v>
      </c>
      <c r="AS22" s="23">
        <v>0</v>
      </c>
      <c r="AT22" s="25">
        <v>0</v>
      </c>
      <c r="AU22" s="52" t="s">
        <v>81</v>
      </c>
      <c r="AV22" s="23">
        <v>0</v>
      </c>
      <c r="AW22" s="25">
        <v>0</v>
      </c>
      <c r="AX22" s="52" t="s">
        <v>81</v>
      </c>
      <c r="AY22" s="23">
        <v>0</v>
      </c>
      <c r="AZ22" s="25">
        <v>0</v>
      </c>
      <c r="BA22" s="52" t="s">
        <v>81</v>
      </c>
      <c r="BB22" s="23">
        <v>0</v>
      </c>
      <c r="BC22" s="25">
        <v>0</v>
      </c>
      <c r="BD22" s="52" t="s">
        <v>81</v>
      </c>
      <c r="BE22" s="23">
        <v>5</v>
      </c>
      <c r="BF22" s="25">
        <v>0</v>
      </c>
      <c r="BG22" s="52">
        <v>0</v>
      </c>
      <c r="BH22" s="23">
        <v>1</v>
      </c>
      <c r="BI22" s="25">
        <v>0</v>
      </c>
      <c r="BJ22" s="52">
        <v>0</v>
      </c>
      <c r="BK22" s="23">
        <v>1157</v>
      </c>
      <c r="BL22" s="25">
        <v>-22</v>
      </c>
      <c r="BM22" s="52">
        <v>-1.8659881255301047E-2</v>
      </c>
      <c r="BN22" s="23">
        <v>1</v>
      </c>
      <c r="BO22" s="25">
        <v>0</v>
      </c>
      <c r="BP22" s="52">
        <v>0</v>
      </c>
      <c r="BQ22" s="23">
        <v>12</v>
      </c>
      <c r="BR22" s="25">
        <v>0</v>
      </c>
      <c r="BS22" s="52">
        <v>0</v>
      </c>
    </row>
    <row r="23" spans="2:71" s="4" customFormat="1" x14ac:dyDescent="0.25">
      <c r="B23" s="20" t="s">
        <v>38</v>
      </c>
      <c r="C23" s="21">
        <f t="shared" si="0"/>
        <v>226</v>
      </c>
      <c r="D23" s="25">
        <f t="shared" si="0"/>
        <v>-2</v>
      </c>
      <c r="E23" s="52">
        <f t="shared" si="1"/>
        <v>-8.7719298245614308E-3</v>
      </c>
      <c r="F23" s="21">
        <v>0</v>
      </c>
      <c r="G23" s="25">
        <v>0</v>
      </c>
      <c r="H23" s="52" t="s">
        <v>81</v>
      </c>
      <c r="I23" s="23">
        <v>0</v>
      </c>
      <c r="J23" s="25">
        <v>0</v>
      </c>
      <c r="K23" s="52" t="s">
        <v>81</v>
      </c>
      <c r="L23" s="23">
        <v>0</v>
      </c>
      <c r="M23" s="25">
        <v>0</v>
      </c>
      <c r="N23" s="52" t="s">
        <v>81</v>
      </c>
      <c r="O23" s="23">
        <v>0</v>
      </c>
      <c r="P23" s="25">
        <v>0</v>
      </c>
      <c r="Q23" s="52" t="s">
        <v>81</v>
      </c>
      <c r="R23" s="23">
        <v>0</v>
      </c>
      <c r="S23" s="25">
        <v>0</v>
      </c>
      <c r="T23" s="52" t="s">
        <v>81</v>
      </c>
      <c r="U23" s="23">
        <v>0</v>
      </c>
      <c r="V23" s="25">
        <v>0</v>
      </c>
      <c r="W23" s="52" t="s">
        <v>81</v>
      </c>
      <c r="X23" s="23">
        <v>0</v>
      </c>
      <c r="Y23" s="25">
        <v>0</v>
      </c>
      <c r="Z23" s="52" t="s">
        <v>81</v>
      </c>
      <c r="AA23" s="23">
        <v>0</v>
      </c>
      <c r="AB23" s="25">
        <v>0</v>
      </c>
      <c r="AC23" s="52" t="s">
        <v>81</v>
      </c>
      <c r="AD23" s="23">
        <v>0</v>
      </c>
      <c r="AE23" s="25">
        <v>0</v>
      </c>
      <c r="AF23" s="52" t="s">
        <v>81</v>
      </c>
      <c r="AG23" s="23">
        <v>0</v>
      </c>
      <c r="AH23" s="25">
        <v>0</v>
      </c>
      <c r="AI23" s="52" t="s">
        <v>81</v>
      </c>
      <c r="AJ23" s="23">
        <v>0</v>
      </c>
      <c r="AK23" s="25">
        <v>0</v>
      </c>
      <c r="AL23" s="52" t="s">
        <v>81</v>
      </c>
      <c r="AM23" s="23">
        <v>0</v>
      </c>
      <c r="AN23" s="25">
        <v>0</v>
      </c>
      <c r="AO23" s="52" t="s">
        <v>81</v>
      </c>
      <c r="AP23" s="23">
        <v>0</v>
      </c>
      <c r="AQ23" s="25">
        <v>0</v>
      </c>
      <c r="AR23" s="52" t="s">
        <v>81</v>
      </c>
      <c r="AS23" s="23">
        <v>0</v>
      </c>
      <c r="AT23" s="25">
        <v>0</v>
      </c>
      <c r="AU23" s="52" t="s">
        <v>81</v>
      </c>
      <c r="AV23" s="23">
        <v>0</v>
      </c>
      <c r="AW23" s="25">
        <v>0</v>
      </c>
      <c r="AX23" s="52" t="s">
        <v>81</v>
      </c>
      <c r="AY23" s="23">
        <v>0</v>
      </c>
      <c r="AZ23" s="25">
        <v>0</v>
      </c>
      <c r="BA23" s="52" t="s">
        <v>81</v>
      </c>
      <c r="BB23" s="23">
        <v>0</v>
      </c>
      <c r="BC23" s="25">
        <v>0</v>
      </c>
      <c r="BD23" s="52" t="s">
        <v>81</v>
      </c>
      <c r="BE23" s="23">
        <v>0</v>
      </c>
      <c r="BF23" s="25">
        <v>0</v>
      </c>
      <c r="BG23" s="52" t="s">
        <v>81</v>
      </c>
      <c r="BH23" s="23">
        <v>0</v>
      </c>
      <c r="BI23" s="25">
        <v>0</v>
      </c>
      <c r="BJ23" s="52" t="s">
        <v>81</v>
      </c>
      <c r="BK23" s="23">
        <v>221</v>
      </c>
      <c r="BL23" s="25">
        <v>-2</v>
      </c>
      <c r="BM23" s="52">
        <v>-8.9686098654708779E-3</v>
      </c>
      <c r="BN23" s="23">
        <v>0</v>
      </c>
      <c r="BO23" s="25">
        <v>0</v>
      </c>
      <c r="BP23" s="52" t="s">
        <v>81</v>
      </c>
      <c r="BQ23" s="23">
        <v>5</v>
      </c>
      <c r="BR23" s="25">
        <v>0</v>
      </c>
      <c r="BS23" s="52">
        <v>0</v>
      </c>
    </row>
    <row r="24" spans="2:71" s="4" customFormat="1" x14ac:dyDescent="0.25">
      <c r="B24" s="20" t="s">
        <v>39</v>
      </c>
      <c r="C24" s="21">
        <f t="shared" si="0"/>
        <v>444</v>
      </c>
      <c r="D24" s="25">
        <f t="shared" si="0"/>
        <v>-6</v>
      </c>
      <c r="E24" s="52">
        <f t="shared" si="1"/>
        <v>-1.3333333333333308E-2</v>
      </c>
      <c r="F24" s="21">
        <v>5</v>
      </c>
      <c r="G24" s="25">
        <v>0</v>
      </c>
      <c r="H24" s="52">
        <v>0</v>
      </c>
      <c r="I24" s="23">
        <v>1</v>
      </c>
      <c r="J24" s="25">
        <v>0</v>
      </c>
      <c r="K24" s="52">
        <v>0</v>
      </c>
      <c r="L24" s="23">
        <v>2</v>
      </c>
      <c r="M24" s="25">
        <v>0</v>
      </c>
      <c r="N24" s="52">
        <v>0</v>
      </c>
      <c r="O24" s="23">
        <v>1</v>
      </c>
      <c r="P24" s="25">
        <v>0</v>
      </c>
      <c r="Q24" s="52">
        <v>0</v>
      </c>
      <c r="R24" s="23">
        <v>0</v>
      </c>
      <c r="S24" s="25">
        <v>0</v>
      </c>
      <c r="T24" s="52" t="s">
        <v>81</v>
      </c>
      <c r="U24" s="23">
        <v>0</v>
      </c>
      <c r="V24" s="25">
        <v>0</v>
      </c>
      <c r="W24" s="52" t="s">
        <v>81</v>
      </c>
      <c r="X24" s="23">
        <v>0</v>
      </c>
      <c r="Y24" s="25">
        <v>0</v>
      </c>
      <c r="Z24" s="52" t="s">
        <v>81</v>
      </c>
      <c r="AA24" s="23">
        <v>0</v>
      </c>
      <c r="AB24" s="25">
        <v>0</v>
      </c>
      <c r="AC24" s="52" t="s">
        <v>81</v>
      </c>
      <c r="AD24" s="23">
        <v>1</v>
      </c>
      <c r="AE24" s="25">
        <v>0</v>
      </c>
      <c r="AF24" s="52">
        <v>0</v>
      </c>
      <c r="AG24" s="23">
        <v>3</v>
      </c>
      <c r="AH24" s="25">
        <v>0</v>
      </c>
      <c r="AI24" s="52">
        <v>0</v>
      </c>
      <c r="AJ24" s="23">
        <v>1</v>
      </c>
      <c r="AK24" s="25">
        <v>0</v>
      </c>
      <c r="AL24" s="52">
        <v>0</v>
      </c>
      <c r="AM24" s="23">
        <v>0</v>
      </c>
      <c r="AN24" s="25">
        <v>0</v>
      </c>
      <c r="AO24" s="52" t="s">
        <v>81</v>
      </c>
      <c r="AP24" s="23">
        <v>0</v>
      </c>
      <c r="AQ24" s="25">
        <v>0</v>
      </c>
      <c r="AR24" s="52" t="s">
        <v>81</v>
      </c>
      <c r="AS24" s="23">
        <v>0</v>
      </c>
      <c r="AT24" s="25">
        <v>0</v>
      </c>
      <c r="AU24" s="52" t="s">
        <v>81</v>
      </c>
      <c r="AV24" s="23">
        <v>0</v>
      </c>
      <c r="AW24" s="25">
        <v>0</v>
      </c>
      <c r="AX24" s="52" t="s">
        <v>81</v>
      </c>
      <c r="AY24" s="23">
        <v>0</v>
      </c>
      <c r="AZ24" s="25">
        <v>0</v>
      </c>
      <c r="BA24" s="52" t="s">
        <v>81</v>
      </c>
      <c r="BB24" s="23">
        <v>0</v>
      </c>
      <c r="BC24" s="25">
        <v>0</v>
      </c>
      <c r="BD24" s="52" t="s">
        <v>81</v>
      </c>
      <c r="BE24" s="23">
        <v>1</v>
      </c>
      <c r="BF24" s="25">
        <v>0</v>
      </c>
      <c r="BG24" s="52">
        <v>0</v>
      </c>
      <c r="BH24" s="23">
        <v>1</v>
      </c>
      <c r="BI24" s="25">
        <v>0</v>
      </c>
      <c r="BJ24" s="52">
        <v>0</v>
      </c>
      <c r="BK24" s="23">
        <v>426</v>
      </c>
      <c r="BL24" s="25">
        <v>-6</v>
      </c>
      <c r="BM24" s="52">
        <v>-1.388888888888884E-2</v>
      </c>
      <c r="BN24" s="23">
        <v>1</v>
      </c>
      <c r="BO24" s="25">
        <v>0</v>
      </c>
      <c r="BP24" s="52">
        <v>0</v>
      </c>
      <c r="BQ24" s="23">
        <v>9</v>
      </c>
      <c r="BR24" s="25">
        <v>0</v>
      </c>
      <c r="BS24" s="52">
        <v>0</v>
      </c>
    </row>
    <row r="25" spans="2:71" s="4" customFormat="1" x14ac:dyDescent="0.25">
      <c r="B25" s="20" t="s">
        <v>40</v>
      </c>
      <c r="C25" s="21">
        <f t="shared" si="0"/>
        <v>2132</v>
      </c>
      <c r="D25" s="25">
        <f t="shared" si="0"/>
        <v>14</v>
      </c>
      <c r="E25" s="52">
        <f t="shared" si="1"/>
        <v>6.6100094428707123E-3</v>
      </c>
      <c r="F25" s="21">
        <v>63</v>
      </c>
      <c r="G25" s="25">
        <v>0</v>
      </c>
      <c r="H25" s="52">
        <v>0</v>
      </c>
      <c r="I25" s="23">
        <v>4</v>
      </c>
      <c r="J25" s="25">
        <v>0</v>
      </c>
      <c r="K25" s="52">
        <v>0</v>
      </c>
      <c r="L25" s="23">
        <v>10</v>
      </c>
      <c r="M25" s="25">
        <v>0</v>
      </c>
      <c r="N25" s="52">
        <v>0</v>
      </c>
      <c r="O25" s="23">
        <v>17</v>
      </c>
      <c r="P25" s="25">
        <v>0</v>
      </c>
      <c r="Q25" s="52">
        <v>0</v>
      </c>
      <c r="R25" s="23">
        <v>29</v>
      </c>
      <c r="S25" s="25">
        <v>0</v>
      </c>
      <c r="T25" s="52">
        <v>0</v>
      </c>
      <c r="U25" s="23">
        <v>2</v>
      </c>
      <c r="V25" s="25">
        <v>0</v>
      </c>
      <c r="W25" s="52">
        <v>0</v>
      </c>
      <c r="X25" s="23">
        <v>1</v>
      </c>
      <c r="Y25" s="25">
        <v>0</v>
      </c>
      <c r="Z25" s="52">
        <v>0</v>
      </c>
      <c r="AA25" s="23">
        <v>0</v>
      </c>
      <c r="AB25" s="25">
        <v>0</v>
      </c>
      <c r="AC25" s="52" t="s">
        <v>81</v>
      </c>
      <c r="AD25" s="23">
        <v>0</v>
      </c>
      <c r="AE25" s="25">
        <v>0</v>
      </c>
      <c r="AF25" s="52" t="s">
        <v>81</v>
      </c>
      <c r="AG25" s="23">
        <v>23</v>
      </c>
      <c r="AH25" s="25">
        <v>1</v>
      </c>
      <c r="AI25" s="52">
        <v>4.5454545454545414E-2</v>
      </c>
      <c r="AJ25" s="23">
        <v>2</v>
      </c>
      <c r="AK25" s="25">
        <v>0</v>
      </c>
      <c r="AL25" s="52">
        <v>0</v>
      </c>
      <c r="AM25" s="23">
        <v>5</v>
      </c>
      <c r="AN25" s="25">
        <v>0</v>
      </c>
      <c r="AO25" s="52">
        <v>0</v>
      </c>
      <c r="AP25" s="23">
        <v>8</v>
      </c>
      <c r="AQ25" s="25">
        <v>0</v>
      </c>
      <c r="AR25" s="52">
        <v>0</v>
      </c>
      <c r="AS25" s="23">
        <v>0</v>
      </c>
      <c r="AT25" s="25">
        <v>0</v>
      </c>
      <c r="AU25" s="52" t="s">
        <v>81</v>
      </c>
      <c r="AV25" s="23">
        <v>3</v>
      </c>
      <c r="AW25" s="25">
        <v>1</v>
      </c>
      <c r="AX25" s="52">
        <v>0.5</v>
      </c>
      <c r="AY25" s="23">
        <v>4</v>
      </c>
      <c r="AZ25" s="25">
        <v>0</v>
      </c>
      <c r="BA25" s="52">
        <v>0</v>
      </c>
      <c r="BB25" s="23">
        <v>0</v>
      </c>
      <c r="BC25" s="25">
        <v>0</v>
      </c>
      <c r="BD25" s="52" t="s">
        <v>81</v>
      </c>
      <c r="BE25" s="23">
        <v>1</v>
      </c>
      <c r="BF25" s="25">
        <v>0</v>
      </c>
      <c r="BG25" s="52">
        <v>0</v>
      </c>
      <c r="BH25" s="23">
        <v>0</v>
      </c>
      <c r="BI25" s="25">
        <v>0</v>
      </c>
      <c r="BJ25" s="52" t="s">
        <v>81</v>
      </c>
      <c r="BK25" s="23">
        <v>2045</v>
      </c>
      <c r="BL25" s="25">
        <v>13</v>
      </c>
      <c r="BM25" s="52">
        <v>6.3976377952756902E-3</v>
      </c>
      <c r="BN25" s="23">
        <v>0</v>
      </c>
      <c r="BO25" s="25">
        <v>0</v>
      </c>
      <c r="BP25" s="52" t="s">
        <v>81</v>
      </c>
      <c r="BQ25" s="23">
        <v>1</v>
      </c>
      <c r="BR25" s="25">
        <v>0</v>
      </c>
      <c r="BS25" s="52">
        <v>0</v>
      </c>
    </row>
    <row r="26" spans="2:71" s="4" customFormat="1" x14ac:dyDescent="0.25">
      <c r="B26" s="20" t="s">
        <v>41</v>
      </c>
      <c r="C26" s="21">
        <f t="shared" si="0"/>
        <v>393</v>
      </c>
      <c r="D26" s="25">
        <f t="shared" si="0"/>
        <v>-3</v>
      </c>
      <c r="E26" s="52">
        <f t="shared" si="1"/>
        <v>-7.575757575757569E-3</v>
      </c>
      <c r="F26" s="21">
        <v>5</v>
      </c>
      <c r="G26" s="25">
        <v>0</v>
      </c>
      <c r="H26" s="52">
        <v>0</v>
      </c>
      <c r="I26" s="23">
        <v>0</v>
      </c>
      <c r="J26" s="25">
        <v>0</v>
      </c>
      <c r="K26" s="52" t="s">
        <v>81</v>
      </c>
      <c r="L26" s="23">
        <v>0</v>
      </c>
      <c r="M26" s="25">
        <v>0</v>
      </c>
      <c r="N26" s="52" t="s">
        <v>81</v>
      </c>
      <c r="O26" s="23">
        <v>2</v>
      </c>
      <c r="P26" s="25">
        <v>0</v>
      </c>
      <c r="Q26" s="52">
        <v>0</v>
      </c>
      <c r="R26" s="23">
        <v>3</v>
      </c>
      <c r="S26" s="25">
        <v>0</v>
      </c>
      <c r="T26" s="52">
        <v>0</v>
      </c>
      <c r="U26" s="23">
        <v>0</v>
      </c>
      <c r="V26" s="25">
        <v>0</v>
      </c>
      <c r="W26" s="52" t="s">
        <v>81</v>
      </c>
      <c r="X26" s="23">
        <v>0</v>
      </c>
      <c r="Y26" s="25">
        <v>0</v>
      </c>
      <c r="Z26" s="52" t="s">
        <v>81</v>
      </c>
      <c r="AA26" s="23">
        <v>0</v>
      </c>
      <c r="AB26" s="25">
        <v>0</v>
      </c>
      <c r="AC26" s="52" t="s">
        <v>81</v>
      </c>
      <c r="AD26" s="23">
        <v>0</v>
      </c>
      <c r="AE26" s="25">
        <v>0</v>
      </c>
      <c r="AF26" s="52" t="s">
        <v>81</v>
      </c>
      <c r="AG26" s="23">
        <v>4</v>
      </c>
      <c r="AH26" s="25">
        <v>0</v>
      </c>
      <c r="AI26" s="52">
        <v>0</v>
      </c>
      <c r="AJ26" s="23">
        <v>1</v>
      </c>
      <c r="AK26" s="25">
        <v>0</v>
      </c>
      <c r="AL26" s="52">
        <v>0</v>
      </c>
      <c r="AM26" s="23">
        <v>0</v>
      </c>
      <c r="AN26" s="25">
        <v>0</v>
      </c>
      <c r="AO26" s="52" t="s">
        <v>81</v>
      </c>
      <c r="AP26" s="23">
        <v>1</v>
      </c>
      <c r="AQ26" s="25">
        <v>0</v>
      </c>
      <c r="AR26" s="52">
        <v>0</v>
      </c>
      <c r="AS26" s="23">
        <v>0</v>
      </c>
      <c r="AT26" s="25">
        <v>0</v>
      </c>
      <c r="AU26" s="52" t="s">
        <v>81</v>
      </c>
      <c r="AV26" s="23">
        <v>0</v>
      </c>
      <c r="AW26" s="25">
        <v>0</v>
      </c>
      <c r="AX26" s="52" t="s">
        <v>81</v>
      </c>
      <c r="AY26" s="23">
        <v>0</v>
      </c>
      <c r="AZ26" s="25">
        <v>0</v>
      </c>
      <c r="BA26" s="52" t="s">
        <v>81</v>
      </c>
      <c r="BB26" s="23">
        <v>0</v>
      </c>
      <c r="BC26" s="25">
        <v>0</v>
      </c>
      <c r="BD26" s="52" t="s">
        <v>81</v>
      </c>
      <c r="BE26" s="23">
        <v>2</v>
      </c>
      <c r="BF26" s="25">
        <v>0</v>
      </c>
      <c r="BG26" s="52">
        <v>0</v>
      </c>
      <c r="BH26" s="23">
        <v>0</v>
      </c>
      <c r="BI26" s="25">
        <v>0</v>
      </c>
      <c r="BJ26" s="52" t="s">
        <v>81</v>
      </c>
      <c r="BK26" s="23">
        <v>366</v>
      </c>
      <c r="BL26" s="25">
        <v>-3</v>
      </c>
      <c r="BM26" s="52">
        <v>-8.1300813008130524E-3</v>
      </c>
      <c r="BN26" s="23">
        <v>3</v>
      </c>
      <c r="BO26" s="25">
        <v>0</v>
      </c>
      <c r="BP26" s="52">
        <v>0</v>
      </c>
      <c r="BQ26" s="23">
        <v>15</v>
      </c>
      <c r="BR26" s="25">
        <v>0</v>
      </c>
      <c r="BS26" s="52">
        <v>0</v>
      </c>
    </row>
    <row r="27" spans="2:71" s="4" customFormat="1" x14ac:dyDescent="0.25">
      <c r="B27" s="20" t="s">
        <v>42</v>
      </c>
      <c r="C27" s="21">
        <f t="shared" si="0"/>
        <v>450</v>
      </c>
      <c r="D27" s="25">
        <f t="shared" si="0"/>
        <v>-2</v>
      </c>
      <c r="E27" s="52">
        <f t="shared" si="1"/>
        <v>-4.4247787610619538E-3</v>
      </c>
      <c r="F27" s="21">
        <v>2</v>
      </c>
      <c r="G27" s="25">
        <v>0</v>
      </c>
      <c r="H27" s="52">
        <v>0</v>
      </c>
      <c r="I27" s="23">
        <v>1</v>
      </c>
      <c r="J27" s="25">
        <v>0</v>
      </c>
      <c r="K27" s="52">
        <v>0</v>
      </c>
      <c r="L27" s="23">
        <v>1</v>
      </c>
      <c r="M27" s="25">
        <v>0</v>
      </c>
      <c r="N27" s="52">
        <v>0</v>
      </c>
      <c r="O27" s="23">
        <v>0</v>
      </c>
      <c r="P27" s="25">
        <v>0</v>
      </c>
      <c r="Q27" s="52" t="s">
        <v>81</v>
      </c>
      <c r="R27" s="23">
        <v>0</v>
      </c>
      <c r="S27" s="25">
        <v>0</v>
      </c>
      <c r="T27" s="52" t="s">
        <v>81</v>
      </c>
      <c r="U27" s="23">
        <v>0</v>
      </c>
      <c r="V27" s="25">
        <v>0</v>
      </c>
      <c r="W27" s="52" t="s">
        <v>81</v>
      </c>
      <c r="X27" s="23">
        <v>0</v>
      </c>
      <c r="Y27" s="25">
        <v>0</v>
      </c>
      <c r="Z27" s="52" t="s">
        <v>81</v>
      </c>
      <c r="AA27" s="23">
        <v>0</v>
      </c>
      <c r="AB27" s="25">
        <v>0</v>
      </c>
      <c r="AC27" s="52" t="s">
        <v>81</v>
      </c>
      <c r="AD27" s="23">
        <v>0</v>
      </c>
      <c r="AE27" s="25">
        <v>0</v>
      </c>
      <c r="AF27" s="52" t="s">
        <v>81</v>
      </c>
      <c r="AG27" s="23">
        <v>1</v>
      </c>
      <c r="AH27" s="25">
        <v>0</v>
      </c>
      <c r="AI27" s="52">
        <v>0</v>
      </c>
      <c r="AJ27" s="23">
        <v>0</v>
      </c>
      <c r="AK27" s="25">
        <v>0</v>
      </c>
      <c r="AL27" s="52" t="s">
        <v>81</v>
      </c>
      <c r="AM27" s="23">
        <v>0</v>
      </c>
      <c r="AN27" s="25">
        <v>0</v>
      </c>
      <c r="AO27" s="52" t="s">
        <v>81</v>
      </c>
      <c r="AP27" s="23">
        <v>0</v>
      </c>
      <c r="AQ27" s="25">
        <v>0</v>
      </c>
      <c r="AR27" s="52" t="s">
        <v>81</v>
      </c>
      <c r="AS27" s="23">
        <v>0</v>
      </c>
      <c r="AT27" s="25">
        <v>0</v>
      </c>
      <c r="AU27" s="52" t="s">
        <v>81</v>
      </c>
      <c r="AV27" s="23">
        <v>0</v>
      </c>
      <c r="AW27" s="25">
        <v>0</v>
      </c>
      <c r="AX27" s="52" t="s">
        <v>81</v>
      </c>
      <c r="AY27" s="23">
        <v>0</v>
      </c>
      <c r="AZ27" s="25">
        <v>0</v>
      </c>
      <c r="BA27" s="52" t="s">
        <v>81</v>
      </c>
      <c r="BB27" s="23">
        <v>0</v>
      </c>
      <c r="BC27" s="25">
        <v>0</v>
      </c>
      <c r="BD27" s="52" t="s">
        <v>81</v>
      </c>
      <c r="BE27" s="23">
        <v>0</v>
      </c>
      <c r="BF27" s="25">
        <v>0</v>
      </c>
      <c r="BG27" s="52" t="s">
        <v>81</v>
      </c>
      <c r="BH27" s="23">
        <v>1</v>
      </c>
      <c r="BI27" s="25">
        <v>0</v>
      </c>
      <c r="BJ27" s="52">
        <v>0</v>
      </c>
      <c r="BK27" s="23">
        <v>443</v>
      </c>
      <c r="BL27" s="25">
        <v>-2</v>
      </c>
      <c r="BM27" s="52">
        <v>-4.4943820224718767E-3</v>
      </c>
      <c r="BN27" s="23">
        <v>1</v>
      </c>
      <c r="BO27" s="25">
        <v>0</v>
      </c>
      <c r="BP27" s="52">
        <v>0</v>
      </c>
      <c r="BQ27" s="23">
        <v>3</v>
      </c>
      <c r="BR27" s="25">
        <v>0</v>
      </c>
      <c r="BS27" s="52">
        <v>0</v>
      </c>
    </row>
    <row r="28" spans="2:71" s="4" customFormat="1" x14ac:dyDescent="0.25">
      <c r="B28" s="20" t="s">
        <v>43</v>
      </c>
      <c r="C28" s="21">
        <f t="shared" si="0"/>
        <v>85</v>
      </c>
      <c r="D28" s="25">
        <f t="shared" si="0"/>
        <v>0</v>
      </c>
      <c r="E28" s="52">
        <f t="shared" si="1"/>
        <v>0</v>
      </c>
      <c r="F28" s="21">
        <v>0</v>
      </c>
      <c r="G28" s="25">
        <v>0</v>
      </c>
      <c r="H28" s="52" t="s">
        <v>81</v>
      </c>
      <c r="I28" s="23"/>
      <c r="J28" s="25">
        <v>0</v>
      </c>
      <c r="K28" s="52" t="s">
        <v>81</v>
      </c>
      <c r="L28" s="23">
        <v>0</v>
      </c>
      <c r="M28" s="25">
        <v>0</v>
      </c>
      <c r="N28" s="52" t="s">
        <v>81</v>
      </c>
      <c r="O28" s="23">
        <v>0</v>
      </c>
      <c r="P28" s="25">
        <v>0</v>
      </c>
      <c r="Q28" s="52" t="s">
        <v>81</v>
      </c>
      <c r="R28" s="23">
        <v>0</v>
      </c>
      <c r="S28" s="25">
        <v>0</v>
      </c>
      <c r="T28" s="52" t="s">
        <v>81</v>
      </c>
      <c r="U28" s="23">
        <v>0</v>
      </c>
      <c r="V28" s="25">
        <v>0</v>
      </c>
      <c r="W28" s="52" t="s">
        <v>81</v>
      </c>
      <c r="X28" s="23">
        <v>0</v>
      </c>
      <c r="Y28" s="25">
        <v>0</v>
      </c>
      <c r="Z28" s="52" t="s">
        <v>81</v>
      </c>
      <c r="AA28" s="23">
        <v>0</v>
      </c>
      <c r="AB28" s="25">
        <v>0</v>
      </c>
      <c r="AC28" s="52" t="s">
        <v>81</v>
      </c>
      <c r="AD28" s="23">
        <v>0</v>
      </c>
      <c r="AE28" s="25">
        <v>0</v>
      </c>
      <c r="AF28" s="52" t="s">
        <v>81</v>
      </c>
      <c r="AG28" s="23">
        <v>3</v>
      </c>
      <c r="AH28" s="25">
        <v>0</v>
      </c>
      <c r="AI28" s="52">
        <v>0</v>
      </c>
      <c r="AJ28" s="23">
        <v>0</v>
      </c>
      <c r="AK28" s="25">
        <v>0</v>
      </c>
      <c r="AL28" s="52" t="s">
        <v>81</v>
      </c>
      <c r="AM28" s="23">
        <v>0</v>
      </c>
      <c r="AN28" s="25">
        <v>0</v>
      </c>
      <c r="AO28" s="52" t="s">
        <v>81</v>
      </c>
      <c r="AP28" s="23">
        <v>0</v>
      </c>
      <c r="AQ28" s="25">
        <v>0</v>
      </c>
      <c r="AR28" s="52" t="s">
        <v>81</v>
      </c>
      <c r="AS28" s="23">
        <v>0</v>
      </c>
      <c r="AT28" s="25">
        <v>0</v>
      </c>
      <c r="AU28" s="52" t="s">
        <v>81</v>
      </c>
      <c r="AV28" s="23">
        <v>0</v>
      </c>
      <c r="AW28" s="25">
        <v>0</v>
      </c>
      <c r="AX28" s="52" t="s">
        <v>81</v>
      </c>
      <c r="AY28" s="23">
        <v>0</v>
      </c>
      <c r="AZ28" s="25">
        <v>0</v>
      </c>
      <c r="BA28" s="52" t="s">
        <v>81</v>
      </c>
      <c r="BB28" s="23">
        <v>0</v>
      </c>
      <c r="BC28" s="25">
        <v>0</v>
      </c>
      <c r="BD28" s="52" t="s">
        <v>81</v>
      </c>
      <c r="BE28" s="23">
        <v>3</v>
      </c>
      <c r="BF28" s="25">
        <v>0</v>
      </c>
      <c r="BG28" s="52">
        <v>0</v>
      </c>
      <c r="BH28" s="23">
        <v>0</v>
      </c>
      <c r="BI28" s="25">
        <v>0</v>
      </c>
      <c r="BJ28" s="52" t="s">
        <v>81</v>
      </c>
      <c r="BK28" s="23">
        <v>78</v>
      </c>
      <c r="BL28" s="25">
        <v>0</v>
      </c>
      <c r="BM28" s="52">
        <v>0</v>
      </c>
      <c r="BN28" s="23">
        <v>1</v>
      </c>
      <c r="BO28" s="25">
        <v>0</v>
      </c>
      <c r="BP28" s="52">
        <v>0</v>
      </c>
      <c r="BQ28" s="23">
        <v>3</v>
      </c>
      <c r="BR28" s="25">
        <v>0</v>
      </c>
      <c r="BS28" s="52">
        <v>0</v>
      </c>
    </row>
    <row r="29" spans="2:71" s="4" customFormat="1" x14ac:dyDescent="0.25">
      <c r="B29" s="20" t="s">
        <v>44</v>
      </c>
      <c r="C29" s="21">
        <f t="shared" si="0"/>
        <v>1559</v>
      </c>
      <c r="D29" s="25">
        <f t="shared" si="0"/>
        <v>-13</v>
      </c>
      <c r="E29" s="52">
        <f t="shared" si="1"/>
        <v>-8.269720101781175E-3</v>
      </c>
      <c r="F29" s="21">
        <v>7</v>
      </c>
      <c r="G29" s="25">
        <v>0</v>
      </c>
      <c r="H29" s="52" t="s">
        <v>81</v>
      </c>
      <c r="I29" s="23">
        <v>0</v>
      </c>
      <c r="J29" s="25">
        <v>0</v>
      </c>
      <c r="K29" s="52" t="s">
        <v>81</v>
      </c>
      <c r="L29" s="23">
        <v>0</v>
      </c>
      <c r="M29" s="25">
        <v>0</v>
      </c>
      <c r="N29" s="52" t="s">
        <v>81</v>
      </c>
      <c r="O29" s="23">
        <v>1</v>
      </c>
      <c r="P29" s="25">
        <v>0</v>
      </c>
      <c r="Q29" s="52">
        <v>0</v>
      </c>
      <c r="R29" s="23">
        <v>2</v>
      </c>
      <c r="S29" s="25">
        <v>0</v>
      </c>
      <c r="T29" s="52">
        <v>0</v>
      </c>
      <c r="U29" s="23">
        <v>3</v>
      </c>
      <c r="V29" s="25">
        <v>0</v>
      </c>
      <c r="W29" s="52">
        <v>0</v>
      </c>
      <c r="X29" s="23">
        <v>0</v>
      </c>
      <c r="Y29" s="25">
        <v>0</v>
      </c>
      <c r="Z29" s="52" t="s">
        <v>81</v>
      </c>
      <c r="AA29" s="23">
        <v>0</v>
      </c>
      <c r="AB29" s="25">
        <v>0</v>
      </c>
      <c r="AC29" s="52" t="s">
        <v>81</v>
      </c>
      <c r="AD29" s="23">
        <v>1</v>
      </c>
      <c r="AE29" s="25">
        <v>0</v>
      </c>
      <c r="AF29" s="52">
        <v>0</v>
      </c>
      <c r="AG29" s="23">
        <v>14</v>
      </c>
      <c r="AH29" s="25">
        <v>0</v>
      </c>
      <c r="AI29" s="52">
        <v>0</v>
      </c>
      <c r="AJ29" s="23">
        <v>3</v>
      </c>
      <c r="AK29" s="25">
        <v>0</v>
      </c>
      <c r="AL29" s="52">
        <v>0</v>
      </c>
      <c r="AM29" s="23">
        <v>2</v>
      </c>
      <c r="AN29" s="25">
        <v>0</v>
      </c>
      <c r="AO29" s="52">
        <v>0</v>
      </c>
      <c r="AP29" s="23">
        <v>3</v>
      </c>
      <c r="AQ29" s="25">
        <v>0</v>
      </c>
      <c r="AR29" s="52">
        <v>0</v>
      </c>
      <c r="AS29" s="23">
        <v>0</v>
      </c>
      <c r="AT29" s="25">
        <v>0</v>
      </c>
      <c r="AU29" s="52" t="s">
        <v>81</v>
      </c>
      <c r="AV29" s="23">
        <v>3</v>
      </c>
      <c r="AW29" s="25">
        <v>0</v>
      </c>
      <c r="AX29" s="52">
        <v>0</v>
      </c>
      <c r="AY29" s="23">
        <v>0</v>
      </c>
      <c r="AZ29" s="25">
        <v>0</v>
      </c>
      <c r="BA29" s="52" t="s">
        <v>81</v>
      </c>
      <c r="BB29" s="23">
        <v>1</v>
      </c>
      <c r="BC29" s="25">
        <v>0</v>
      </c>
      <c r="BD29" s="52">
        <v>0</v>
      </c>
      <c r="BE29" s="23">
        <v>2</v>
      </c>
      <c r="BF29" s="25">
        <v>0</v>
      </c>
      <c r="BG29" s="52">
        <v>0</v>
      </c>
      <c r="BH29" s="23">
        <v>0</v>
      </c>
      <c r="BI29" s="25">
        <v>0</v>
      </c>
      <c r="BJ29" s="52" t="s">
        <v>81</v>
      </c>
      <c r="BK29" s="23">
        <v>1534</v>
      </c>
      <c r="BL29" s="25">
        <v>-13</v>
      </c>
      <c r="BM29" s="52">
        <v>-8.4033613445377853E-3</v>
      </c>
      <c r="BN29" s="23">
        <v>1</v>
      </c>
      <c r="BO29" s="25">
        <v>0</v>
      </c>
      <c r="BP29" s="52">
        <v>0</v>
      </c>
      <c r="BQ29" s="23">
        <v>3</v>
      </c>
      <c r="BR29" s="25">
        <v>0</v>
      </c>
      <c r="BS29" s="52">
        <v>0</v>
      </c>
    </row>
    <row r="30" spans="2:71" s="4" customFormat="1" x14ac:dyDescent="0.25">
      <c r="B30" s="20" t="s">
        <v>45</v>
      </c>
      <c r="C30" s="21">
        <f t="shared" si="0"/>
        <v>2378</v>
      </c>
      <c r="D30" s="25">
        <f t="shared" si="0"/>
        <v>-16</v>
      </c>
      <c r="E30" s="52">
        <f t="shared" si="1"/>
        <v>-6.6833751044277356E-3</v>
      </c>
      <c r="F30" s="21">
        <v>35</v>
      </c>
      <c r="G30" s="25">
        <v>1</v>
      </c>
      <c r="H30" s="52">
        <v>2.9411764705882248E-2</v>
      </c>
      <c r="I30" s="23">
        <v>8</v>
      </c>
      <c r="J30" s="25">
        <v>0</v>
      </c>
      <c r="K30" s="52">
        <v>0</v>
      </c>
      <c r="L30" s="23">
        <v>7</v>
      </c>
      <c r="M30" s="25">
        <v>0</v>
      </c>
      <c r="N30" s="52">
        <v>0</v>
      </c>
      <c r="O30" s="23">
        <v>6</v>
      </c>
      <c r="P30" s="25">
        <v>0</v>
      </c>
      <c r="Q30" s="52">
        <v>0</v>
      </c>
      <c r="R30" s="23">
        <v>9</v>
      </c>
      <c r="S30" s="25">
        <v>1</v>
      </c>
      <c r="T30" s="52">
        <v>0.125</v>
      </c>
      <c r="U30" s="23">
        <v>1</v>
      </c>
      <c r="V30" s="25">
        <v>0</v>
      </c>
      <c r="W30" s="52">
        <v>0</v>
      </c>
      <c r="X30" s="23">
        <v>0</v>
      </c>
      <c r="Y30" s="25">
        <v>0</v>
      </c>
      <c r="Z30" s="52" t="s">
        <v>81</v>
      </c>
      <c r="AA30" s="23">
        <v>0</v>
      </c>
      <c r="AB30" s="25">
        <v>0</v>
      </c>
      <c r="AC30" s="52" t="s">
        <v>81</v>
      </c>
      <c r="AD30" s="23">
        <v>4</v>
      </c>
      <c r="AE30" s="25">
        <v>3</v>
      </c>
      <c r="AF30" s="52">
        <v>3</v>
      </c>
      <c r="AG30" s="23">
        <v>8</v>
      </c>
      <c r="AH30" s="25">
        <v>0</v>
      </c>
      <c r="AI30" s="52">
        <v>0</v>
      </c>
      <c r="AJ30" s="23">
        <v>0</v>
      </c>
      <c r="AK30" s="25">
        <v>0</v>
      </c>
      <c r="AL30" s="52" t="s">
        <v>81</v>
      </c>
      <c r="AM30" s="23">
        <v>0</v>
      </c>
      <c r="AN30" s="25">
        <v>0</v>
      </c>
      <c r="AO30" s="52" t="s">
        <v>81</v>
      </c>
      <c r="AP30" s="23">
        <v>0</v>
      </c>
      <c r="AQ30" s="25">
        <v>0</v>
      </c>
      <c r="AR30" s="52" t="s">
        <v>81</v>
      </c>
      <c r="AS30" s="23">
        <v>0</v>
      </c>
      <c r="AT30" s="25">
        <v>0</v>
      </c>
      <c r="AU30" s="52" t="s">
        <v>81</v>
      </c>
      <c r="AV30" s="23">
        <v>0</v>
      </c>
      <c r="AW30" s="25">
        <v>0</v>
      </c>
      <c r="AX30" s="52" t="s">
        <v>81</v>
      </c>
      <c r="AY30" s="23">
        <v>0</v>
      </c>
      <c r="AZ30" s="25">
        <v>0</v>
      </c>
      <c r="BA30" s="52" t="s">
        <v>81</v>
      </c>
      <c r="BB30" s="23">
        <v>0</v>
      </c>
      <c r="BC30" s="25">
        <v>0</v>
      </c>
      <c r="BD30" s="52" t="s">
        <v>81</v>
      </c>
      <c r="BE30" s="23">
        <v>7</v>
      </c>
      <c r="BF30" s="25">
        <v>0</v>
      </c>
      <c r="BG30" s="52">
        <v>0</v>
      </c>
      <c r="BH30" s="23">
        <v>1</v>
      </c>
      <c r="BI30" s="25">
        <v>0</v>
      </c>
      <c r="BJ30" s="52">
        <v>0</v>
      </c>
      <c r="BK30" s="23">
        <v>2332</v>
      </c>
      <c r="BL30" s="25">
        <v>-17</v>
      </c>
      <c r="BM30" s="52">
        <v>-7.23712217965089E-3</v>
      </c>
      <c r="BN30" s="23">
        <v>0</v>
      </c>
      <c r="BO30" s="25">
        <v>0</v>
      </c>
      <c r="BP30" s="52" t="s">
        <v>81</v>
      </c>
      <c r="BQ30" s="23">
        <v>3</v>
      </c>
      <c r="BR30" s="25">
        <v>0</v>
      </c>
      <c r="BS30" s="52">
        <v>0</v>
      </c>
    </row>
    <row r="31" spans="2:71" s="4" customFormat="1" x14ac:dyDescent="0.25">
      <c r="B31" s="20" t="s">
        <v>46</v>
      </c>
      <c r="C31" s="21">
        <f t="shared" si="0"/>
        <v>412</v>
      </c>
      <c r="D31" s="25">
        <f t="shared" si="0"/>
        <v>-9</v>
      </c>
      <c r="E31" s="52">
        <f t="shared" si="1"/>
        <v>-2.1377672209026088E-2</v>
      </c>
      <c r="F31" s="21">
        <v>0</v>
      </c>
      <c r="G31" s="25">
        <v>0</v>
      </c>
      <c r="H31" s="52" t="s">
        <v>81</v>
      </c>
      <c r="I31" s="23">
        <v>0</v>
      </c>
      <c r="J31" s="25">
        <v>0</v>
      </c>
      <c r="K31" s="52" t="s">
        <v>81</v>
      </c>
      <c r="L31" s="23">
        <v>0</v>
      </c>
      <c r="M31" s="25">
        <v>0</v>
      </c>
      <c r="N31" s="52" t="s">
        <v>81</v>
      </c>
      <c r="O31" s="23">
        <v>0</v>
      </c>
      <c r="P31" s="25">
        <v>0</v>
      </c>
      <c r="Q31" s="52" t="s">
        <v>81</v>
      </c>
      <c r="R31" s="23">
        <v>0</v>
      </c>
      <c r="S31" s="25">
        <v>0</v>
      </c>
      <c r="T31" s="52" t="s">
        <v>81</v>
      </c>
      <c r="U31" s="23">
        <v>0</v>
      </c>
      <c r="V31" s="25">
        <v>0</v>
      </c>
      <c r="W31" s="52" t="s">
        <v>81</v>
      </c>
      <c r="X31" s="23">
        <v>0</v>
      </c>
      <c r="Y31" s="25">
        <v>0</v>
      </c>
      <c r="Z31" s="52" t="s">
        <v>81</v>
      </c>
      <c r="AA31" s="23">
        <v>0</v>
      </c>
      <c r="AB31" s="25">
        <v>0</v>
      </c>
      <c r="AC31" s="52" t="s">
        <v>81</v>
      </c>
      <c r="AD31" s="23">
        <v>0</v>
      </c>
      <c r="AE31" s="25">
        <v>0</v>
      </c>
      <c r="AF31" s="52" t="s">
        <v>81</v>
      </c>
      <c r="AG31" s="23">
        <v>0</v>
      </c>
      <c r="AH31" s="25">
        <v>0</v>
      </c>
      <c r="AI31" s="52" t="s">
        <v>81</v>
      </c>
      <c r="AJ31" s="23">
        <v>0</v>
      </c>
      <c r="AK31" s="25">
        <v>0</v>
      </c>
      <c r="AL31" s="52" t="s">
        <v>81</v>
      </c>
      <c r="AM31" s="23">
        <v>0</v>
      </c>
      <c r="AN31" s="25">
        <v>0</v>
      </c>
      <c r="AO31" s="52" t="s">
        <v>81</v>
      </c>
      <c r="AP31" s="23">
        <v>0</v>
      </c>
      <c r="AQ31" s="25">
        <v>0</v>
      </c>
      <c r="AR31" s="52" t="s">
        <v>81</v>
      </c>
      <c r="AS31" s="23">
        <v>0</v>
      </c>
      <c r="AT31" s="25">
        <v>0</v>
      </c>
      <c r="AU31" s="52" t="s">
        <v>81</v>
      </c>
      <c r="AV31" s="23">
        <v>0</v>
      </c>
      <c r="AW31" s="25">
        <v>0</v>
      </c>
      <c r="AX31" s="52" t="s">
        <v>81</v>
      </c>
      <c r="AY31" s="23">
        <v>0</v>
      </c>
      <c r="AZ31" s="25">
        <v>0</v>
      </c>
      <c r="BA31" s="52" t="s">
        <v>81</v>
      </c>
      <c r="BB31" s="23">
        <v>0</v>
      </c>
      <c r="BC31" s="25">
        <v>0</v>
      </c>
      <c r="BD31" s="52" t="s">
        <v>81</v>
      </c>
      <c r="BE31" s="23">
        <v>0</v>
      </c>
      <c r="BF31" s="25">
        <v>0</v>
      </c>
      <c r="BG31" s="52" t="s">
        <v>81</v>
      </c>
      <c r="BH31" s="23">
        <v>0</v>
      </c>
      <c r="BI31" s="25">
        <v>0</v>
      </c>
      <c r="BJ31" s="52" t="s">
        <v>81</v>
      </c>
      <c r="BK31" s="23">
        <v>412</v>
      </c>
      <c r="BL31" s="25">
        <v>-9</v>
      </c>
      <c r="BM31" s="52">
        <v>-2.1377672209026088E-2</v>
      </c>
      <c r="BN31" s="23">
        <v>0</v>
      </c>
      <c r="BO31" s="25">
        <v>0</v>
      </c>
      <c r="BP31" s="52" t="s">
        <v>81</v>
      </c>
      <c r="BQ31" s="23">
        <v>0</v>
      </c>
      <c r="BR31" s="25">
        <v>0</v>
      </c>
      <c r="BS31" s="52" t="s">
        <v>81</v>
      </c>
    </row>
    <row r="32" spans="2:71" s="4" customFormat="1" x14ac:dyDescent="0.25">
      <c r="B32" s="20" t="s">
        <v>47</v>
      </c>
      <c r="C32" s="21">
        <f t="shared" si="0"/>
        <v>1596</v>
      </c>
      <c r="D32" s="25">
        <f t="shared" si="0"/>
        <v>-4</v>
      </c>
      <c r="E32" s="52">
        <f t="shared" si="1"/>
        <v>-2.4999999999999467E-3</v>
      </c>
      <c r="F32" s="21">
        <v>9</v>
      </c>
      <c r="G32" s="25">
        <v>1</v>
      </c>
      <c r="H32" s="52">
        <v>0.125</v>
      </c>
      <c r="I32" s="23">
        <v>0</v>
      </c>
      <c r="J32" s="25">
        <v>0</v>
      </c>
      <c r="K32" s="52" t="s">
        <v>81</v>
      </c>
      <c r="L32" s="23">
        <v>0</v>
      </c>
      <c r="M32" s="25">
        <v>0</v>
      </c>
      <c r="N32" s="52" t="s">
        <v>81</v>
      </c>
      <c r="O32" s="23">
        <v>2</v>
      </c>
      <c r="P32" s="25">
        <v>0</v>
      </c>
      <c r="Q32" s="52">
        <v>0</v>
      </c>
      <c r="R32" s="23">
        <v>7</v>
      </c>
      <c r="S32" s="25">
        <v>1</v>
      </c>
      <c r="T32" s="52">
        <v>0.16666666666666674</v>
      </c>
      <c r="U32" s="23">
        <v>0</v>
      </c>
      <c r="V32" s="25">
        <v>0</v>
      </c>
      <c r="W32" s="52" t="s">
        <v>81</v>
      </c>
      <c r="X32" s="23">
        <v>0</v>
      </c>
      <c r="Y32" s="25">
        <v>0</v>
      </c>
      <c r="Z32" s="52" t="s">
        <v>81</v>
      </c>
      <c r="AA32" s="23">
        <v>0</v>
      </c>
      <c r="AB32" s="25">
        <v>0</v>
      </c>
      <c r="AC32" s="52" t="s">
        <v>81</v>
      </c>
      <c r="AD32" s="23">
        <v>0</v>
      </c>
      <c r="AE32" s="25">
        <v>0</v>
      </c>
      <c r="AF32" s="52" t="s">
        <v>81</v>
      </c>
      <c r="AG32" s="23">
        <v>15</v>
      </c>
      <c r="AH32" s="25">
        <v>0</v>
      </c>
      <c r="AI32" s="52">
        <v>0</v>
      </c>
      <c r="AJ32" s="23">
        <v>9</v>
      </c>
      <c r="AK32" s="25">
        <v>0</v>
      </c>
      <c r="AL32" s="52">
        <v>0</v>
      </c>
      <c r="AM32" s="23">
        <v>3</v>
      </c>
      <c r="AN32" s="25">
        <v>0</v>
      </c>
      <c r="AO32" s="52">
        <v>0</v>
      </c>
      <c r="AP32" s="23">
        <v>0</v>
      </c>
      <c r="AQ32" s="25">
        <v>0</v>
      </c>
      <c r="AR32" s="52" t="s">
        <v>81</v>
      </c>
      <c r="AS32" s="23">
        <v>0</v>
      </c>
      <c r="AT32" s="25">
        <v>0</v>
      </c>
      <c r="AU32" s="52" t="s">
        <v>81</v>
      </c>
      <c r="AV32" s="23">
        <v>0</v>
      </c>
      <c r="AW32" s="25">
        <v>0</v>
      </c>
      <c r="AX32" s="52" t="s">
        <v>81</v>
      </c>
      <c r="AY32" s="23">
        <v>1</v>
      </c>
      <c r="AZ32" s="25">
        <v>0</v>
      </c>
      <c r="BA32" s="52">
        <v>0</v>
      </c>
      <c r="BB32" s="23">
        <v>2</v>
      </c>
      <c r="BC32" s="25">
        <v>0</v>
      </c>
      <c r="BD32" s="52">
        <v>0</v>
      </c>
      <c r="BE32" s="23">
        <v>0</v>
      </c>
      <c r="BF32" s="25">
        <v>0</v>
      </c>
      <c r="BG32" s="52" t="s">
        <v>81</v>
      </c>
      <c r="BH32" s="23">
        <v>0</v>
      </c>
      <c r="BI32" s="25">
        <v>0</v>
      </c>
      <c r="BJ32" s="52" t="s">
        <v>81</v>
      </c>
      <c r="BK32" s="23">
        <v>1572</v>
      </c>
      <c r="BL32" s="25">
        <v>-5</v>
      </c>
      <c r="BM32" s="52">
        <v>-3.1705770450222159E-3</v>
      </c>
      <c r="BN32" s="23">
        <v>0</v>
      </c>
      <c r="BO32" s="25">
        <v>0</v>
      </c>
      <c r="BP32" s="52" t="s">
        <v>81</v>
      </c>
      <c r="BQ32" s="23">
        <v>0</v>
      </c>
      <c r="BR32" s="25">
        <v>0</v>
      </c>
      <c r="BS32" s="52" t="s">
        <v>81</v>
      </c>
    </row>
    <row r="33" spans="1:71" s="4" customFormat="1" x14ac:dyDescent="0.25">
      <c r="B33" s="20" t="s">
        <v>48</v>
      </c>
      <c r="C33" s="21">
        <f t="shared" si="0"/>
        <v>170</v>
      </c>
      <c r="D33" s="25">
        <f t="shared" si="0"/>
        <v>0</v>
      </c>
      <c r="E33" s="52">
        <f t="shared" si="1"/>
        <v>0</v>
      </c>
      <c r="F33" s="21">
        <v>1</v>
      </c>
      <c r="G33" s="25">
        <v>0</v>
      </c>
      <c r="H33" s="52">
        <v>0</v>
      </c>
      <c r="I33" s="23">
        <v>0</v>
      </c>
      <c r="J33" s="25">
        <v>0</v>
      </c>
      <c r="K33" s="52" t="s">
        <v>81</v>
      </c>
      <c r="L33" s="23">
        <v>1</v>
      </c>
      <c r="M33" s="25">
        <v>0</v>
      </c>
      <c r="N33" s="52">
        <v>0</v>
      </c>
      <c r="O33" s="23">
        <v>0</v>
      </c>
      <c r="P33" s="25">
        <v>0</v>
      </c>
      <c r="Q33" s="52" t="s">
        <v>81</v>
      </c>
      <c r="R33" s="23">
        <v>0</v>
      </c>
      <c r="S33" s="25">
        <v>0</v>
      </c>
      <c r="T33" s="52" t="s">
        <v>81</v>
      </c>
      <c r="U33" s="23">
        <v>0</v>
      </c>
      <c r="V33" s="25">
        <v>0</v>
      </c>
      <c r="W33" s="52" t="s">
        <v>81</v>
      </c>
      <c r="X33" s="23">
        <v>0</v>
      </c>
      <c r="Y33" s="25">
        <v>0</v>
      </c>
      <c r="Z33" s="52" t="s">
        <v>81</v>
      </c>
      <c r="AA33" s="23">
        <v>0</v>
      </c>
      <c r="AB33" s="25">
        <v>0</v>
      </c>
      <c r="AC33" s="52" t="s">
        <v>81</v>
      </c>
      <c r="AD33" s="23">
        <v>0</v>
      </c>
      <c r="AE33" s="25">
        <v>0</v>
      </c>
      <c r="AF33" s="52" t="s">
        <v>81</v>
      </c>
      <c r="AG33" s="23">
        <v>0</v>
      </c>
      <c r="AH33" s="25">
        <v>0</v>
      </c>
      <c r="AI33" s="52" t="s">
        <v>81</v>
      </c>
      <c r="AJ33" s="23">
        <v>0</v>
      </c>
      <c r="AK33" s="25">
        <v>0</v>
      </c>
      <c r="AL33" s="52" t="s">
        <v>81</v>
      </c>
      <c r="AM33" s="23">
        <v>0</v>
      </c>
      <c r="AN33" s="25">
        <v>0</v>
      </c>
      <c r="AO33" s="52" t="s">
        <v>81</v>
      </c>
      <c r="AP33" s="23">
        <v>0</v>
      </c>
      <c r="AQ33" s="25">
        <v>0</v>
      </c>
      <c r="AR33" s="52" t="s">
        <v>81</v>
      </c>
      <c r="AS33" s="23">
        <v>0</v>
      </c>
      <c r="AT33" s="25">
        <v>0</v>
      </c>
      <c r="AU33" s="52" t="s">
        <v>81</v>
      </c>
      <c r="AV33" s="23">
        <v>0</v>
      </c>
      <c r="AW33" s="25">
        <v>0</v>
      </c>
      <c r="AX33" s="52" t="s">
        <v>81</v>
      </c>
      <c r="AY33" s="23">
        <v>0</v>
      </c>
      <c r="AZ33" s="25">
        <v>0</v>
      </c>
      <c r="BA33" s="52" t="s">
        <v>81</v>
      </c>
      <c r="BB33" s="23">
        <v>0</v>
      </c>
      <c r="BC33" s="25">
        <v>0</v>
      </c>
      <c r="BD33" s="52" t="s">
        <v>81</v>
      </c>
      <c r="BE33" s="23">
        <v>0</v>
      </c>
      <c r="BF33" s="25">
        <v>0</v>
      </c>
      <c r="BG33" s="52" t="s">
        <v>81</v>
      </c>
      <c r="BH33" s="23">
        <v>0</v>
      </c>
      <c r="BI33" s="25">
        <v>0</v>
      </c>
      <c r="BJ33" s="52" t="s">
        <v>81</v>
      </c>
      <c r="BK33" s="23">
        <v>166</v>
      </c>
      <c r="BL33" s="25">
        <v>0</v>
      </c>
      <c r="BM33" s="52">
        <v>0</v>
      </c>
      <c r="BN33" s="23">
        <v>1</v>
      </c>
      <c r="BO33" s="25">
        <v>0</v>
      </c>
      <c r="BP33" s="52">
        <v>0</v>
      </c>
      <c r="BQ33" s="23">
        <v>2</v>
      </c>
      <c r="BR33" s="25">
        <v>0</v>
      </c>
      <c r="BS33" s="52">
        <v>0</v>
      </c>
    </row>
    <row r="34" spans="1:71" s="4" customFormat="1" x14ac:dyDescent="0.25">
      <c r="B34" s="20" t="s">
        <v>49</v>
      </c>
      <c r="C34" s="21">
        <f t="shared" si="0"/>
        <v>143</v>
      </c>
      <c r="D34" s="25">
        <f t="shared" si="0"/>
        <v>-3</v>
      </c>
      <c r="E34" s="52">
        <f t="shared" si="1"/>
        <v>-2.0547945205479423E-2</v>
      </c>
      <c r="F34" s="21">
        <v>1</v>
      </c>
      <c r="G34" s="25">
        <v>0</v>
      </c>
      <c r="H34" s="52">
        <v>0</v>
      </c>
      <c r="I34" s="23">
        <v>0</v>
      </c>
      <c r="J34" s="25">
        <v>0</v>
      </c>
      <c r="K34" s="52" t="s">
        <v>81</v>
      </c>
      <c r="L34" s="23">
        <v>0</v>
      </c>
      <c r="M34" s="25">
        <v>0</v>
      </c>
      <c r="N34" s="52" t="s">
        <v>81</v>
      </c>
      <c r="O34" s="23">
        <v>0</v>
      </c>
      <c r="P34" s="25">
        <v>0</v>
      </c>
      <c r="Q34" s="52" t="s">
        <v>81</v>
      </c>
      <c r="R34" s="23">
        <v>1</v>
      </c>
      <c r="S34" s="25">
        <v>0</v>
      </c>
      <c r="T34" s="52">
        <v>0</v>
      </c>
      <c r="U34" s="23">
        <v>0</v>
      </c>
      <c r="V34" s="25">
        <v>0</v>
      </c>
      <c r="W34" s="52" t="s">
        <v>81</v>
      </c>
      <c r="X34" s="23">
        <v>0</v>
      </c>
      <c r="Y34" s="25">
        <v>0</v>
      </c>
      <c r="Z34" s="52" t="s">
        <v>81</v>
      </c>
      <c r="AA34" s="23">
        <v>0</v>
      </c>
      <c r="AB34" s="25">
        <v>0</v>
      </c>
      <c r="AC34" s="52" t="s">
        <v>81</v>
      </c>
      <c r="AD34" s="23">
        <v>0</v>
      </c>
      <c r="AE34" s="25">
        <v>0</v>
      </c>
      <c r="AF34" s="52" t="s">
        <v>81</v>
      </c>
      <c r="AG34" s="23">
        <v>2</v>
      </c>
      <c r="AH34" s="25">
        <v>0</v>
      </c>
      <c r="AI34" s="52">
        <v>0</v>
      </c>
      <c r="AJ34" s="23">
        <v>0</v>
      </c>
      <c r="AK34" s="25">
        <v>0</v>
      </c>
      <c r="AL34" s="52" t="s">
        <v>81</v>
      </c>
      <c r="AM34" s="23">
        <v>0</v>
      </c>
      <c r="AN34" s="25">
        <v>0</v>
      </c>
      <c r="AO34" s="52" t="s">
        <v>81</v>
      </c>
      <c r="AP34" s="23">
        <v>0</v>
      </c>
      <c r="AQ34" s="25">
        <v>0</v>
      </c>
      <c r="AR34" s="52" t="s">
        <v>81</v>
      </c>
      <c r="AS34" s="23">
        <v>0</v>
      </c>
      <c r="AT34" s="25">
        <v>0</v>
      </c>
      <c r="AU34" s="52" t="s">
        <v>81</v>
      </c>
      <c r="AV34" s="23">
        <v>0</v>
      </c>
      <c r="AW34" s="25">
        <v>0</v>
      </c>
      <c r="AX34" s="52" t="s">
        <v>81</v>
      </c>
      <c r="AY34" s="23">
        <v>0</v>
      </c>
      <c r="AZ34" s="25">
        <v>0</v>
      </c>
      <c r="BA34" s="52" t="s">
        <v>81</v>
      </c>
      <c r="BB34" s="23">
        <v>0</v>
      </c>
      <c r="BC34" s="25">
        <v>0</v>
      </c>
      <c r="BD34" s="52" t="s">
        <v>81</v>
      </c>
      <c r="BE34" s="23">
        <v>1</v>
      </c>
      <c r="BF34" s="25">
        <v>0</v>
      </c>
      <c r="BG34" s="52">
        <v>0</v>
      </c>
      <c r="BH34" s="23">
        <v>1</v>
      </c>
      <c r="BI34" s="25">
        <v>0</v>
      </c>
      <c r="BJ34" s="52">
        <v>0</v>
      </c>
      <c r="BK34" s="23">
        <v>137</v>
      </c>
      <c r="BL34" s="25">
        <v>-3</v>
      </c>
      <c r="BM34" s="52">
        <v>-2.1428571428571463E-2</v>
      </c>
      <c r="BN34" s="23">
        <v>1</v>
      </c>
      <c r="BO34" s="25">
        <v>0</v>
      </c>
      <c r="BP34" s="52">
        <v>0</v>
      </c>
      <c r="BQ34" s="23">
        <v>2</v>
      </c>
      <c r="BR34" s="25">
        <v>0</v>
      </c>
      <c r="BS34" s="52">
        <v>0</v>
      </c>
    </row>
    <row r="35" spans="1:71" s="4" customFormat="1" x14ac:dyDescent="0.25">
      <c r="B35" s="20" t="s">
        <v>50</v>
      </c>
      <c r="C35" s="21">
        <f t="shared" si="0"/>
        <v>471</v>
      </c>
      <c r="D35" s="25">
        <f t="shared" si="0"/>
        <v>4</v>
      </c>
      <c r="E35" s="52">
        <f t="shared" si="1"/>
        <v>8.565310492505418E-3</v>
      </c>
      <c r="F35" s="21">
        <v>1</v>
      </c>
      <c r="G35" s="25">
        <v>0</v>
      </c>
      <c r="H35" s="52">
        <v>0</v>
      </c>
      <c r="I35" s="23">
        <v>0</v>
      </c>
      <c r="J35" s="25">
        <v>0</v>
      </c>
      <c r="K35" s="52" t="s">
        <v>81</v>
      </c>
      <c r="L35" s="23">
        <v>0</v>
      </c>
      <c r="M35" s="25">
        <v>0</v>
      </c>
      <c r="N35" s="52" t="s">
        <v>81</v>
      </c>
      <c r="O35" s="23">
        <v>0</v>
      </c>
      <c r="P35" s="25">
        <v>0</v>
      </c>
      <c r="Q35" s="52" t="s">
        <v>81</v>
      </c>
      <c r="R35" s="23">
        <v>0</v>
      </c>
      <c r="S35" s="25">
        <v>0</v>
      </c>
      <c r="T35" s="52" t="s">
        <v>81</v>
      </c>
      <c r="U35" s="23">
        <v>0</v>
      </c>
      <c r="V35" s="25">
        <v>0</v>
      </c>
      <c r="W35" s="52" t="s">
        <v>81</v>
      </c>
      <c r="X35" s="23">
        <v>0</v>
      </c>
      <c r="Y35" s="25">
        <v>0</v>
      </c>
      <c r="Z35" s="52" t="s">
        <v>81</v>
      </c>
      <c r="AA35" s="23">
        <v>0</v>
      </c>
      <c r="AB35" s="25">
        <v>0</v>
      </c>
      <c r="AC35" s="52" t="s">
        <v>81</v>
      </c>
      <c r="AD35" s="23">
        <v>1</v>
      </c>
      <c r="AE35" s="25">
        <v>0</v>
      </c>
      <c r="AF35" s="52">
        <v>0</v>
      </c>
      <c r="AG35" s="23">
        <v>1</v>
      </c>
      <c r="AH35" s="25">
        <v>0</v>
      </c>
      <c r="AI35" s="52">
        <v>0</v>
      </c>
      <c r="AJ35" s="23">
        <v>0</v>
      </c>
      <c r="AK35" s="25">
        <v>0</v>
      </c>
      <c r="AL35" s="52" t="s">
        <v>81</v>
      </c>
      <c r="AM35" s="23">
        <v>0</v>
      </c>
      <c r="AN35" s="25">
        <v>0</v>
      </c>
      <c r="AO35" s="52" t="s">
        <v>81</v>
      </c>
      <c r="AP35" s="23">
        <v>1</v>
      </c>
      <c r="AQ35" s="25">
        <v>0</v>
      </c>
      <c r="AR35" s="52">
        <v>0</v>
      </c>
      <c r="AS35" s="23">
        <v>0</v>
      </c>
      <c r="AT35" s="25">
        <v>0</v>
      </c>
      <c r="AU35" s="52" t="s">
        <v>81</v>
      </c>
      <c r="AV35" s="23">
        <v>0</v>
      </c>
      <c r="AW35" s="25">
        <v>0</v>
      </c>
      <c r="AX35" s="52" t="s">
        <v>81</v>
      </c>
      <c r="AY35" s="23">
        <v>0</v>
      </c>
      <c r="AZ35" s="25">
        <v>0</v>
      </c>
      <c r="BA35" s="52" t="s">
        <v>81</v>
      </c>
      <c r="BB35" s="23">
        <v>0</v>
      </c>
      <c r="BC35" s="25">
        <v>0</v>
      </c>
      <c r="BD35" s="52" t="s">
        <v>81</v>
      </c>
      <c r="BE35" s="23">
        <v>0</v>
      </c>
      <c r="BF35" s="25">
        <v>0</v>
      </c>
      <c r="BG35" s="52" t="s">
        <v>81</v>
      </c>
      <c r="BH35" s="23">
        <v>0</v>
      </c>
      <c r="BI35" s="25">
        <v>0</v>
      </c>
      <c r="BJ35" s="52" t="s">
        <v>81</v>
      </c>
      <c r="BK35" s="23">
        <v>464</v>
      </c>
      <c r="BL35" s="25">
        <v>4</v>
      </c>
      <c r="BM35" s="52">
        <v>8.6956521739129933E-3</v>
      </c>
      <c r="BN35" s="23">
        <v>0</v>
      </c>
      <c r="BO35" s="25">
        <v>0</v>
      </c>
      <c r="BP35" s="52" t="s">
        <v>81</v>
      </c>
      <c r="BQ35" s="23">
        <v>5</v>
      </c>
      <c r="BR35" s="25">
        <v>0</v>
      </c>
      <c r="BS35" s="52">
        <v>0</v>
      </c>
    </row>
    <row r="36" spans="1:71" s="4" customFormat="1" x14ac:dyDescent="0.25">
      <c r="B36" s="20" t="s">
        <v>95</v>
      </c>
      <c r="C36" s="21">
        <f t="shared" si="0"/>
        <v>73</v>
      </c>
      <c r="D36" s="25">
        <f t="shared" si="0"/>
        <v>0</v>
      </c>
      <c r="E36" s="52">
        <f t="shared" si="1"/>
        <v>0</v>
      </c>
      <c r="F36" s="21">
        <v>0</v>
      </c>
      <c r="G36" s="25">
        <v>0</v>
      </c>
      <c r="H36" s="52" t="s">
        <v>81</v>
      </c>
      <c r="I36" s="23">
        <v>0</v>
      </c>
      <c r="J36" s="25">
        <v>0</v>
      </c>
      <c r="K36" s="52" t="s">
        <v>81</v>
      </c>
      <c r="L36" s="23">
        <v>0</v>
      </c>
      <c r="M36" s="25">
        <v>0</v>
      </c>
      <c r="N36" s="52" t="s">
        <v>81</v>
      </c>
      <c r="O36" s="23">
        <v>0</v>
      </c>
      <c r="P36" s="25">
        <v>0</v>
      </c>
      <c r="Q36" s="52" t="s">
        <v>81</v>
      </c>
      <c r="R36" s="23">
        <v>0</v>
      </c>
      <c r="S36" s="25">
        <v>0</v>
      </c>
      <c r="T36" s="52" t="s">
        <v>81</v>
      </c>
      <c r="U36" s="23">
        <v>0</v>
      </c>
      <c r="V36" s="25">
        <v>0</v>
      </c>
      <c r="W36" s="52" t="s">
        <v>81</v>
      </c>
      <c r="X36" s="23">
        <v>0</v>
      </c>
      <c r="Y36" s="25">
        <v>0</v>
      </c>
      <c r="Z36" s="52" t="s">
        <v>81</v>
      </c>
      <c r="AA36" s="23">
        <v>0</v>
      </c>
      <c r="AB36" s="25">
        <v>0</v>
      </c>
      <c r="AC36" s="52" t="s">
        <v>81</v>
      </c>
      <c r="AD36" s="23">
        <v>0</v>
      </c>
      <c r="AE36" s="25">
        <v>0</v>
      </c>
      <c r="AF36" s="52" t="s">
        <v>81</v>
      </c>
      <c r="AG36" s="23">
        <v>1</v>
      </c>
      <c r="AH36" s="25">
        <v>0</v>
      </c>
      <c r="AI36" s="52">
        <v>0</v>
      </c>
      <c r="AJ36" s="23">
        <v>0</v>
      </c>
      <c r="AK36" s="25">
        <v>0</v>
      </c>
      <c r="AL36" s="52" t="s">
        <v>81</v>
      </c>
      <c r="AM36" s="23">
        <v>0</v>
      </c>
      <c r="AN36" s="25">
        <v>0</v>
      </c>
      <c r="AO36" s="52" t="s">
        <v>81</v>
      </c>
      <c r="AP36" s="23">
        <v>0</v>
      </c>
      <c r="AQ36" s="25">
        <v>0</v>
      </c>
      <c r="AR36" s="52" t="s">
        <v>81</v>
      </c>
      <c r="AS36" s="23">
        <v>0</v>
      </c>
      <c r="AT36" s="25">
        <v>0</v>
      </c>
      <c r="AU36" s="52" t="s">
        <v>81</v>
      </c>
      <c r="AV36" s="23">
        <v>0</v>
      </c>
      <c r="AW36" s="25">
        <v>0</v>
      </c>
      <c r="AX36" s="52" t="s">
        <v>81</v>
      </c>
      <c r="AY36" s="23">
        <v>0</v>
      </c>
      <c r="AZ36" s="25">
        <v>0</v>
      </c>
      <c r="BA36" s="52" t="s">
        <v>81</v>
      </c>
      <c r="BB36" s="23">
        <v>0</v>
      </c>
      <c r="BC36" s="25">
        <v>0</v>
      </c>
      <c r="BD36" s="52" t="s">
        <v>81</v>
      </c>
      <c r="BE36" s="23">
        <v>1</v>
      </c>
      <c r="BF36" s="25">
        <v>0</v>
      </c>
      <c r="BG36" s="52">
        <v>0</v>
      </c>
      <c r="BH36" s="23">
        <v>0</v>
      </c>
      <c r="BI36" s="25">
        <v>0</v>
      </c>
      <c r="BJ36" s="52" t="s">
        <v>81</v>
      </c>
      <c r="BK36" s="23">
        <v>68</v>
      </c>
      <c r="BL36" s="25">
        <v>0</v>
      </c>
      <c r="BM36" s="52">
        <v>0</v>
      </c>
      <c r="BN36" s="23">
        <v>1</v>
      </c>
      <c r="BO36" s="25">
        <v>0</v>
      </c>
      <c r="BP36" s="52">
        <v>0</v>
      </c>
      <c r="BQ36" s="23">
        <v>3</v>
      </c>
      <c r="BR36" s="25">
        <v>0</v>
      </c>
      <c r="BS36" s="52" t="s">
        <v>81</v>
      </c>
    </row>
    <row r="37" spans="1:71" s="4" customFormat="1" x14ac:dyDescent="0.25">
      <c r="B37" s="20" t="s">
        <v>52</v>
      </c>
      <c r="C37" s="21">
        <f t="shared" si="0"/>
        <v>94</v>
      </c>
      <c r="D37" s="25">
        <f t="shared" si="0"/>
        <v>0</v>
      </c>
      <c r="E37" s="52">
        <f t="shared" si="1"/>
        <v>0</v>
      </c>
      <c r="F37" s="21">
        <v>1</v>
      </c>
      <c r="G37" s="25">
        <v>0</v>
      </c>
      <c r="H37" s="52">
        <v>0</v>
      </c>
      <c r="I37" s="23">
        <v>0</v>
      </c>
      <c r="J37" s="25">
        <v>0</v>
      </c>
      <c r="K37" s="52" t="s">
        <v>81</v>
      </c>
      <c r="L37" s="23">
        <v>0</v>
      </c>
      <c r="M37" s="25">
        <v>0</v>
      </c>
      <c r="N37" s="52" t="s">
        <v>81</v>
      </c>
      <c r="O37" s="23">
        <v>0</v>
      </c>
      <c r="P37" s="25">
        <v>0</v>
      </c>
      <c r="Q37" s="52" t="s">
        <v>81</v>
      </c>
      <c r="R37" s="23">
        <v>0</v>
      </c>
      <c r="S37" s="25">
        <v>0</v>
      </c>
      <c r="T37" s="52" t="s">
        <v>81</v>
      </c>
      <c r="U37" s="23">
        <v>0</v>
      </c>
      <c r="V37" s="25">
        <v>0</v>
      </c>
      <c r="W37" s="52" t="s">
        <v>81</v>
      </c>
      <c r="X37" s="23">
        <v>0</v>
      </c>
      <c r="Y37" s="25">
        <v>0</v>
      </c>
      <c r="Z37" s="52" t="s">
        <v>81</v>
      </c>
      <c r="AA37" s="23">
        <v>0</v>
      </c>
      <c r="AB37" s="25">
        <v>0</v>
      </c>
      <c r="AC37" s="52" t="s">
        <v>81</v>
      </c>
      <c r="AD37" s="23">
        <v>1</v>
      </c>
      <c r="AE37" s="25">
        <v>0</v>
      </c>
      <c r="AF37" s="52">
        <v>0</v>
      </c>
      <c r="AG37" s="23">
        <v>3</v>
      </c>
      <c r="AH37" s="25">
        <v>0</v>
      </c>
      <c r="AI37" s="52">
        <v>0</v>
      </c>
      <c r="AJ37" s="23">
        <v>0</v>
      </c>
      <c r="AK37" s="25">
        <v>0</v>
      </c>
      <c r="AL37" s="52" t="s">
        <v>81</v>
      </c>
      <c r="AM37" s="23">
        <v>0</v>
      </c>
      <c r="AN37" s="25">
        <v>0</v>
      </c>
      <c r="AO37" s="52" t="s">
        <v>81</v>
      </c>
      <c r="AP37" s="23">
        <v>0</v>
      </c>
      <c r="AQ37" s="25">
        <v>0</v>
      </c>
      <c r="AR37" s="52" t="s">
        <v>81</v>
      </c>
      <c r="AS37" s="23">
        <v>0</v>
      </c>
      <c r="AT37" s="25">
        <v>0</v>
      </c>
      <c r="AU37" s="52" t="s">
        <v>81</v>
      </c>
      <c r="AV37" s="23">
        <v>0</v>
      </c>
      <c r="AW37" s="25">
        <v>0</v>
      </c>
      <c r="AX37" s="52" t="s">
        <v>81</v>
      </c>
      <c r="AY37" s="23">
        <v>0</v>
      </c>
      <c r="AZ37" s="25">
        <v>0</v>
      </c>
      <c r="BA37" s="52" t="s">
        <v>81</v>
      </c>
      <c r="BB37" s="23">
        <v>0</v>
      </c>
      <c r="BC37" s="25">
        <v>0</v>
      </c>
      <c r="BD37" s="52" t="s">
        <v>81</v>
      </c>
      <c r="BE37" s="23">
        <v>2</v>
      </c>
      <c r="BF37" s="25">
        <v>0</v>
      </c>
      <c r="BG37" s="52">
        <v>0</v>
      </c>
      <c r="BH37" s="23">
        <v>1</v>
      </c>
      <c r="BI37" s="25">
        <v>0</v>
      </c>
      <c r="BJ37" s="52">
        <v>0</v>
      </c>
      <c r="BK37" s="23">
        <v>87</v>
      </c>
      <c r="BL37" s="25">
        <v>0</v>
      </c>
      <c r="BM37" s="52">
        <v>0</v>
      </c>
      <c r="BN37" s="23">
        <v>0</v>
      </c>
      <c r="BO37" s="25">
        <v>0</v>
      </c>
      <c r="BP37" s="52" t="s">
        <v>81</v>
      </c>
      <c r="BQ37" s="23">
        <v>3</v>
      </c>
      <c r="BR37" s="25">
        <v>0</v>
      </c>
      <c r="BS37" s="52">
        <v>0</v>
      </c>
    </row>
    <row r="38" spans="1:71" s="4" customFormat="1" x14ac:dyDescent="0.25">
      <c r="B38" s="20" t="s">
        <v>53</v>
      </c>
      <c r="C38" s="21">
        <f t="shared" si="0"/>
        <v>79</v>
      </c>
      <c r="D38" s="25">
        <f t="shared" si="0"/>
        <v>-2</v>
      </c>
      <c r="E38" s="52">
        <f t="shared" si="1"/>
        <v>-2.4691358024691357E-2</v>
      </c>
      <c r="F38" s="21">
        <v>0</v>
      </c>
      <c r="G38" s="25">
        <v>0</v>
      </c>
      <c r="H38" s="52" t="s">
        <v>81</v>
      </c>
      <c r="I38" s="23">
        <v>0</v>
      </c>
      <c r="J38" s="25">
        <v>0</v>
      </c>
      <c r="K38" s="52" t="s">
        <v>81</v>
      </c>
      <c r="L38" s="23">
        <v>0</v>
      </c>
      <c r="M38" s="25">
        <v>0</v>
      </c>
      <c r="N38" s="52" t="s">
        <v>81</v>
      </c>
      <c r="O38" s="23">
        <v>0</v>
      </c>
      <c r="P38" s="25">
        <v>0</v>
      </c>
      <c r="Q38" s="52" t="s">
        <v>81</v>
      </c>
      <c r="R38" s="23">
        <v>0</v>
      </c>
      <c r="S38" s="25">
        <v>0</v>
      </c>
      <c r="T38" s="52" t="s">
        <v>81</v>
      </c>
      <c r="U38" s="23">
        <v>0</v>
      </c>
      <c r="V38" s="25">
        <v>0</v>
      </c>
      <c r="W38" s="52" t="s">
        <v>81</v>
      </c>
      <c r="X38" s="23">
        <v>0</v>
      </c>
      <c r="Y38" s="25">
        <v>0</v>
      </c>
      <c r="Z38" s="52" t="s">
        <v>81</v>
      </c>
      <c r="AA38" s="23">
        <v>0</v>
      </c>
      <c r="AB38" s="25">
        <v>0</v>
      </c>
      <c r="AC38" s="52" t="s">
        <v>81</v>
      </c>
      <c r="AD38" s="23">
        <v>0</v>
      </c>
      <c r="AE38" s="25">
        <v>0</v>
      </c>
      <c r="AF38" s="52" t="s">
        <v>81</v>
      </c>
      <c r="AG38" s="23">
        <v>0</v>
      </c>
      <c r="AH38" s="25">
        <v>0</v>
      </c>
      <c r="AI38" s="52" t="s">
        <v>81</v>
      </c>
      <c r="AJ38" s="23">
        <v>0</v>
      </c>
      <c r="AK38" s="25">
        <v>0</v>
      </c>
      <c r="AL38" s="52" t="s">
        <v>81</v>
      </c>
      <c r="AM38" s="23">
        <v>0</v>
      </c>
      <c r="AN38" s="25">
        <v>0</v>
      </c>
      <c r="AO38" s="52" t="s">
        <v>81</v>
      </c>
      <c r="AP38" s="23">
        <v>0</v>
      </c>
      <c r="AQ38" s="25">
        <v>0</v>
      </c>
      <c r="AR38" s="52" t="s">
        <v>81</v>
      </c>
      <c r="AS38" s="23">
        <v>0</v>
      </c>
      <c r="AT38" s="25">
        <v>0</v>
      </c>
      <c r="AU38" s="52" t="s">
        <v>81</v>
      </c>
      <c r="AV38" s="23">
        <v>0</v>
      </c>
      <c r="AW38" s="25">
        <v>0</v>
      </c>
      <c r="AX38" s="52" t="s">
        <v>81</v>
      </c>
      <c r="AY38" s="23">
        <v>0</v>
      </c>
      <c r="AZ38" s="25">
        <v>0</v>
      </c>
      <c r="BA38" s="52" t="s">
        <v>81</v>
      </c>
      <c r="BB38" s="23">
        <v>0</v>
      </c>
      <c r="BC38" s="25">
        <v>0</v>
      </c>
      <c r="BD38" s="52" t="s">
        <v>81</v>
      </c>
      <c r="BE38" s="23">
        <v>0</v>
      </c>
      <c r="BF38" s="25">
        <v>0</v>
      </c>
      <c r="BG38" s="52" t="s">
        <v>81</v>
      </c>
      <c r="BH38" s="23">
        <v>0</v>
      </c>
      <c r="BI38" s="25">
        <v>0</v>
      </c>
      <c r="BJ38" s="52" t="s">
        <v>81</v>
      </c>
      <c r="BK38" s="23">
        <v>78</v>
      </c>
      <c r="BL38" s="25">
        <v>-2</v>
      </c>
      <c r="BM38" s="52">
        <v>-2.5000000000000022E-2</v>
      </c>
      <c r="BN38" s="23">
        <v>0</v>
      </c>
      <c r="BO38" s="25">
        <v>0</v>
      </c>
      <c r="BP38" s="52" t="s">
        <v>81</v>
      </c>
      <c r="BQ38" s="23">
        <v>1</v>
      </c>
      <c r="BR38" s="25">
        <v>0</v>
      </c>
      <c r="BS38" s="52">
        <v>0</v>
      </c>
    </row>
    <row r="39" spans="1:71" s="4" customFormat="1" x14ac:dyDescent="0.25">
      <c r="B39" s="20" t="s">
        <v>54</v>
      </c>
      <c r="C39" s="21">
        <f t="shared" si="0"/>
        <v>83</v>
      </c>
      <c r="D39" s="25">
        <f t="shared" si="0"/>
        <v>0</v>
      </c>
      <c r="E39" s="52">
        <f t="shared" si="1"/>
        <v>0</v>
      </c>
      <c r="F39" s="21">
        <v>4</v>
      </c>
      <c r="G39" s="25">
        <v>0</v>
      </c>
      <c r="H39" s="52">
        <v>0</v>
      </c>
      <c r="I39" s="23">
        <v>1</v>
      </c>
      <c r="J39" s="25">
        <v>0</v>
      </c>
      <c r="K39" s="52">
        <v>0</v>
      </c>
      <c r="L39" s="23">
        <v>1</v>
      </c>
      <c r="M39" s="25">
        <v>0</v>
      </c>
      <c r="N39" s="52">
        <v>0</v>
      </c>
      <c r="O39" s="23">
        <v>1</v>
      </c>
      <c r="P39" s="25">
        <v>0</v>
      </c>
      <c r="Q39" s="52">
        <v>0</v>
      </c>
      <c r="R39" s="23">
        <v>1</v>
      </c>
      <c r="S39" s="25">
        <v>0</v>
      </c>
      <c r="T39" s="52">
        <v>0</v>
      </c>
      <c r="U39" s="23">
        <v>0</v>
      </c>
      <c r="V39" s="25">
        <v>0</v>
      </c>
      <c r="W39" s="52" t="s">
        <v>81</v>
      </c>
      <c r="X39" s="23">
        <v>0</v>
      </c>
      <c r="Y39" s="25">
        <v>0</v>
      </c>
      <c r="Z39" s="52" t="s">
        <v>81</v>
      </c>
      <c r="AA39" s="23">
        <v>0</v>
      </c>
      <c r="AB39" s="25">
        <v>0</v>
      </c>
      <c r="AC39" s="52" t="s">
        <v>81</v>
      </c>
      <c r="AD39" s="23">
        <v>0</v>
      </c>
      <c r="AE39" s="25">
        <v>0</v>
      </c>
      <c r="AF39" s="52" t="s">
        <v>81</v>
      </c>
      <c r="AG39" s="23">
        <v>1</v>
      </c>
      <c r="AH39" s="25">
        <v>0</v>
      </c>
      <c r="AI39" s="52">
        <v>0</v>
      </c>
      <c r="AJ39" s="23">
        <v>0</v>
      </c>
      <c r="AK39" s="25">
        <v>0</v>
      </c>
      <c r="AL39" s="52" t="s">
        <v>81</v>
      </c>
      <c r="AM39" s="23">
        <v>0</v>
      </c>
      <c r="AN39" s="25">
        <v>0</v>
      </c>
      <c r="AO39" s="52" t="s">
        <v>81</v>
      </c>
      <c r="AP39" s="23">
        <v>0</v>
      </c>
      <c r="AQ39" s="25">
        <v>0</v>
      </c>
      <c r="AR39" s="52" t="s">
        <v>81</v>
      </c>
      <c r="AS39" s="23">
        <v>0</v>
      </c>
      <c r="AT39" s="25">
        <v>0</v>
      </c>
      <c r="AU39" s="52" t="s">
        <v>81</v>
      </c>
      <c r="AV39" s="23">
        <v>0</v>
      </c>
      <c r="AW39" s="25">
        <v>0</v>
      </c>
      <c r="AX39" s="52" t="s">
        <v>81</v>
      </c>
      <c r="AY39" s="23">
        <v>0</v>
      </c>
      <c r="AZ39" s="25">
        <v>0</v>
      </c>
      <c r="BA39" s="52" t="s">
        <v>81</v>
      </c>
      <c r="BB39" s="23">
        <v>0</v>
      </c>
      <c r="BC39" s="25">
        <v>0</v>
      </c>
      <c r="BD39" s="52" t="s">
        <v>81</v>
      </c>
      <c r="BE39" s="23">
        <v>0</v>
      </c>
      <c r="BF39" s="25">
        <v>0</v>
      </c>
      <c r="BG39" s="52" t="s">
        <v>81</v>
      </c>
      <c r="BH39" s="23">
        <v>1</v>
      </c>
      <c r="BI39" s="25">
        <v>0</v>
      </c>
      <c r="BJ39" s="52">
        <v>0</v>
      </c>
      <c r="BK39" s="23">
        <v>76</v>
      </c>
      <c r="BL39" s="25">
        <v>0</v>
      </c>
      <c r="BM39" s="52">
        <v>0</v>
      </c>
      <c r="BN39" s="23">
        <v>1</v>
      </c>
      <c r="BO39" s="25">
        <v>0</v>
      </c>
      <c r="BP39" s="52">
        <v>0</v>
      </c>
      <c r="BQ39" s="23">
        <v>1</v>
      </c>
      <c r="BR39" s="25">
        <v>0</v>
      </c>
      <c r="BS39" s="52">
        <v>0</v>
      </c>
    </row>
    <row r="40" spans="1:71" s="4" customFormat="1" ht="13.5" customHeight="1" x14ac:dyDescent="0.25">
      <c r="B40" s="28"/>
      <c r="C40" s="28"/>
      <c r="D40" s="28"/>
      <c r="E40" s="28"/>
      <c r="F40" s="28"/>
      <c r="G40" s="28"/>
      <c r="H40" s="28"/>
      <c r="I40" s="28"/>
      <c r="J40" s="28"/>
      <c r="K40" s="52"/>
      <c r="L40" s="28"/>
      <c r="M40" s="28"/>
      <c r="N40" s="52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52"/>
      <c r="BN40" s="28"/>
      <c r="BO40" s="28"/>
      <c r="BP40" s="28"/>
      <c r="BQ40" s="28"/>
      <c r="BR40" s="28"/>
      <c r="BS40" s="28"/>
    </row>
    <row r="41" spans="1:71" s="4" customFormat="1" ht="29.25" customHeight="1" x14ac:dyDescent="0.25">
      <c r="B41" s="124" t="s">
        <v>55</v>
      </c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30"/>
      <c r="Z41" s="55"/>
      <c r="AA41" s="55"/>
      <c r="AB41" s="30"/>
      <c r="AC41" s="55"/>
      <c r="AD41" s="55"/>
      <c r="AE41" s="30"/>
      <c r="AF41" s="55"/>
      <c r="AG41" s="55"/>
      <c r="AH41" s="30"/>
      <c r="AI41" s="55"/>
      <c r="AJ41" s="55"/>
      <c r="AK41" s="30"/>
      <c r="AL41" s="55"/>
      <c r="AM41" s="55"/>
      <c r="AN41" s="30"/>
      <c r="AO41" s="55"/>
      <c r="AP41" s="55"/>
      <c r="AQ41" s="30"/>
      <c r="AR41" s="55"/>
      <c r="AS41" s="55"/>
      <c r="AT41" s="30"/>
      <c r="AU41" s="55"/>
      <c r="AV41" s="55"/>
      <c r="AW41" s="30"/>
      <c r="AX41" s="55"/>
      <c r="AY41" s="55"/>
      <c r="AZ41" s="30"/>
      <c r="BA41" s="55"/>
      <c r="BB41" s="55"/>
      <c r="BC41" s="30"/>
      <c r="BD41" s="55"/>
      <c r="BE41" s="55"/>
      <c r="BF41" s="30"/>
      <c r="BG41" s="55"/>
      <c r="BH41" s="55"/>
      <c r="BI41" s="30"/>
      <c r="BJ41" s="55"/>
      <c r="BK41" s="55"/>
      <c r="BL41" s="30"/>
      <c r="BM41" s="55"/>
      <c r="BN41" s="55"/>
      <c r="BO41" s="30"/>
      <c r="BP41" s="55"/>
      <c r="BQ41" s="55"/>
      <c r="BR41" s="30"/>
      <c r="BS41" s="55"/>
    </row>
    <row r="42" spans="1:71" s="4" customFormat="1" x14ac:dyDescent="0.25"/>
    <row r="44" spans="1:71" hidden="1" x14ac:dyDescent="0.25">
      <c r="A44" s="130" t="s">
        <v>96</v>
      </c>
      <c r="B44" s="20" t="s">
        <v>24</v>
      </c>
    </row>
    <row r="45" spans="1:71" hidden="1" x14ac:dyDescent="0.25">
      <c r="A45" s="130"/>
      <c r="B45" s="20" t="s">
        <v>25</v>
      </c>
    </row>
    <row r="46" spans="1:71" hidden="1" x14ac:dyDescent="0.25">
      <c r="A46" s="130"/>
      <c r="B46" s="20" t="s">
        <v>26</v>
      </c>
    </row>
    <row r="47" spans="1:71" hidden="1" x14ac:dyDescent="0.25">
      <c r="A47" s="130"/>
      <c r="B47" s="20" t="s">
        <v>27</v>
      </c>
    </row>
    <row r="48" spans="1:71" hidden="1" x14ac:dyDescent="0.25">
      <c r="A48" s="130"/>
      <c r="B48" s="20" t="s">
        <v>29</v>
      </c>
    </row>
    <row r="49" spans="1:2" hidden="1" x14ac:dyDescent="0.25">
      <c r="A49" s="130"/>
      <c r="B49" s="20" t="s">
        <v>30</v>
      </c>
    </row>
    <row r="50" spans="1:2" hidden="1" x14ac:dyDescent="0.25">
      <c r="A50" s="130"/>
      <c r="B50" s="20" t="s">
        <v>32</v>
      </c>
    </row>
    <row r="51" spans="1:2" hidden="1" x14ac:dyDescent="0.25">
      <c r="A51" s="130"/>
      <c r="B51" s="20" t="s">
        <v>34</v>
      </c>
    </row>
    <row r="52" spans="1:2" hidden="1" x14ac:dyDescent="0.25">
      <c r="A52" s="130"/>
      <c r="B52" s="20" t="s">
        <v>35</v>
      </c>
    </row>
    <row r="53" spans="1:2" hidden="1" x14ac:dyDescent="0.25">
      <c r="A53" s="130"/>
      <c r="B53" s="20" t="s">
        <v>42</v>
      </c>
    </row>
    <row r="54" spans="1:2" hidden="1" x14ac:dyDescent="0.25">
      <c r="A54" s="130"/>
      <c r="B54" s="20" t="s">
        <v>44</v>
      </c>
    </row>
    <row r="55" spans="1:2" hidden="1" x14ac:dyDescent="0.25">
      <c r="A55" s="130"/>
      <c r="B55" s="20" t="s">
        <v>47</v>
      </c>
    </row>
    <row r="56" spans="1:2" hidden="1" x14ac:dyDescent="0.25">
      <c r="A56" s="130"/>
      <c r="B56" s="20" t="s">
        <v>54</v>
      </c>
    </row>
    <row r="57" spans="1:2" hidden="1" x14ac:dyDescent="0.25"/>
    <row r="58" spans="1:2" hidden="1" x14ac:dyDescent="0.25"/>
    <row r="59" spans="1:2" hidden="1" x14ac:dyDescent="0.25">
      <c r="A59" s="130" t="s">
        <v>97</v>
      </c>
      <c r="B59" s="20" t="s">
        <v>28</v>
      </c>
    </row>
    <row r="60" spans="1:2" hidden="1" x14ac:dyDescent="0.25">
      <c r="A60" s="130"/>
      <c r="B60" s="20" t="s">
        <v>31</v>
      </c>
    </row>
    <row r="61" spans="1:2" hidden="1" x14ac:dyDescent="0.25">
      <c r="A61" s="130"/>
      <c r="B61" s="20" t="s">
        <v>33</v>
      </c>
    </row>
    <row r="62" spans="1:2" hidden="1" x14ac:dyDescent="0.25">
      <c r="A62" s="130"/>
      <c r="B62" s="20" t="s">
        <v>36</v>
      </c>
    </row>
    <row r="63" spans="1:2" hidden="1" x14ac:dyDescent="0.25">
      <c r="A63" s="130"/>
      <c r="B63" s="20" t="s">
        <v>38</v>
      </c>
    </row>
    <row r="64" spans="1:2" hidden="1" x14ac:dyDescent="0.25">
      <c r="A64" s="130"/>
      <c r="B64" s="20" t="s">
        <v>39</v>
      </c>
    </row>
    <row r="65" spans="1:2" hidden="1" x14ac:dyDescent="0.25">
      <c r="A65" s="130"/>
      <c r="B65" s="20" t="s">
        <v>40</v>
      </c>
    </row>
    <row r="66" spans="1:2" hidden="1" x14ac:dyDescent="0.25">
      <c r="A66" s="130"/>
      <c r="B66" s="20" t="s">
        <v>41</v>
      </c>
    </row>
    <row r="67" spans="1:2" hidden="1" x14ac:dyDescent="0.25">
      <c r="A67" s="130"/>
      <c r="B67" s="20" t="s">
        <v>43</v>
      </c>
    </row>
    <row r="68" spans="1:2" hidden="1" x14ac:dyDescent="0.25">
      <c r="A68" s="130"/>
      <c r="B68" s="20" t="s">
        <v>46</v>
      </c>
    </row>
    <row r="69" spans="1:2" hidden="1" x14ac:dyDescent="0.25">
      <c r="A69" s="130"/>
      <c r="B69" s="20" t="s">
        <v>48</v>
      </c>
    </row>
    <row r="70" spans="1:2" hidden="1" x14ac:dyDescent="0.25">
      <c r="A70" s="130"/>
      <c r="B70" s="20" t="s">
        <v>49</v>
      </c>
    </row>
    <row r="71" spans="1:2" hidden="1" x14ac:dyDescent="0.25">
      <c r="A71" s="130"/>
      <c r="B71" s="20" t="s">
        <v>51</v>
      </c>
    </row>
    <row r="72" spans="1:2" hidden="1" x14ac:dyDescent="0.25">
      <c r="A72" s="130"/>
      <c r="B72" s="20" t="s">
        <v>53</v>
      </c>
    </row>
    <row r="73" spans="1:2" hidden="1" x14ac:dyDescent="0.25"/>
    <row r="74" spans="1:2" hidden="1" x14ac:dyDescent="0.25">
      <c r="A74" s="129" t="s">
        <v>58</v>
      </c>
      <c r="B74" s="20" t="s">
        <v>37</v>
      </c>
    </row>
    <row r="75" spans="1:2" hidden="1" x14ac:dyDescent="0.25">
      <c r="A75" s="129"/>
      <c r="B75" s="20" t="s">
        <v>50</v>
      </c>
    </row>
    <row r="76" spans="1:2" hidden="1" x14ac:dyDescent="0.25">
      <c r="A76" s="129"/>
      <c r="B76" s="20" t="s">
        <v>52</v>
      </c>
    </row>
    <row r="77" spans="1:2" hidden="1" x14ac:dyDescent="0.25"/>
    <row r="78" spans="1:2" hidden="1" x14ac:dyDescent="0.25">
      <c r="A78" s="94" t="s">
        <v>98</v>
      </c>
      <c r="B78" s="20" t="s">
        <v>45</v>
      </c>
    </row>
    <row r="79" spans="1:2" hidden="1" x14ac:dyDescent="0.25"/>
  </sheetData>
  <mergeCells count="31">
    <mergeCell ref="A74:A76"/>
    <mergeCell ref="BH6:BJ6"/>
    <mergeCell ref="B41:X41"/>
    <mergeCell ref="A44:A56"/>
    <mergeCell ref="A59:A72"/>
    <mergeCell ref="AP6:AR6"/>
    <mergeCell ref="AS6:AU6"/>
    <mergeCell ref="AV6:AX6"/>
    <mergeCell ref="AY6:BA6"/>
    <mergeCell ref="BB6:BD6"/>
    <mergeCell ref="BE6:BG6"/>
    <mergeCell ref="BQ5:BS6"/>
    <mergeCell ref="B6:B7"/>
    <mergeCell ref="F6:H6"/>
    <mergeCell ref="I6:K6"/>
    <mergeCell ref="L6:N6"/>
    <mergeCell ref="O6:Q6"/>
    <mergeCell ref="R6:T6"/>
    <mergeCell ref="U6:W6"/>
    <mergeCell ref="X6:Z6"/>
    <mergeCell ref="AA6:AC6"/>
    <mergeCell ref="BN5:BP6"/>
    <mergeCell ref="B3:Z3"/>
    <mergeCell ref="C5:E6"/>
    <mergeCell ref="F5:AF5"/>
    <mergeCell ref="AG5:BJ5"/>
    <mergeCell ref="BK5:BM6"/>
    <mergeCell ref="AD6:AF6"/>
    <mergeCell ref="AG6:AI6"/>
    <mergeCell ref="AJ6:AL6"/>
    <mergeCell ref="AM6:AO6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&amp;L&amp;G&amp;R_x000D_&amp;1#&amp;"Aptos"&amp;10&amp;K000000 Documento interno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C4D01-BF74-4FE9-9DAC-140010388910}">
  <sheetPr>
    <tabColor rgb="FF92D050"/>
  </sheetPr>
  <dimension ref="A1:BG41"/>
  <sheetViews>
    <sheetView showGridLines="0" workbookViewId="0"/>
  </sheetViews>
  <sheetFormatPr baseColWidth="10" defaultRowHeight="15" x14ac:dyDescent="0.25"/>
  <cols>
    <col min="2" max="2" width="17.5703125" customWidth="1"/>
    <col min="3" max="3" width="34.5703125" customWidth="1"/>
    <col min="4" max="4" width="15.42578125" customWidth="1"/>
    <col min="5" max="5" width="14" customWidth="1"/>
    <col min="6" max="6" width="16.85546875" customWidth="1"/>
    <col min="7" max="7" width="11.140625" customWidth="1"/>
    <col min="8" max="8" width="10" customWidth="1"/>
    <col min="9" max="9" width="29.42578125" customWidth="1"/>
    <col min="10" max="10" width="25.5703125" bestFit="1" customWidth="1"/>
    <col min="11" max="11" width="24.42578125" customWidth="1"/>
    <col min="12" max="12" width="25.5703125" bestFit="1" customWidth="1"/>
    <col min="13" max="13" width="24.42578125" customWidth="1"/>
    <col min="14" max="14" width="30.140625" bestFit="1" customWidth="1"/>
    <col min="15" max="15" width="29" customWidth="1"/>
    <col min="16" max="16" width="30.5703125" bestFit="1" customWidth="1"/>
    <col min="17" max="17" width="29.42578125" customWidth="1"/>
    <col min="18" max="18" width="29.42578125" bestFit="1" customWidth="1"/>
  </cols>
  <sheetData>
    <row r="1" spans="3:59" ht="30" customHeight="1" x14ac:dyDescent="0.4">
      <c r="C1" s="70" t="s">
        <v>84</v>
      </c>
      <c r="D1" s="71" t="s">
        <v>23</v>
      </c>
    </row>
    <row r="3" spans="3:59" s="4" customFormat="1" ht="34.15" customHeight="1" x14ac:dyDescent="0.25">
      <c r="C3" s="127" t="str">
        <f>CONCATENATE("Establecimientos turísticos inscritos (1) en ",D1," según tipología y categoría del establecimiento
Distribución por categoría")</f>
        <v>Establecimientos turísticos inscritos (1) en Total Isla según tipología y categoría del establecimiento
Distribución por categoría</v>
      </c>
      <c r="D3" s="127"/>
      <c r="E3" s="127"/>
      <c r="F3" s="127"/>
      <c r="G3" s="127"/>
      <c r="H3" s="127"/>
    </row>
    <row r="4" spans="3:59" s="4" customFormat="1" ht="16.5" customHeight="1" thickBot="1" x14ac:dyDescent="0.3">
      <c r="C4" s="128" t="s">
        <v>106</v>
      </c>
      <c r="D4" s="128"/>
      <c r="E4" s="128"/>
      <c r="F4" s="73"/>
      <c r="G4" s="95"/>
      <c r="H4" s="95"/>
    </row>
    <row r="5" spans="3:59" ht="6" customHeight="1" x14ac:dyDescent="0.25">
      <c r="C5" s="74"/>
      <c r="D5" s="74"/>
      <c r="E5" s="74"/>
      <c r="F5" s="74"/>
      <c r="G5" s="74"/>
      <c r="H5" s="74"/>
    </row>
    <row r="6" spans="3:59" s="4" customFormat="1" ht="46.5" customHeight="1" x14ac:dyDescent="0.25">
      <c r="C6" s="13"/>
      <c r="D6" s="14" t="s">
        <v>78</v>
      </c>
      <c r="E6" s="15" t="s">
        <v>22</v>
      </c>
      <c r="F6" s="15" t="s">
        <v>85</v>
      </c>
      <c r="G6" s="75" t="s">
        <v>86</v>
      </c>
      <c r="H6" s="15" t="s">
        <v>87</v>
      </c>
    </row>
    <row r="7" spans="3:59" s="19" customFormat="1" ht="15.75" x14ac:dyDescent="0.25">
      <c r="C7" s="76" t="s">
        <v>13</v>
      </c>
      <c r="D7" s="77">
        <f>VLOOKUP($D$1,'estab aut municipio x tip y cat'!$B$8:$BS$39,5,FALSE)</f>
        <v>289</v>
      </c>
      <c r="E7" s="78">
        <f t="shared" ref="E7:E30" si="0">D7/$D$30</f>
        <v>9.197084937784426E-3</v>
      </c>
      <c r="F7" s="78">
        <f>D7/$D$28</f>
        <v>0.40363128491620109</v>
      </c>
      <c r="G7" s="77">
        <f>VLOOKUP($D$1,'estab aut municipio x tip y cat'!$B$8:$BS$39,5+1,FALSE)</f>
        <v>2</v>
      </c>
      <c r="H7" s="79">
        <f>VLOOKUP($D$1,'estab aut municipio x tip y cat'!$B$8:$BS$39,5+2,FALSE)</f>
        <v>6.9686411149825211E-3</v>
      </c>
    </row>
    <row r="8" spans="3:59" s="4" customFormat="1" x14ac:dyDescent="0.25">
      <c r="C8" s="80" t="s">
        <v>63</v>
      </c>
      <c r="D8" s="23">
        <f>VLOOKUP($D$1,'estab aut municipio x tip y cat'!$B$8:$BS$39,8,FALSE)</f>
        <v>43</v>
      </c>
      <c r="E8" s="22">
        <f t="shared" si="0"/>
        <v>1.3684244025077173E-3</v>
      </c>
      <c r="F8" s="22">
        <f t="shared" ref="F8:F28" si="1">D8/$D$28</f>
        <v>6.0055865921787709E-2</v>
      </c>
      <c r="G8" s="23">
        <f>VLOOKUP($D$1,'estab aut municipio x tip y cat'!$B$8:$BS$39,8+1,FALSE)</f>
        <v>0</v>
      </c>
      <c r="H8" s="96">
        <f>VLOOKUP($D$1,'estab aut municipio x tip y cat'!$B$8:$BS$39,8+2,FALSE)</f>
        <v>0</v>
      </c>
      <c r="I8"/>
      <c r="BG8" s="4">
        <v>98</v>
      </c>
    </row>
    <row r="9" spans="3:59" s="4" customFormat="1" x14ac:dyDescent="0.25">
      <c r="C9" s="80" t="s">
        <v>64</v>
      </c>
      <c r="D9" s="23">
        <f>VLOOKUP($D$1,'estab aut municipio x tip y cat'!$B$8:$BS$39,11,FALSE)</f>
        <v>31</v>
      </c>
      <c r="E9" s="22">
        <f t="shared" si="0"/>
        <v>9.865385227381218E-4</v>
      </c>
      <c r="F9" s="22">
        <f t="shared" si="1"/>
        <v>4.3296089385474863E-2</v>
      </c>
      <c r="G9" s="23">
        <f>VLOOKUP($D$1,'estab aut municipio x tip y cat'!$B$8:$BS$39,11+1,FALSE)</f>
        <v>0</v>
      </c>
      <c r="H9" s="96">
        <f>VLOOKUP($D$1,'estab aut municipio x tip y cat'!$B$8:$BS$39,11+2,FALSE)</f>
        <v>0</v>
      </c>
      <c r="I9"/>
      <c r="BG9" s="4">
        <v>0</v>
      </c>
    </row>
    <row r="10" spans="3:59" s="4" customFormat="1" x14ac:dyDescent="0.25">
      <c r="C10" s="80" t="s">
        <v>65</v>
      </c>
      <c r="D10" s="23">
        <f>VLOOKUP($D$1,'estab aut municipio x tip y cat'!$B$8:$BS$39,14,FALSE)</f>
        <v>52</v>
      </c>
      <c r="E10" s="22">
        <f t="shared" si="0"/>
        <v>1.654838812334914E-3</v>
      </c>
      <c r="F10" s="22">
        <f t="shared" si="1"/>
        <v>7.2625698324022353E-2</v>
      </c>
      <c r="G10" s="23">
        <f>VLOOKUP($D$1,'estab aut municipio x tip y cat'!$B$8:$BS$39,14+1,FALSE)</f>
        <v>0</v>
      </c>
      <c r="H10" s="96">
        <f>VLOOKUP($D$1,'estab aut municipio x tip y cat'!$B$8:$BS$39,14+2,FALSE)</f>
        <v>0</v>
      </c>
      <c r="I10"/>
      <c r="BG10" s="4">
        <v>0</v>
      </c>
    </row>
    <row r="11" spans="3:59" s="4" customFormat="1" x14ac:dyDescent="0.25">
      <c r="C11" s="80" t="s">
        <v>66</v>
      </c>
      <c r="D11" s="23">
        <f>VLOOKUP($D$1,'estab aut municipio x tip y cat'!$B$8:$BS$39,17,FALSE)</f>
        <v>114</v>
      </c>
      <c r="E11" s="22">
        <f t="shared" si="0"/>
        <v>3.6279158578111574E-3</v>
      </c>
      <c r="F11" s="22">
        <f t="shared" si="1"/>
        <v>0.15921787709497207</v>
      </c>
      <c r="G11" s="23">
        <f>VLOOKUP($D$1,'estab aut municipio x tip y cat'!$B$8:$BS$39,17+1,FALSE)</f>
        <v>2</v>
      </c>
      <c r="H11" s="96">
        <f>VLOOKUP($D$1,'estab aut municipio x tip y cat'!$B$8:$BS$39,17+2,FALSE)</f>
        <v>1.7857142857142794E-2</v>
      </c>
      <c r="I11"/>
      <c r="BG11" s="4">
        <v>0</v>
      </c>
    </row>
    <row r="12" spans="3:59" s="4" customFormat="1" x14ac:dyDescent="0.25">
      <c r="C12" s="80" t="s">
        <v>67</v>
      </c>
      <c r="D12" s="23">
        <f>VLOOKUP($D$1,'estab aut municipio x tip y cat'!$B$8:$BS$39,20,FALSE)</f>
        <v>20</v>
      </c>
      <c r="E12" s="22">
        <f t="shared" si="0"/>
        <v>6.3647646628265915E-4</v>
      </c>
      <c r="F12" s="22">
        <f t="shared" si="1"/>
        <v>2.7932960893854747E-2</v>
      </c>
      <c r="G12" s="23">
        <f>VLOOKUP($D$1,'estab aut municipio x tip y cat'!$B$8:$BS$39,20+1,FALSE)</f>
        <v>0</v>
      </c>
      <c r="H12" s="96">
        <f>VLOOKUP($D$1,'estab aut municipio x tip y cat'!$B$8:$BS$39,20+2,FALSE)</f>
        <v>0</v>
      </c>
      <c r="I12"/>
      <c r="BG12" s="4">
        <v>0</v>
      </c>
    </row>
    <row r="13" spans="3:59" s="4" customFormat="1" x14ac:dyDescent="0.25">
      <c r="C13" s="80" t="s">
        <v>68</v>
      </c>
      <c r="D13" s="23">
        <f>VLOOKUP($D$1,'estab aut municipio x tip y cat'!$B$8:$BS$39,23,FALSE)</f>
        <v>4</v>
      </c>
      <c r="E13" s="22">
        <f t="shared" si="0"/>
        <v>1.2729529325653183E-4</v>
      </c>
      <c r="F13" s="22">
        <f t="shared" si="1"/>
        <v>5.5865921787709499E-3</v>
      </c>
      <c r="G13" s="23">
        <f>VLOOKUP($D$1,'estab aut municipio x tip y cat'!$B$8:$BS$39,23+1,FALSE)</f>
        <v>0</v>
      </c>
      <c r="H13" s="96">
        <f>VLOOKUP($D$1,'estab aut municipio x tip y cat'!$B$8:$BS$39,23+2,FALSE)</f>
        <v>0</v>
      </c>
      <c r="I13"/>
      <c r="BG13" s="4">
        <v>0</v>
      </c>
    </row>
    <row r="14" spans="3:59" s="4" customFormat="1" x14ac:dyDescent="0.25">
      <c r="C14" s="80" t="s">
        <v>69</v>
      </c>
      <c r="D14" s="23">
        <f>VLOOKUP($D$1,'estab aut municipio x tip y cat'!$B$8:$BS$39,26,FALSE)</f>
        <v>9</v>
      </c>
      <c r="E14" s="22">
        <f t="shared" si="0"/>
        <v>2.8641440982719662E-4</v>
      </c>
      <c r="F14" s="22">
        <f t="shared" si="1"/>
        <v>1.2569832402234637E-2</v>
      </c>
      <c r="G14" s="23">
        <f>VLOOKUP($D$1,'estab aut municipio x tip y cat'!$B$8:$BS$39,26+1,FALSE)</f>
        <v>0</v>
      </c>
      <c r="H14" s="96">
        <f>VLOOKUP($D$1,'estab aut municipio x tip y cat'!$B$8:$BS$39,26+2,FALSE)</f>
        <v>0</v>
      </c>
      <c r="I14"/>
      <c r="BG14" s="4">
        <v>0</v>
      </c>
    </row>
    <row r="15" spans="3:59" s="4" customFormat="1" x14ac:dyDescent="0.25">
      <c r="C15" s="82" t="s">
        <v>70</v>
      </c>
      <c r="D15" s="23">
        <f>VLOOKUP($D$1,'estab aut municipio x tip y cat'!$B$8:$BS$39,29,FALSE)</f>
        <v>16</v>
      </c>
      <c r="E15" s="22">
        <f t="shared" si="0"/>
        <v>5.0918117302612732E-4</v>
      </c>
      <c r="F15" s="22">
        <f t="shared" si="1"/>
        <v>2.23463687150838E-2</v>
      </c>
      <c r="G15" s="23">
        <f>VLOOKUP($D$1,'estab aut municipio x tip y cat'!$B$8:$BS$39,29+1,FALSE)</f>
        <v>5</v>
      </c>
      <c r="H15" s="96">
        <f>VLOOKUP($D$1,'estab aut municipio x tip y cat'!$B$8:$BS$39,29+2,FALSE)</f>
        <v>0.45454545454545459</v>
      </c>
      <c r="I15"/>
      <c r="BG15" s="4">
        <v>0</v>
      </c>
    </row>
    <row r="16" spans="3:59" s="4" customFormat="1" x14ac:dyDescent="0.25">
      <c r="C16" s="76" t="s">
        <v>14</v>
      </c>
      <c r="D16" s="77">
        <f>VLOOKUP($D$1,'estab aut municipio x tip y cat'!$B$8:$BS$39,32,FALSE)</f>
        <v>236</v>
      </c>
      <c r="E16" s="78">
        <f t="shared" si="0"/>
        <v>7.5104223021353785E-3</v>
      </c>
      <c r="F16" s="78">
        <f t="shared" si="1"/>
        <v>0.32960893854748602</v>
      </c>
      <c r="G16" s="77">
        <f>VLOOKUP($D$1,'estab aut municipio x tip y cat'!$B$8:$BS$39,32+1,FALSE)</f>
        <v>1</v>
      </c>
      <c r="H16" s="79">
        <f>VLOOKUP($D$1,'estab aut municipio x tip y cat'!$B$8:$BS$39,32+2,FALSE)</f>
        <v>4.2553191489360653E-3</v>
      </c>
      <c r="I16"/>
      <c r="BG16" s="4">
        <v>0</v>
      </c>
    </row>
    <row r="17" spans="1:59" s="4" customFormat="1" x14ac:dyDescent="0.25">
      <c r="C17" s="80" t="s">
        <v>72</v>
      </c>
      <c r="D17" s="23">
        <f>VLOOKUP($D$1,'estab aut municipio x tip y cat'!$B$8:$BS$39,35,FALSE)</f>
        <v>45</v>
      </c>
      <c r="E17" s="22">
        <f t="shared" si="0"/>
        <v>1.4320720491359832E-3</v>
      </c>
      <c r="F17" s="22">
        <f t="shared" si="1"/>
        <v>6.2849162011173187E-2</v>
      </c>
      <c r="G17" s="23">
        <f>VLOOKUP($D$1,'estab aut municipio x tip y cat'!$B$8:$BS$39,35+1,FALSE)</f>
        <v>0</v>
      </c>
      <c r="H17" s="96">
        <f>VLOOKUP($D$1,'estab aut municipio x tip y cat'!$B$8:$BS$39,35+2,FALSE)</f>
        <v>0</v>
      </c>
      <c r="I17" s="32"/>
      <c r="BG17" s="4">
        <v>0</v>
      </c>
    </row>
    <row r="18" spans="1:59" s="4" customFormat="1" x14ac:dyDescent="0.25">
      <c r="C18" s="80" t="s">
        <v>73</v>
      </c>
      <c r="D18" s="23">
        <f>VLOOKUP($D$1,'estab aut municipio x tip y cat'!$B$8:$BS$39,38,FALSE)</f>
        <v>50</v>
      </c>
      <c r="E18" s="22">
        <f t="shared" si="0"/>
        <v>1.5911911657066481E-3</v>
      </c>
      <c r="F18" s="22">
        <f t="shared" si="1"/>
        <v>6.9832402234636867E-2</v>
      </c>
      <c r="G18" s="23">
        <f>VLOOKUP($D$1,'estab aut municipio x tip y cat'!$B$8:$BS$39,38+1,FALSE)</f>
        <v>0</v>
      </c>
      <c r="H18" s="96">
        <f>VLOOKUP($D$1,'estab aut municipio x tip y cat'!$B$8:$BS$39,38+2,FALSE)</f>
        <v>0</v>
      </c>
      <c r="I18" s="32"/>
      <c r="BG18" s="4">
        <v>0</v>
      </c>
    </row>
    <row r="19" spans="1:59" s="4" customFormat="1" x14ac:dyDescent="0.25">
      <c r="C19" s="80" t="s">
        <v>74</v>
      </c>
      <c r="D19" s="23">
        <f>VLOOKUP($D$1,'estab aut municipio x tip y cat'!$B$8:$BS$39,41,FALSE)</f>
        <v>41</v>
      </c>
      <c r="E19" s="22">
        <f t="shared" si="0"/>
        <v>1.3047767558794514E-3</v>
      </c>
      <c r="F19" s="22">
        <f t="shared" si="1"/>
        <v>5.7262569832402237E-2</v>
      </c>
      <c r="G19" s="23">
        <f>VLOOKUP($D$1,'estab aut municipio x tip y cat'!$B$8:$BS$39,41+1,FALSE)</f>
        <v>0</v>
      </c>
      <c r="H19" s="96">
        <f>VLOOKUP($D$1,'estab aut municipio x tip y cat'!$B$8:$BS$39,41+2,FALSE)</f>
        <v>0</v>
      </c>
      <c r="I19" s="32"/>
      <c r="BG19" s="4">
        <v>0</v>
      </c>
    </row>
    <row r="20" spans="1:59" s="4" customFormat="1" x14ac:dyDescent="0.25">
      <c r="C20" s="80" t="s">
        <v>75</v>
      </c>
      <c r="D20" s="23">
        <f>VLOOKUP($D$1,'estab aut municipio x tip y cat'!$B$8:$BS$39,44,FALSE)</f>
        <v>1</v>
      </c>
      <c r="E20" s="22">
        <f t="shared" si="0"/>
        <v>3.1823823314132958E-5</v>
      </c>
      <c r="F20" s="22">
        <f t="shared" si="1"/>
        <v>1.3966480446927375E-3</v>
      </c>
      <c r="G20" s="23">
        <f>VLOOKUP($D$1,'estab aut municipio x tip y cat'!$B$8:$BS$39,44+1,FALSE)</f>
        <v>0</v>
      </c>
      <c r="H20" s="96">
        <f>VLOOKUP($D$1,'estab aut municipio x tip y cat'!$B$8:$BS$39,44+2,FALSE)</f>
        <v>0</v>
      </c>
      <c r="I20" s="32"/>
      <c r="BG20" s="4">
        <v>0</v>
      </c>
    </row>
    <row r="21" spans="1:59" s="4" customFormat="1" x14ac:dyDescent="0.25">
      <c r="C21" s="80" t="s">
        <v>65</v>
      </c>
      <c r="D21" s="23">
        <f>VLOOKUP($D$1,'estab aut municipio x tip y cat'!$B$8:$BS$39,47,FALSE)</f>
        <v>25</v>
      </c>
      <c r="E21" s="22">
        <f t="shared" si="0"/>
        <v>7.9559558285332405E-4</v>
      </c>
      <c r="F21" s="22">
        <f t="shared" si="1"/>
        <v>3.4916201117318434E-2</v>
      </c>
      <c r="G21" s="23">
        <f>VLOOKUP($D$1,'estab aut municipio x tip y cat'!$B$8:$BS$39,47+1,FALSE)</f>
        <v>1</v>
      </c>
      <c r="H21" s="96">
        <f>VLOOKUP($D$1,'estab aut municipio x tip y cat'!$B$8:$BS$39,47+2,FALSE)</f>
        <v>4.1666666666666741E-2</v>
      </c>
      <c r="I21" s="32"/>
      <c r="BG21" s="4">
        <v>0</v>
      </c>
    </row>
    <row r="22" spans="1:59" s="4" customFormat="1" x14ac:dyDescent="0.25">
      <c r="C22" s="80" t="s">
        <v>66</v>
      </c>
      <c r="D22" s="23">
        <f>VLOOKUP($D$1,'estab aut municipio x tip y cat'!$B$8:$BS$39,50,FALSE)</f>
        <v>9</v>
      </c>
      <c r="E22" s="22">
        <f t="shared" si="0"/>
        <v>2.8641440982719662E-4</v>
      </c>
      <c r="F22" s="22">
        <f t="shared" si="1"/>
        <v>1.2569832402234637E-2</v>
      </c>
      <c r="G22" s="23">
        <f>VLOOKUP($D$1,'estab aut municipio x tip y cat'!$B$8:$BS$39,50+1,FALSE)</f>
        <v>0</v>
      </c>
      <c r="H22" s="96">
        <f>VLOOKUP($D$1,'estab aut municipio x tip y cat'!$B$8:$BS$39,50+2,FALSE)</f>
        <v>0</v>
      </c>
      <c r="I22" s="32"/>
      <c r="BG22" s="4">
        <v>0</v>
      </c>
    </row>
    <row r="23" spans="1:59" s="4" customFormat="1" x14ac:dyDescent="0.25">
      <c r="C23" s="80" t="s">
        <v>67</v>
      </c>
      <c r="D23" s="23">
        <f>VLOOKUP($D$1,'estab aut municipio x tip y cat'!$B$8:$BS$39,53,FALSE)</f>
        <v>5</v>
      </c>
      <c r="E23" s="22">
        <f t="shared" si="0"/>
        <v>1.5911911657066479E-4</v>
      </c>
      <c r="F23" s="22">
        <f t="shared" si="1"/>
        <v>6.9832402234636867E-3</v>
      </c>
      <c r="G23" s="23">
        <f>VLOOKUP($D$1,'estab aut municipio x tip y cat'!$B$8:$BS$39,53+1,FALSE)</f>
        <v>0</v>
      </c>
      <c r="H23" s="96">
        <f>VLOOKUP($D$1,'estab aut municipio x tip y cat'!$B$8:$BS$39,53+2,FALSE)</f>
        <v>0</v>
      </c>
      <c r="I23" s="32"/>
      <c r="BG23" s="4">
        <v>0</v>
      </c>
    </row>
    <row r="24" spans="1:59" s="4" customFormat="1" x14ac:dyDescent="0.25">
      <c r="C24" s="80" t="s">
        <v>76</v>
      </c>
      <c r="D24" s="23">
        <f>VLOOKUP($D$1,'estab aut municipio x tip y cat'!$B$8:$BS$39,56,FALSE)</f>
        <v>42</v>
      </c>
      <c r="E24" s="22">
        <f t="shared" si="0"/>
        <v>1.3366005791935842E-3</v>
      </c>
      <c r="F24" s="22">
        <f t="shared" si="1"/>
        <v>5.8659217877094973E-2</v>
      </c>
      <c r="G24" s="23">
        <f>VLOOKUP($D$1,'estab aut municipio x tip y cat'!$B$8:$BS$39,56+1,FALSE)</f>
        <v>0</v>
      </c>
      <c r="H24" s="96">
        <f>VLOOKUP($D$1,'estab aut municipio x tip y cat'!$B$8:$BS$39,56+2,FALSE)</f>
        <v>0</v>
      </c>
      <c r="I24" s="32"/>
      <c r="BG24" s="4">
        <v>0</v>
      </c>
    </row>
    <row r="25" spans="1:59" s="4" customFormat="1" x14ac:dyDescent="0.25">
      <c r="C25" s="82" t="s">
        <v>77</v>
      </c>
      <c r="D25" s="23">
        <f>VLOOKUP($D$1,'estab aut municipio x tip y cat'!$B$8:$BS$39,59,FALSE)</f>
        <v>18</v>
      </c>
      <c r="E25" s="22">
        <f t="shared" si="0"/>
        <v>5.7282881965439324E-4</v>
      </c>
      <c r="F25" s="22">
        <f t="shared" si="1"/>
        <v>2.5139664804469275E-2</v>
      </c>
      <c r="G25" s="23">
        <f>VLOOKUP($D$1,'estab aut municipio x tip y cat'!$B$8:$BS$39,59+1,FALSE)</f>
        <v>0</v>
      </c>
      <c r="H25" s="96">
        <f>VLOOKUP($D$1,'estab aut municipio x tip y cat'!$B$8:$BS$39,59+2,FALSE)</f>
        <v>0</v>
      </c>
      <c r="I25" s="32"/>
      <c r="BG25" s="4">
        <v>0</v>
      </c>
    </row>
    <row r="26" spans="1:59" s="4" customFormat="1" x14ac:dyDescent="0.25">
      <c r="C26" s="76" t="s">
        <v>15</v>
      </c>
      <c r="D26" s="77">
        <f>VLOOKUP($D$1,'estab aut municipio x tip y cat'!$B$8:$BS$39,65,FALSE)</f>
        <v>24</v>
      </c>
      <c r="E26" s="78">
        <f t="shared" si="0"/>
        <v>7.6377175953919099E-4</v>
      </c>
      <c r="F26" s="78">
        <f t="shared" si="1"/>
        <v>3.3519553072625698E-2</v>
      </c>
      <c r="G26" s="77">
        <f>VLOOKUP($D$1,'estab aut municipio x tip y cat'!$B$8:$BS$39,65+1,FALSE)</f>
        <v>0</v>
      </c>
      <c r="H26" s="79">
        <f>VLOOKUP($D$1,'estab aut municipio x tip y cat'!$B$8:$BS$39,65+2,FALSE)</f>
        <v>0</v>
      </c>
      <c r="I26" s="32"/>
      <c r="BG26" s="4">
        <v>0</v>
      </c>
    </row>
    <row r="27" spans="1:59" s="4" customFormat="1" x14ac:dyDescent="0.25">
      <c r="C27" s="76" t="s">
        <v>88</v>
      </c>
      <c r="D27" s="77">
        <f>VLOOKUP($D$1,'estab aut municipio x tip y cat'!$B$8:$BS$39,68,FALSE)</f>
        <v>167</v>
      </c>
      <c r="E27" s="78">
        <f t="shared" si="0"/>
        <v>5.3145784934602045E-3</v>
      </c>
      <c r="F27" s="78">
        <f t="shared" si="1"/>
        <v>0.23324022346368714</v>
      </c>
      <c r="G27" s="77">
        <f>VLOOKUP($D$1,'estab aut municipio x tip y cat'!$B$8:$BS$39,68+1,FALSE)</f>
        <v>-1</v>
      </c>
      <c r="H27" s="79">
        <f>VLOOKUP($D$1,'estab aut municipio x tip y cat'!$B$8:$BS$39,68+2,FALSE)</f>
        <v>0</v>
      </c>
      <c r="I27" s="32"/>
      <c r="BG27" s="4">
        <v>0</v>
      </c>
    </row>
    <row r="28" spans="1:59" s="4" customFormat="1" ht="30" x14ac:dyDescent="0.25">
      <c r="C28" s="83" t="s">
        <v>99</v>
      </c>
      <c r="D28" s="84">
        <f>D7+D16+D27+D26</f>
        <v>716</v>
      </c>
      <c r="E28" s="85">
        <f t="shared" si="0"/>
        <v>2.2785857492919198E-2</v>
      </c>
      <c r="F28" s="85">
        <f t="shared" si="1"/>
        <v>1</v>
      </c>
      <c r="G28" s="84">
        <f>G7+G16+G27+G26</f>
        <v>2</v>
      </c>
      <c r="H28" s="86">
        <f>(D28/(D28-G28))-1</f>
        <v>2.8011204481792618E-3</v>
      </c>
      <c r="I28" s="32"/>
      <c r="BG28" s="4">
        <v>0</v>
      </c>
    </row>
    <row r="29" spans="1:59" s="4" customFormat="1" ht="12.75" customHeight="1" x14ac:dyDescent="0.25">
      <c r="A29" s="97"/>
      <c r="C29" s="98" t="s">
        <v>90</v>
      </c>
      <c r="D29" s="99">
        <f>VLOOKUP($D$1,'estab aut municipio x tip y cat'!$B$8:$BS$39,62,FALSE)</f>
        <v>30707</v>
      </c>
      <c r="E29" s="88">
        <f t="shared" si="0"/>
        <v>0.97721414250708083</v>
      </c>
      <c r="F29" s="88"/>
      <c r="G29" s="99">
        <f>VLOOKUP($D$1,'estab aut municipio x tip y cat'!$B$8:$BS$39,62+1,FALSE)</f>
        <v>-228</v>
      </c>
      <c r="H29" s="100">
        <f>VLOOKUP($D$1,'estab aut municipio x tip y cat'!$B$8:$BS$39,62+2,FALSE)</f>
        <v>-7.3700543056632872E-3</v>
      </c>
      <c r="I29" s="32"/>
      <c r="BG29" s="4">
        <v>0</v>
      </c>
    </row>
    <row r="30" spans="1:59" s="4" customFormat="1" ht="15.75" x14ac:dyDescent="0.25">
      <c r="C30" s="89" t="s">
        <v>17</v>
      </c>
      <c r="D30" s="17">
        <f>VLOOKUP($D$1,'estab aut municipio x tip y cat'!$B$8:$BS$39,2,FALSE)</f>
        <v>31423</v>
      </c>
      <c r="E30" s="18">
        <f t="shared" si="0"/>
        <v>1</v>
      </c>
      <c r="F30" s="18"/>
      <c r="G30" s="17">
        <f>VLOOKUP($D$1,'estab aut municipio x tip y cat'!$B$8:$BS$39,3,FALSE)</f>
        <v>-226</v>
      </c>
      <c r="H30" s="90">
        <f>VLOOKUP($D$1,'estab aut municipio x tip y cat'!$B$8:$BS$39,4,FALSE)</f>
        <v>-7.1408259344687419E-3</v>
      </c>
      <c r="I30" s="32"/>
      <c r="BG30" s="4">
        <v>0</v>
      </c>
    </row>
    <row r="31" spans="1:59" s="4" customFormat="1" ht="10.5" customHeight="1" x14ac:dyDescent="0.25">
      <c r="C31" s="101"/>
      <c r="D31" s="28"/>
      <c r="E31" s="28"/>
      <c r="F31" s="28"/>
      <c r="G31" s="28"/>
      <c r="I31" s="32"/>
      <c r="BG31" s="4">
        <v>0</v>
      </c>
    </row>
    <row r="32" spans="1:59" s="4" customFormat="1" ht="66.75" customHeight="1" x14ac:dyDescent="0.25">
      <c r="C32" s="124" t="s">
        <v>91</v>
      </c>
      <c r="D32" s="124"/>
      <c r="E32" s="124"/>
      <c r="F32" s="124"/>
      <c r="G32" s="124"/>
      <c r="H32" s="124"/>
      <c r="BG32" s="4">
        <v>0</v>
      </c>
    </row>
    <row r="33" spans="3:59" s="4" customFormat="1" x14ac:dyDescent="0.25">
      <c r="C33" s="91"/>
      <c r="D33"/>
      <c r="BG33" s="4">
        <v>0</v>
      </c>
    </row>
    <row r="34" spans="3:59" s="4" customFormat="1" x14ac:dyDescent="0.25">
      <c r="C34" s="91"/>
      <c r="D34"/>
      <c r="H34" s="32"/>
      <c r="BG34" s="4">
        <v>0</v>
      </c>
    </row>
    <row r="35" spans="3:59" s="4" customFormat="1" x14ac:dyDescent="0.25">
      <c r="C35" s="91"/>
      <c r="D35"/>
      <c r="H35" s="32"/>
      <c r="BG35" s="4">
        <v>0</v>
      </c>
    </row>
    <row r="36" spans="3:59" s="4" customFormat="1" x14ac:dyDescent="0.25">
      <c r="C36" s="91"/>
      <c r="D36" s="92"/>
      <c r="H36" s="32"/>
      <c r="BG36" s="4">
        <v>0</v>
      </c>
    </row>
    <row r="37" spans="3:59" s="4" customFormat="1" x14ac:dyDescent="0.25">
      <c r="C37" s="91"/>
      <c r="D37" s="92"/>
      <c r="H37" s="32"/>
      <c r="BG37" s="4">
        <v>0</v>
      </c>
    </row>
    <row r="38" spans="3:59" s="4" customFormat="1" x14ac:dyDescent="0.25">
      <c r="C38" s="91"/>
      <c r="D38" s="92"/>
      <c r="H38" s="32"/>
      <c r="BG38" s="4">
        <v>0</v>
      </c>
    </row>
    <row r="39" spans="3:59" x14ac:dyDescent="0.25">
      <c r="C39" s="91"/>
      <c r="E39" s="4"/>
      <c r="F39" s="4"/>
      <c r="G39" s="4"/>
      <c r="H39" s="4"/>
      <c r="AF39" s="4"/>
      <c r="BG39" s="4">
        <v>0</v>
      </c>
    </row>
    <row r="40" spans="3:59" x14ac:dyDescent="0.25">
      <c r="C40" s="91"/>
      <c r="E40" s="4"/>
      <c r="F40" s="4"/>
      <c r="G40" s="4"/>
    </row>
    <row r="41" spans="3:59" x14ac:dyDescent="0.25">
      <c r="C41" s="91"/>
    </row>
  </sheetData>
  <mergeCells count="3">
    <mergeCell ref="C3:H3"/>
    <mergeCell ref="C4:E4"/>
    <mergeCell ref="C32:H3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&amp;L&amp;G&amp;R_x000D_&amp;1#&amp;"Aptos"&amp;10&amp;K000000 Documento interno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EE7F584-350C-427A-BEE8-E0519F5452B2}">
          <x14:formula1>
            <xm:f>'estab aut municipio x tip y cat'!$B$8:$B$39</xm:f>
          </x14:formula1>
          <xm:sqref>D1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82f571-e864-4b98-84bd-930f661ed42a">
      <Terms xmlns="http://schemas.microsoft.com/office/infopath/2007/PartnerControls"/>
    </lcf76f155ced4ddcb4097134ff3c332f>
    <TaxCatchAll xmlns="8c9163ab-4d1c-46a7-8d61-b5cee27b745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69C42FB1FA284BA60CDF94DEB4DBF3" ma:contentTypeVersion="19" ma:contentTypeDescription="Crear nuevo documento." ma:contentTypeScope="" ma:versionID="ff8a3df7016eeaaea32c4c9bae7b660d">
  <xsd:schema xmlns:xsd="http://www.w3.org/2001/XMLSchema" xmlns:xs="http://www.w3.org/2001/XMLSchema" xmlns:p="http://schemas.microsoft.com/office/2006/metadata/properties" xmlns:ns2="9b82f571-e864-4b98-84bd-930f661ed42a" xmlns:ns3="8c9163ab-4d1c-46a7-8d61-b5cee27b7450" targetNamespace="http://schemas.microsoft.com/office/2006/metadata/properties" ma:root="true" ma:fieldsID="f153abb99b1b4c5397f3c78dffc41bf6" ns2:_="" ns3:_="">
    <xsd:import namespace="9b82f571-e864-4b98-84bd-930f661ed42a"/>
    <xsd:import namespace="8c9163ab-4d1c-46a7-8d61-b5cee27b7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2f571-e864-4b98-84bd-930f661ed4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3325280-2aef-4f39-8940-b77a215173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163ab-4d1c-46a7-8d61-b5cee27b745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db4f369-2d72-4174-95fe-41f9ef52a544}" ma:internalName="TaxCatchAll" ma:showField="CatchAllData" ma:web="8c9163ab-4d1c-46a7-8d61-b5cee27b74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82D8FD-9C13-48DD-BBF3-98F871321B24}">
  <ds:schemaRefs>
    <ds:schemaRef ds:uri="http://schemas.microsoft.com/office/2006/metadata/properties"/>
    <ds:schemaRef ds:uri="http://schemas.microsoft.com/office/infopath/2007/PartnerControls"/>
    <ds:schemaRef ds:uri="9b82f571-e864-4b98-84bd-930f661ed42a"/>
    <ds:schemaRef ds:uri="8c9163ab-4d1c-46a7-8d61-b5cee27b7450"/>
  </ds:schemaRefs>
</ds:datastoreItem>
</file>

<file path=customXml/itemProps2.xml><?xml version="1.0" encoding="utf-8"?>
<ds:datastoreItem xmlns:ds="http://schemas.openxmlformats.org/officeDocument/2006/customXml" ds:itemID="{F57BA902-FF58-4DFE-911D-654E36FAEF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82f571-e864-4b98-84bd-930f661ed42a"/>
    <ds:schemaRef ds:uri="8c9163ab-4d1c-46a7-8d61-b5cee27b74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8544A5-4572-4A43-9317-CB177CB0C8F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Menú principal</vt:lpstr>
      <vt:lpstr>plazas aut munic cuota aloj</vt:lpstr>
      <vt:lpstr>plazas aut municipio x cat</vt:lpstr>
      <vt:lpstr>Evolucion anual plazas aloj</vt:lpstr>
      <vt:lpstr>plazas aut catg cuota</vt:lpstr>
      <vt:lpstr>estab aut munic cuota aloj</vt:lpstr>
      <vt:lpstr>estab aut municipio x tip y cat</vt:lpstr>
      <vt:lpstr>estab aut catg cuota aloj</vt:lpstr>
      <vt:lpstr>'estab aut catg cuota aloj'!Área_de_impresión</vt:lpstr>
      <vt:lpstr>'estab aut munic cuota aloj'!Área_de_impresión</vt:lpstr>
      <vt:lpstr>'Menú principal'!Área_de_impresión</vt:lpstr>
      <vt:lpstr>'plazas aut catg cuota'!Área_de_impresión</vt:lpstr>
      <vt:lpstr>'plazas aut munic cuota aloj'!Área_de_impresión</vt:lpstr>
      <vt:lpstr>'Menú principal'!Títulos_a_imprimir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Marjorie Pérez García</dc:creator>
  <cp:lastModifiedBy>Marjorie Pérez García</cp:lastModifiedBy>
  <dcterms:created xsi:type="dcterms:W3CDTF">2026-07-13T12:09:33Z</dcterms:created>
  <dcterms:modified xsi:type="dcterms:W3CDTF">2026-07-15T10:11:22Z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cee399-9820-426f-a9dc-8d935479c632_Enabled">
    <vt:lpwstr>true</vt:lpwstr>
  </property>
  <property fmtid="{D5CDD505-2E9C-101B-9397-08002B2CF9AE}" pid="3" name="MSIP_Label_b1cee399-9820-426f-a9dc-8d935479c632_SetDate">
    <vt:lpwstr>2026-07-13T12:11:57Z</vt:lpwstr>
  </property>
  <property fmtid="{D5CDD505-2E9C-101B-9397-08002B2CF9AE}" pid="4" name="MSIP_Label_b1cee399-9820-426f-a9dc-8d935479c632_Method">
    <vt:lpwstr>Standard</vt:lpwstr>
  </property>
  <property fmtid="{D5CDD505-2E9C-101B-9397-08002B2CF9AE}" pid="5" name="MSIP_Label_b1cee399-9820-426f-a9dc-8d935479c632_Name">
    <vt:lpwstr>Interno</vt:lpwstr>
  </property>
  <property fmtid="{D5CDD505-2E9C-101B-9397-08002B2CF9AE}" pid="6" name="MSIP_Label_b1cee399-9820-426f-a9dc-8d935479c632_SiteId">
    <vt:lpwstr>c0807238-6fb1-47c8-ac5c-ed6069bd0d1b</vt:lpwstr>
  </property>
  <property fmtid="{D5CDD505-2E9C-101B-9397-08002B2CF9AE}" pid="7" name="MSIP_Label_b1cee399-9820-426f-a9dc-8d935479c632_ActionId">
    <vt:lpwstr>92302655-a979-4102-8744-faae7eb4ecca</vt:lpwstr>
  </property>
  <property fmtid="{D5CDD505-2E9C-101B-9397-08002B2CF9AE}" pid="8" name="MSIP_Label_b1cee399-9820-426f-a9dc-8d935479c632_ContentBits">
    <vt:lpwstr>2</vt:lpwstr>
  </property>
  <property fmtid="{D5CDD505-2E9C-101B-9397-08002B2CF9AE}" pid="9" name="MSIP_Label_b1cee399-9820-426f-a9dc-8d935479c632_Tag">
    <vt:lpwstr>10, 3, 0, 1</vt:lpwstr>
  </property>
  <property fmtid="{D5CDD505-2E9C-101B-9397-08002B2CF9AE}" pid="10" name="MediaServiceImageTags">
    <vt:lpwstr/>
  </property>
  <property fmtid="{D5CDD505-2E9C-101B-9397-08002B2CF9AE}" pid="11" name="ContentTypeId">
    <vt:lpwstr>0x010100F969C42FB1FA284BA60CDF94DEB4DBF3</vt:lpwstr>
  </property>
</Properties>
</file>