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11.xml" ContentType="application/vnd.openxmlformats-officedocument.drawingml.chartshapes+xml"/>
  <Override PartName="/xl/drawings/drawing3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Plazas y Establecimientos Turísticos/Turismo en cifras-plazas/2025/"/>
    </mc:Choice>
  </mc:AlternateContent>
  <xr:revisionPtr revIDLastSave="0" documentId="8_{0FF2B1EE-10F0-4900-90CF-DEF6DA2BF408}" xr6:coauthVersionLast="47" xr6:coauthVersionMax="47" xr10:uidLastSave="{00000000-0000-0000-0000-000000000000}"/>
  <bookViews>
    <workbookView xWindow="-120" yWindow="-120" windowWidth="29040" windowHeight="15720" xr2:uid="{C32AB738-F129-4913-838E-48D1023F9847}"/>
  </bookViews>
  <sheets>
    <sheet name="Menú principal" sheetId="1" r:id="rId1"/>
    <sheet name="plazas aut munic cuota aloj" sheetId="2" r:id="rId2"/>
    <sheet name="plazas aut municipio x cat" sheetId="3" r:id="rId3"/>
    <sheet name="Evolucion anual plazas aloj" sheetId="4" r:id="rId4"/>
    <sheet name="plazas aut catg cuota" sheetId="5" r:id="rId5"/>
    <sheet name="estab aut munic cuota aloj" sheetId="6" r:id="rId6"/>
    <sheet name="estab aut municipio x tip y cat" sheetId="7" r:id="rId7"/>
    <sheet name="estab aut catg cuota aloj" sheetId="8" r:id="rId8"/>
  </sheets>
  <definedNames>
    <definedName name="_xlnm.Print_Area" localSheetId="7">'estab aut catg cuota aloj'!$C$3:$E$32</definedName>
    <definedName name="_xlnm.Print_Area" localSheetId="5">'estab aut munic cuota aloj'!$B$3:$N$42</definedName>
    <definedName name="_xlnm.Print_Area" localSheetId="3">'Evolucion anual plazas aloj'!#REF!</definedName>
    <definedName name="_xlnm.Print_Area" localSheetId="0">'Menú principal'!$B$2:$D$18</definedName>
    <definedName name="_xlnm.Print_Area" localSheetId="4">'plazas aut catg cuota'!$C$3:$E$32</definedName>
    <definedName name="_xlnm.Print_Area" localSheetId="1">'plazas aut munic cuota aloj'!$B$3:$N$46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  <definedName name="_xlnm.Print_Titles" localSheetId="0">'Menú principal'!$2:$5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BM39" i="7"/>
  <c r="BL39" i="7"/>
  <c r="BK39" i="7"/>
  <c r="BM38" i="7"/>
  <c r="BL38" i="7"/>
  <c r="BK38" i="7"/>
  <c r="BM37" i="7"/>
  <c r="BL37" i="7"/>
  <c r="BK37" i="7"/>
  <c r="BM36" i="7"/>
  <c r="BL36" i="7"/>
  <c r="BK36" i="7"/>
  <c r="BM35" i="7"/>
  <c r="BL35" i="7"/>
  <c r="BK35" i="7"/>
  <c r="BM34" i="7"/>
  <c r="BL34" i="7"/>
  <c r="BK34" i="7"/>
  <c r="BM33" i="7"/>
  <c r="BL33" i="7"/>
  <c r="BK33" i="7"/>
  <c r="BM32" i="7"/>
  <c r="BL32" i="7"/>
  <c r="BK32" i="7"/>
  <c r="BM31" i="7"/>
  <c r="BL31" i="7"/>
  <c r="BK31" i="7"/>
  <c r="BM30" i="7"/>
  <c r="BL30" i="7"/>
  <c r="BK30" i="7"/>
  <c r="BK46" i="7" s="1"/>
  <c r="BM29" i="7"/>
  <c r="BL29" i="7"/>
  <c r="BK29" i="7"/>
  <c r="H29" i="7"/>
  <c r="BM28" i="7"/>
  <c r="BL28" i="7"/>
  <c r="BK28" i="7"/>
  <c r="BM27" i="7"/>
  <c r="BL27" i="7"/>
  <c r="BK27" i="7"/>
  <c r="BM26" i="7"/>
  <c r="BL26" i="7"/>
  <c r="BK26" i="7"/>
  <c r="BM25" i="7"/>
  <c r="BL25" i="7"/>
  <c r="BK25" i="7"/>
  <c r="BM24" i="7"/>
  <c r="BL24" i="7"/>
  <c r="BK24" i="7"/>
  <c r="BM23" i="7"/>
  <c r="BL23" i="7"/>
  <c r="BK23" i="7"/>
  <c r="BM22" i="7"/>
  <c r="BL22" i="7"/>
  <c r="BK22" i="7"/>
  <c r="BK45" i="7" s="1"/>
  <c r="BM21" i="7"/>
  <c r="BL21" i="7"/>
  <c r="BK21" i="7"/>
  <c r="BM20" i="7"/>
  <c r="BL20" i="7"/>
  <c r="BK20" i="7"/>
  <c r="BM19" i="7"/>
  <c r="BL19" i="7"/>
  <c r="BK19" i="7"/>
  <c r="BM18" i="7"/>
  <c r="BL18" i="7"/>
  <c r="BK18" i="7"/>
  <c r="BM17" i="7"/>
  <c r="BL17" i="7"/>
  <c r="BK17" i="7"/>
  <c r="BM16" i="7"/>
  <c r="BL16" i="7"/>
  <c r="BK16" i="7"/>
  <c r="BM15" i="7"/>
  <c r="BL15" i="7"/>
  <c r="BK15" i="7"/>
  <c r="I14" i="6" s="1"/>
  <c r="BM14" i="7"/>
  <c r="BL14" i="7"/>
  <c r="BK14" i="7"/>
  <c r="BM13" i="7"/>
  <c r="BL13" i="7"/>
  <c r="BK13" i="7"/>
  <c r="BM12" i="7"/>
  <c r="BL12" i="7"/>
  <c r="BK12" i="7"/>
  <c r="BM11" i="7"/>
  <c r="BL11" i="7"/>
  <c r="BK11" i="7"/>
  <c r="BM10" i="7"/>
  <c r="BL10" i="7"/>
  <c r="BK10" i="7"/>
  <c r="BM9" i="7"/>
  <c r="BL9" i="7"/>
  <c r="BK9" i="7"/>
  <c r="BM8" i="7"/>
  <c r="H29" i="8" s="1"/>
  <c r="BL8" i="7"/>
  <c r="G29" i="8" s="1"/>
  <c r="I38" i="6"/>
  <c r="B38" i="6"/>
  <c r="I37" i="6"/>
  <c r="B37" i="6"/>
  <c r="I36" i="6"/>
  <c r="B36" i="6"/>
  <c r="I35" i="6"/>
  <c r="B35" i="6"/>
  <c r="I34" i="6"/>
  <c r="B34" i="6"/>
  <c r="I33" i="6"/>
  <c r="B33" i="6"/>
  <c r="I32" i="6"/>
  <c r="B32" i="6"/>
  <c r="I31" i="6"/>
  <c r="B31" i="6"/>
  <c r="I30" i="6"/>
  <c r="B30" i="6"/>
  <c r="I29" i="6"/>
  <c r="H29" i="6"/>
  <c r="B29" i="6"/>
  <c r="B28" i="6"/>
  <c r="I27" i="6"/>
  <c r="B27" i="6"/>
  <c r="I26" i="6"/>
  <c r="B26" i="6"/>
  <c r="I25" i="6"/>
  <c r="B25" i="6"/>
  <c r="I24" i="6"/>
  <c r="B24" i="6"/>
  <c r="I23" i="6"/>
  <c r="B23" i="6"/>
  <c r="I22" i="6"/>
  <c r="B22" i="6"/>
  <c r="I21" i="6"/>
  <c r="B21" i="6"/>
  <c r="I20" i="6"/>
  <c r="B20" i="6"/>
  <c r="I19" i="6"/>
  <c r="B19" i="6"/>
  <c r="I18" i="6"/>
  <c r="B18" i="6"/>
  <c r="I17" i="6"/>
  <c r="B17" i="6"/>
  <c r="I16" i="6"/>
  <c r="B16" i="6"/>
  <c r="I15" i="6"/>
  <c r="B15" i="6"/>
  <c r="B14" i="6"/>
  <c r="I13" i="6"/>
  <c r="B13" i="6"/>
  <c r="B12" i="6"/>
  <c r="I11" i="6"/>
  <c r="B11" i="6"/>
  <c r="I10" i="6"/>
  <c r="B10" i="6"/>
  <c r="I9" i="6"/>
  <c r="B9" i="6"/>
  <c r="I8" i="6"/>
  <c r="B8" i="6"/>
  <c r="E6" i="6"/>
  <c r="G6" i="6" s="1"/>
  <c r="C3" i="5"/>
  <c r="H30" i="4"/>
  <c r="BK47" i="3"/>
  <c r="BM39" i="3"/>
  <c r="BL39" i="3"/>
  <c r="BK39" i="3"/>
  <c r="BM38" i="3"/>
  <c r="BL38" i="3"/>
  <c r="BK38" i="3"/>
  <c r="BM37" i="3"/>
  <c r="BL37" i="3"/>
  <c r="BK37" i="3"/>
  <c r="BM36" i="3"/>
  <c r="BL36" i="3"/>
  <c r="BK36" i="3"/>
  <c r="BM35" i="3"/>
  <c r="BL35" i="3"/>
  <c r="BK35" i="3"/>
  <c r="BM34" i="3"/>
  <c r="BL34" i="3"/>
  <c r="BK34" i="3"/>
  <c r="BM33" i="3"/>
  <c r="BL33" i="3"/>
  <c r="BK33" i="3"/>
  <c r="BM32" i="3"/>
  <c r="BL32" i="3"/>
  <c r="BK32" i="3"/>
  <c r="I31" i="2" s="1"/>
  <c r="BM31" i="3"/>
  <c r="BL31" i="3"/>
  <c r="BK31" i="3"/>
  <c r="BM30" i="3"/>
  <c r="BL30" i="3"/>
  <c r="BK30" i="3"/>
  <c r="BM29" i="3"/>
  <c r="BL29" i="3"/>
  <c r="BK29" i="3"/>
  <c r="H29" i="3"/>
  <c r="BM28" i="3"/>
  <c r="BL28" i="3"/>
  <c r="BK28" i="3"/>
  <c r="BM27" i="3"/>
  <c r="BL27" i="3"/>
  <c r="BK27" i="3"/>
  <c r="BM26" i="3"/>
  <c r="BL26" i="3"/>
  <c r="BK26" i="3"/>
  <c r="BM25" i="3"/>
  <c r="BL25" i="3"/>
  <c r="BK25" i="3"/>
  <c r="BM24" i="3"/>
  <c r="BL24" i="3"/>
  <c r="BK24" i="3"/>
  <c r="BM23" i="3"/>
  <c r="BL23" i="3"/>
  <c r="BK23" i="3"/>
  <c r="BM22" i="3"/>
  <c r="BL22" i="3"/>
  <c r="BK22" i="3"/>
  <c r="BK46" i="3" s="1"/>
  <c r="BM21" i="3"/>
  <c r="BL21" i="3"/>
  <c r="BK21" i="3"/>
  <c r="BM20" i="3"/>
  <c r="BL20" i="3"/>
  <c r="BK20" i="3"/>
  <c r="BM19" i="3"/>
  <c r="BL19" i="3"/>
  <c r="BK19" i="3"/>
  <c r="BM18" i="3"/>
  <c r="BL18" i="3"/>
  <c r="BK18" i="3"/>
  <c r="BM17" i="3"/>
  <c r="BL17" i="3"/>
  <c r="BK17" i="3"/>
  <c r="BM16" i="3"/>
  <c r="BL16" i="3"/>
  <c r="BK16" i="3"/>
  <c r="BM15" i="3"/>
  <c r="BL15" i="3"/>
  <c r="BK15" i="3"/>
  <c r="BM14" i="3"/>
  <c r="BL14" i="3"/>
  <c r="BK14" i="3"/>
  <c r="I13" i="2" s="1"/>
  <c r="BM13" i="3"/>
  <c r="BL13" i="3"/>
  <c r="BK13" i="3"/>
  <c r="BK45" i="3" s="1"/>
  <c r="BM12" i="3"/>
  <c r="BL12" i="3"/>
  <c r="BK12" i="3"/>
  <c r="BM11" i="3"/>
  <c r="BL11" i="3"/>
  <c r="BK11" i="3"/>
  <c r="BM10" i="3"/>
  <c r="BL10" i="3"/>
  <c r="BK10" i="3"/>
  <c r="BM9" i="3"/>
  <c r="BL9" i="3"/>
  <c r="BK9" i="3"/>
  <c r="BK44" i="3" s="1"/>
  <c r="BM8" i="3"/>
  <c r="H29" i="5" s="1"/>
  <c r="BL8" i="3"/>
  <c r="G29" i="5" s="1"/>
  <c r="I38" i="2"/>
  <c r="I37" i="2"/>
  <c r="I36" i="2"/>
  <c r="I35" i="2"/>
  <c r="I34" i="2"/>
  <c r="I33" i="2"/>
  <c r="I32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2" i="2"/>
  <c r="I11" i="2"/>
  <c r="I10" i="2"/>
  <c r="I9" i="2"/>
  <c r="M6" i="2"/>
  <c r="G6" i="2"/>
  <c r="K6" i="2" s="1"/>
  <c r="E6" i="2"/>
  <c r="H1" i="2"/>
  <c r="AJ45" i="3" l="1"/>
  <c r="C13" i="2"/>
  <c r="D12" i="5"/>
  <c r="D27" i="5"/>
  <c r="H6" i="4"/>
  <c r="H14" i="5"/>
  <c r="M45" i="2"/>
  <c r="M46" i="2"/>
  <c r="C34" i="2"/>
  <c r="G17" i="5"/>
  <c r="D20" i="3"/>
  <c r="C18" i="2"/>
  <c r="C26" i="2"/>
  <c r="D20" i="5"/>
  <c r="X44" i="3"/>
  <c r="C10" i="2"/>
  <c r="H22" i="5"/>
  <c r="BH45" i="3"/>
  <c r="R47" i="3"/>
  <c r="D14" i="3"/>
  <c r="G25" i="5"/>
  <c r="AJ46" i="3"/>
  <c r="G43" i="2"/>
  <c r="G7" i="2"/>
  <c r="H32" i="2" s="1"/>
  <c r="H8" i="2"/>
  <c r="C37" i="2"/>
  <c r="AV44" i="3"/>
  <c r="L45" i="3"/>
  <c r="K44" i="2"/>
  <c r="C21" i="2"/>
  <c r="E45" i="2"/>
  <c r="C29" i="2"/>
  <c r="E46" i="2"/>
  <c r="G9" i="5"/>
  <c r="C11" i="3"/>
  <c r="D9" i="5"/>
  <c r="H11" i="5"/>
  <c r="G14" i="5"/>
  <c r="D17" i="5"/>
  <c r="H19" i="5"/>
  <c r="G22" i="5"/>
  <c r="D25" i="5"/>
  <c r="H26" i="5"/>
  <c r="D9" i="3"/>
  <c r="O44" i="3"/>
  <c r="AM44" i="3"/>
  <c r="AA45" i="3"/>
  <c r="AY45" i="3"/>
  <c r="C14" i="3"/>
  <c r="E14" i="3" s="1"/>
  <c r="D17" i="3"/>
  <c r="D18" i="3"/>
  <c r="C20" i="3"/>
  <c r="E20" i="3" s="1"/>
  <c r="G22" i="6"/>
  <c r="H22" i="6" s="1"/>
  <c r="H13" i="2"/>
  <c r="C15" i="2"/>
  <c r="G45" i="2"/>
  <c r="H21" i="2"/>
  <c r="C23" i="2"/>
  <c r="G46" i="2"/>
  <c r="H29" i="2"/>
  <c r="C31" i="2"/>
  <c r="H37" i="2"/>
  <c r="D6" i="4"/>
  <c r="D7" i="5"/>
  <c r="H9" i="5"/>
  <c r="G12" i="5"/>
  <c r="D15" i="5"/>
  <c r="H17" i="5"/>
  <c r="G20" i="5"/>
  <c r="D23" i="5"/>
  <c r="H25" i="5"/>
  <c r="G27" i="5"/>
  <c r="I44" i="3"/>
  <c r="AG44" i="3"/>
  <c r="BE44" i="3"/>
  <c r="D11" i="3"/>
  <c r="U45" i="3"/>
  <c r="AS45" i="3"/>
  <c r="BQ45" i="3"/>
  <c r="C16" i="3"/>
  <c r="D10" i="8"/>
  <c r="H10" i="2"/>
  <c r="E44" i="2"/>
  <c r="C12" i="2"/>
  <c r="M44" i="2"/>
  <c r="L14" i="2"/>
  <c r="H18" i="2"/>
  <c r="C20" i="2"/>
  <c r="H26" i="2"/>
  <c r="C28" i="2"/>
  <c r="H34" i="2"/>
  <c r="C36" i="2"/>
  <c r="G7" i="5"/>
  <c r="D8" i="3"/>
  <c r="G30" i="5" s="1"/>
  <c r="D10" i="5"/>
  <c r="H12" i="5"/>
  <c r="G15" i="5"/>
  <c r="D18" i="5"/>
  <c r="H20" i="5"/>
  <c r="G23" i="5"/>
  <c r="H27" i="5"/>
  <c r="R44" i="3"/>
  <c r="AP44" i="3"/>
  <c r="BN44" i="3"/>
  <c r="F45" i="3"/>
  <c r="C13" i="3"/>
  <c r="AD45" i="3"/>
  <c r="BB45" i="3"/>
  <c r="D16" i="3"/>
  <c r="L46" i="3"/>
  <c r="BN43" i="7"/>
  <c r="K8" i="6"/>
  <c r="C9" i="2"/>
  <c r="L11" i="2"/>
  <c r="H15" i="2"/>
  <c r="C17" i="2"/>
  <c r="H23" i="2"/>
  <c r="C25" i="2"/>
  <c r="H31" i="2"/>
  <c r="C33" i="2"/>
  <c r="H7" i="5"/>
  <c r="G10" i="5"/>
  <c r="D13" i="5"/>
  <c r="H15" i="5"/>
  <c r="G18" i="5"/>
  <c r="D21" i="5"/>
  <c r="H23" i="5"/>
  <c r="AA44" i="3"/>
  <c r="AY44" i="3"/>
  <c r="C10" i="3"/>
  <c r="D13" i="3"/>
  <c r="O45" i="3"/>
  <c r="AM45" i="3"/>
  <c r="AY46" i="3"/>
  <c r="K7" i="2"/>
  <c r="L7" i="2" s="1"/>
  <c r="K43" i="2"/>
  <c r="H12" i="2"/>
  <c r="G44" i="2"/>
  <c r="C14" i="2"/>
  <c r="H20" i="2"/>
  <c r="F22" i="2"/>
  <c r="C22" i="2"/>
  <c r="H28" i="2"/>
  <c r="C30" i="2"/>
  <c r="L32" i="2"/>
  <c r="H36" i="2"/>
  <c r="C38" i="2"/>
  <c r="D8" i="5"/>
  <c r="H10" i="5"/>
  <c r="G13" i="5"/>
  <c r="D16" i="5"/>
  <c r="E6" i="4"/>
  <c r="H18" i="5"/>
  <c r="G21" i="5"/>
  <c r="D24" i="5"/>
  <c r="L44" i="3"/>
  <c r="AJ44" i="3"/>
  <c r="BH44" i="3"/>
  <c r="D10" i="3"/>
  <c r="X45" i="3"/>
  <c r="AV45" i="3"/>
  <c r="C15" i="3"/>
  <c r="E15" i="3" s="1"/>
  <c r="C23" i="3"/>
  <c r="C29" i="3"/>
  <c r="H9" i="2"/>
  <c r="F11" i="2"/>
  <c r="C11" i="2"/>
  <c r="L13" i="2"/>
  <c r="H17" i="2"/>
  <c r="C19" i="2"/>
  <c r="K45" i="2"/>
  <c r="L21" i="2"/>
  <c r="H25" i="2"/>
  <c r="F27" i="2"/>
  <c r="C27" i="2"/>
  <c r="K46" i="2"/>
  <c r="H33" i="2"/>
  <c r="C35" i="2"/>
  <c r="N35" i="2"/>
  <c r="G8" i="5"/>
  <c r="D11" i="5"/>
  <c r="H13" i="5"/>
  <c r="G16" i="5"/>
  <c r="D19" i="5"/>
  <c r="H21" i="5"/>
  <c r="G24" i="5"/>
  <c r="D26" i="5"/>
  <c r="G6" i="4"/>
  <c r="U44" i="3"/>
  <c r="AS44" i="3"/>
  <c r="BQ44" i="3"/>
  <c r="C12" i="3"/>
  <c r="I45" i="3"/>
  <c r="AG45" i="3"/>
  <c r="BE45" i="3"/>
  <c r="D15" i="3"/>
  <c r="AA46" i="3"/>
  <c r="D23" i="3"/>
  <c r="D29" i="3"/>
  <c r="I43" i="7"/>
  <c r="E43" i="2"/>
  <c r="E7" i="2"/>
  <c r="F34" i="2" s="1"/>
  <c r="F8" i="2"/>
  <c r="M43" i="2"/>
  <c r="M7" i="2"/>
  <c r="N7" i="2" s="1"/>
  <c r="N8" i="2"/>
  <c r="L10" i="2"/>
  <c r="H14" i="2"/>
  <c r="C16" i="2"/>
  <c r="F16" i="2"/>
  <c r="L18" i="2"/>
  <c r="H22" i="2"/>
  <c r="C24" i="2"/>
  <c r="F24" i="2"/>
  <c r="L26" i="2"/>
  <c r="H30" i="2"/>
  <c r="C32" i="2"/>
  <c r="F32" i="2"/>
  <c r="N32" i="2"/>
  <c r="L34" i="2"/>
  <c r="H38" i="2"/>
  <c r="H8" i="5"/>
  <c r="G11" i="5"/>
  <c r="D14" i="5"/>
  <c r="H16" i="5"/>
  <c r="G19" i="5"/>
  <c r="D22" i="5"/>
  <c r="H24" i="5"/>
  <c r="G26" i="5"/>
  <c r="F44" i="3"/>
  <c r="C9" i="3"/>
  <c r="AD44" i="3"/>
  <c r="BB44" i="3"/>
  <c r="D12" i="3"/>
  <c r="R45" i="3"/>
  <c r="AP45" i="3"/>
  <c r="BN45" i="3"/>
  <c r="C17" i="3"/>
  <c r="E17" i="3" s="1"/>
  <c r="BH46" i="3"/>
  <c r="U46" i="3"/>
  <c r="AS46" i="3"/>
  <c r="BQ46" i="3"/>
  <c r="D27" i="3"/>
  <c r="X47" i="3"/>
  <c r="AP47" i="3"/>
  <c r="H17" i="8"/>
  <c r="AA43" i="7"/>
  <c r="O44" i="7"/>
  <c r="F46" i="3"/>
  <c r="C22" i="3"/>
  <c r="AD46" i="3"/>
  <c r="BB46" i="3"/>
  <c r="AV47" i="3"/>
  <c r="C32" i="3"/>
  <c r="C34" i="3"/>
  <c r="G23" i="8"/>
  <c r="C12" i="7"/>
  <c r="E11" i="6"/>
  <c r="C19" i="3"/>
  <c r="D22" i="3"/>
  <c r="O46" i="3"/>
  <c r="AM46" i="3"/>
  <c r="BN47" i="3"/>
  <c r="D32" i="3"/>
  <c r="C8" i="4"/>
  <c r="H23" i="8"/>
  <c r="D19" i="3"/>
  <c r="X46" i="3"/>
  <c r="AV46" i="3"/>
  <c r="I47" i="3"/>
  <c r="C21" i="3"/>
  <c r="I46" i="3"/>
  <c r="AG46" i="3"/>
  <c r="BE46" i="3"/>
  <c r="C24" i="3"/>
  <c r="C26" i="3"/>
  <c r="E26" i="3" s="1"/>
  <c r="AG47" i="3"/>
  <c r="C37" i="3"/>
  <c r="C18" i="3"/>
  <c r="E18" i="3" s="1"/>
  <c r="D21" i="3"/>
  <c r="R46" i="3"/>
  <c r="AP46" i="3"/>
  <c r="BN46" i="3"/>
  <c r="D24" i="3"/>
  <c r="BE47" i="3"/>
  <c r="D35" i="3"/>
  <c r="D37" i="3"/>
  <c r="C10" i="4"/>
  <c r="H9" i="8"/>
  <c r="D26" i="3"/>
  <c r="AA47" i="3"/>
  <c r="AY47" i="3"/>
  <c r="C31" i="3"/>
  <c r="D34" i="3"/>
  <c r="C39" i="3"/>
  <c r="C11" i="4"/>
  <c r="G10" i="8"/>
  <c r="D18" i="8"/>
  <c r="AG43" i="7"/>
  <c r="G8" i="6"/>
  <c r="H8" i="6" s="1"/>
  <c r="AY43" i="7"/>
  <c r="AD44" i="7"/>
  <c r="C28" i="3"/>
  <c r="L47" i="3"/>
  <c r="AJ47" i="3"/>
  <c r="BH47" i="3"/>
  <c r="D31" i="3"/>
  <c r="C36" i="3"/>
  <c r="D39" i="3"/>
  <c r="G12" i="8"/>
  <c r="G18" i="8"/>
  <c r="BE43" i="7"/>
  <c r="K16" i="6"/>
  <c r="C25" i="3"/>
  <c r="E25" i="3" s="1"/>
  <c r="D28" i="3"/>
  <c r="H28" i="3" s="1"/>
  <c r="U47" i="3"/>
  <c r="AS47" i="3"/>
  <c r="BQ47" i="3"/>
  <c r="C33" i="3"/>
  <c r="E33" i="3" s="1"/>
  <c r="D36" i="3"/>
  <c r="H12" i="8"/>
  <c r="G20" i="8"/>
  <c r="M11" i="6"/>
  <c r="BB45" i="7"/>
  <c r="D25" i="3"/>
  <c r="F47" i="3"/>
  <c r="C30" i="3"/>
  <c r="AD47" i="3"/>
  <c r="BB47" i="3"/>
  <c r="D33" i="3"/>
  <c r="C38" i="3"/>
  <c r="D7" i="8"/>
  <c r="C8" i="7"/>
  <c r="D13" i="8"/>
  <c r="H20" i="8"/>
  <c r="R43" i="7"/>
  <c r="C10" i="7"/>
  <c r="E9" i="6"/>
  <c r="C27" i="3"/>
  <c r="E27" i="3" s="1"/>
  <c r="D30" i="3"/>
  <c r="O47" i="3"/>
  <c r="AM47" i="3"/>
  <c r="C35" i="3"/>
  <c r="E35" i="3" s="1"/>
  <c r="D38" i="3"/>
  <c r="H7" i="6"/>
  <c r="G7" i="8"/>
  <c r="D8" i="7"/>
  <c r="G30" i="8" s="1"/>
  <c r="D15" i="8"/>
  <c r="D21" i="8"/>
  <c r="G27" i="8"/>
  <c r="AP43" i="7"/>
  <c r="L44" i="7"/>
  <c r="G13" i="6"/>
  <c r="H13" i="6" s="1"/>
  <c r="D23" i="8"/>
  <c r="H27" i="8"/>
  <c r="M9" i="6"/>
  <c r="D8" i="8"/>
  <c r="H10" i="8"/>
  <c r="G13" i="8"/>
  <c r="D16" i="8"/>
  <c r="H18" i="8"/>
  <c r="G21" i="8"/>
  <c r="D24" i="8"/>
  <c r="L43" i="7"/>
  <c r="AJ43" i="7"/>
  <c r="BH43" i="7"/>
  <c r="K10" i="6"/>
  <c r="AV44" i="7"/>
  <c r="C29" i="7"/>
  <c r="E28" i="6"/>
  <c r="H29" i="4"/>
  <c r="G8" i="8"/>
  <c r="D11" i="8"/>
  <c r="H13" i="8"/>
  <c r="G16" i="8"/>
  <c r="D19" i="8"/>
  <c r="H21" i="8"/>
  <c r="G24" i="8"/>
  <c r="D26" i="8"/>
  <c r="U43" i="7"/>
  <c r="AS43" i="7"/>
  <c r="BQ43" i="7"/>
  <c r="M8" i="6"/>
  <c r="F44" i="7"/>
  <c r="C13" i="7"/>
  <c r="E12" i="6"/>
  <c r="AG44" i="7"/>
  <c r="G12" i="6"/>
  <c r="H12" i="6" s="1"/>
  <c r="M14" i="6"/>
  <c r="M16" i="6"/>
  <c r="G18" i="6"/>
  <c r="H18" i="6" s="1"/>
  <c r="F45" i="7"/>
  <c r="C22" i="7"/>
  <c r="E21" i="6"/>
  <c r="C7" i="4"/>
  <c r="H8" i="8"/>
  <c r="G11" i="8"/>
  <c r="D14" i="8"/>
  <c r="H16" i="8"/>
  <c r="G19" i="8"/>
  <c r="D22" i="8"/>
  <c r="H24" i="8"/>
  <c r="G26" i="8"/>
  <c r="F43" i="7"/>
  <c r="E8" i="6"/>
  <c r="C9" i="7"/>
  <c r="AD43" i="7"/>
  <c r="BB43" i="7"/>
  <c r="G9" i="6"/>
  <c r="H9" i="6" s="1"/>
  <c r="M10" i="6"/>
  <c r="BB44" i="7"/>
  <c r="AV46" i="7"/>
  <c r="D9" i="8"/>
  <c r="H11" i="8"/>
  <c r="G14" i="8"/>
  <c r="D17" i="8"/>
  <c r="H19" i="8"/>
  <c r="G22" i="8"/>
  <c r="D25" i="8"/>
  <c r="H26" i="8"/>
  <c r="O43" i="7"/>
  <c r="AM43" i="7"/>
  <c r="K9" i="6"/>
  <c r="G11" i="6"/>
  <c r="H11" i="6" s="1"/>
  <c r="AM44" i="7"/>
  <c r="K15" i="6"/>
  <c r="C18" i="7"/>
  <c r="E17" i="6"/>
  <c r="C9" i="4"/>
  <c r="G9" i="8"/>
  <c r="D12" i="8"/>
  <c r="H14" i="8"/>
  <c r="G17" i="8"/>
  <c r="D20" i="8"/>
  <c r="H22" i="8"/>
  <c r="D27" i="8"/>
  <c r="X43" i="7"/>
  <c r="AV43" i="7"/>
  <c r="C11" i="7"/>
  <c r="E10" i="6"/>
  <c r="G10" i="6"/>
  <c r="H10" i="6" s="1"/>
  <c r="I44" i="7"/>
  <c r="X44" i="7"/>
  <c r="BE44" i="7"/>
  <c r="K13" i="6"/>
  <c r="M17" i="6"/>
  <c r="AG45" i="7"/>
  <c r="G21" i="6"/>
  <c r="H21" i="6" s="1"/>
  <c r="C15" i="7"/>
  <c r="E14" i="6"/>
  <c r="G15" i="6"/>
  <c r="H15" i="6" s="1"/>
  <c r="K18" i="6"/>
  <c r="AM45" i="7"/>
  <c r="G24" i="6"/>
  <c r="H24" i="6" s="1"/>
  <c r="K25" i="6"/>
  <c r="X46" i="7"/>
  <c r="E19" i="6"/>
  <c r="C20" i="7"/>
  <c r="X45" i="7"/>
  <c r="C24" i="7"/>
  <c r="E23" i="6"/>
  <c r="G34" i="6"/>
  <c r="H34" i="6" s="1"/>
  <c r="R44" i="7"/>
  <c r="AP44" i="7"/>
  <c r="BN44" i="7"/>
  <c r="K12" i="6"/>
  <c r="M13" i="6"/>
  <c r="E16" i="6"/>
  <c r="C17" i="7"/>
  <c r="G17" i="6"/>
  <c r="H17" i="6" s="1"/>
  <c r="I45" i="7"/>
  <c r="BE45" i="7"/>
  <c r="M28" i="6"/>
  <c r="AA44" i="7"/>
  <c r="AY44" i="7"/>
  <c r="C14" i="7"/>
  <c r="E13" i="6"/>
  <c r="G14" i="6"/>
  <c r="H14" i="6" s="1"/>
  <c r="K17" i="6"/>
  <c r="M18" i="6"/>
  <c r="K19" i="6"/>
  <c r="C21" i="7"/>
  <c r="E20" i="6"/>
  <c r="AD45" i="7"/>
  <c r="M23" i="6"/>
  <c r="AG46" i="7"/>
  <c r="G29" i="6"/>
  <c r="AJ44" i="7"/>
  <c r="BH44" i="7"/>
  <c r="K14" i="6"/>
  <c r="M15" i="6"/>
  <c r="C19" i="7"/>
  <c r="E18" i="6"/>
  <c r="G19" i="6"/>
  <c r="H19" i="6" s="1"/>
  <c r="O45" i="7"/>
  <c r="C27" i="7"/>
  <c r="E26" i="6"/>
  <c r="K27" i="6"/>
  <c r="K11" i="6"/>
  <c r="U44" i="7"/>
  <c r="AS44" i="7"/>
  <c r="BQ44" i="7"/>
  <c r="M12" i="6"/>
  <c r="C16" i="7"/>
  <c r="E15" i="6"/>
  <c r="G16" i="6"/>
  <c r="H16" i="6" s="1"/>
  <c r="M20" i="6"/>
  <c r="AV45" i="7"/>
  <c r="K22" i="6"/>
  <c r="I46" i="7"/>
  <c r="BQ46" i="7"/>
  <c r="M29" i="6"/>
  <c r="K24" i="6"/>
  <c r="M25" i="6"/>
  <c r="R46" i="7"/>
  <c r="AP46" i="7"/>
  <c r="C34" i="7"/>
  <c r="E33" i="6"/>
  <c r="C37" i="7"/>
  <c r="E36" i="6"/>
  <c r="R45" i="7"/>
  <c r="AP45" i="7"/>
  <c r="BN45" i="7"/>
  <c r="K21" i="6"/>
  <c r="M22" i="6"/>
  <c r="C26" i="7"/>
  <c r="E25" i="6"/>
  <c r="G26" i="6"/>
  <c r="H26" i="6" s="1"/>
  <c r="M27" i="6"/>
  <c r="AA46" i="7"/>
  <c r="AY46" i="7"/>
  <c r="M31" i="6"/>
  <c r="G35" i="6"/>
  <c r="H35" i="6" s="1"/>
  <c r="M19" i="6"/>
  <c r="AA45" i="7"/>
  <c r="AY45" i="7"/>
  <c r="C23" i="7"/>
  <c r="E22" i="6"/>
  <c r="G23" i="6"/>
  <c r="H23" i="6" s="1"/>
  <c r="K26" i="6"/>
  <c r="G28" i="6"/>
  <c r="L46" i="7"/>
  <c r="AJ46" i="7"/>
  <c r="K30" i="6"/>
  <c r="M33" i="6"/>
  <c r="G37" i="6"/>
  <c r="H37" i="6" s="1"/>
  <c r="M38" i="6"/>
  <c r="G20" i="6"/>
  <c r="H20" i="6" s="1"/>
  <c r="L45" i="7"/>
  <c r="AJ45" i="7"/>
  <c r="BH45" i="7"/>
  <c r="K23" i="6"/>
  <c r="M24" i="6"/>
  <c r="C28" i="7"/>
  <c r="E27" i="6"/>
  <c r="K28" i="6"/>
  <c r="U46" i="7"/>
  <c r="AS46" i="7"/>
  <c r="C31" i="7"/>
  <c r="E30" i="6"/>
  <c r="K20" i="6"/>
  <c r="U45" i="7"/>
  <c r="AS45" i="7"/>
  <c r="BQ45" i="7"/>
  <c r="M21" i="6"/>
  <c r="C25" i="7"/>
  <c r="E24" i="6"/>
  <c r="G25" i="6"/>
  <c r="H25" i="6" s="1"/>
  <c r="F46" i="7"/>
  <c r="C30" i="7"/>
  <c r="E29" i="6"/>
  <c r="AD46" i="7"/>
  <c r="BN46" i="7"/>
  <c r="K29" i="6"/>
  <c r="M30" i="6"/>
  <c r="K32" i="6"/>
  <c r="C35" i="7"/>
  <c r="E34" i="6"/>
  <c r="M26" i="6"/>
  <c r="G27" i="6"/>
  <c r="H27" i="6" s="1"/>
  <c r="O46" i="7"/>
  <c r="AM46" i="7"/>
  <c r="BE46" i="7"/>
  <c r="K37" i="6"/>
  <c r="G31" i="6"/>
  <c r="H31" i="6" s="1"/>
  <c r="K34" i="6"/>
  <c r="M35" i="6"/>
  <c r="C39" i="7"/>
  <c r="E38" i="6"/>
  <c r="BH46" i="7"/>
  <c r="K31" i="6"/>
  <c r="M32" i="6"/>
  <c r="E35" i="6"/>
  <c r="C36" i="7"/>
  <c r="G36" i="6"/>
  <c r="H36" i="6" s="1"/>
  <c r="C33" i="7"/>
  <c r="E32" i="6"/>
  <c r="G33" i="6"/>
  <c r="H33" i="6" s="1"/>
  <c r="K36" i="6"/>
  <c r="M37" i="6"/>
  <c r="BB46" i="7"/>
  <c r="G30" i="6"/>
  <c r="H30" i="6" s="1"/>
  <c r="K33" i="6"/>
  <c r="M34" i="6"/>
  <c r="C38" i="7"/>
  <c r="E37" i="6"/>
  <c r="G38" i="6"/>
  <c r="H38" i="6" s="1"/>
  <c r="K38" i="6"/>
  <c r="C32" i="7"/>
  <c r="E31" i="6"/>
  <c r="G32" i="6"/>
  <c r="H32" i="6" s="1"/>
  <c r="K35" i="6"/>
  <c r="M36" i="6"/>
  <c r="I8" i="2"/>
  <c r="C8" i="2" s="1"/>
  <c r="BK8" i="3"/>
  <c r="K6" i="6"/>
  <c r="M6" i="6" s="1"/>
  <c r="I6" i="6"/>
  <c r="BK44" i="7"/>
  <c r="I12" i="6"/>
  <c r="BK8" i="7"/>
  <c r="BK43" i="7"/>
  <c r="D31" i="7" l="1"/>
  <c r="G25" i="8"/>
  <c r="D25" i="7"/>
  <c r="D28" i="7"/>
  <c r="H28" i="7" s="1"/>
  <c r="D27" i="7"/>
  <c r="D11" i="7"/>
  <c r="D18" i="7"/>
  <c r="C23" i="4"/>
  <c r="C14" i="4"/>
  <c r="D35" i="7"/>
  <c r="C33" i="4"/>
  <c r="C26" i="4"/>
  <c r="D33" i="7"/>
  <c r="D36" i="7"/>
  <c r="D14" i="7"/>
  <c r="D22" i="7"/>
  <c r="E22" i="7" s="1"/>
  <c r="C30" i="4"/>
  <c r="D29" i="7"/>
  <c r="H15" i="8"/>
  <c r="C21" i="4"/>
  <c r="H7" i="8"/>
  <c r="H7" i="2"/>
  <c r="C17" i="4"/>
  <c r="C32" i="4"/>
  <c r="C16" i="4"/>
  <c r="G15" i="8"/>
  <c r="D39" i="7"/>
  <c r="D17" i="7"/>
  <c r="D15" i="7"/>
  <c r="H25" i="8"/>
  <c r="D13" i="7"/>
  <c r="D10" i="7"/>
  <c r="E10" i="7" s="1"/>
  <c r="C18" i="4"/>
  <c r="C12" i="4"/>
  <c r="C25" i="4"/>
  <c r="C27" i="4"/>
  <c r="D12" i="7"/>
  <c r="D32" i="7"/>
  <c r="D34" i="7"/>
  <c r="D9" i="7"/>
  <c r="D16" i="7"/>
  <c r="D21" i="7"/>
  <c r="E21" i="7" s="1"/>
  <c r="C31" i="4"/>
  <c r="D23" i="7"/>
  <c r="D19" i="7"/>
  <c r="E19" i="7" s="1"/>
  <c r="D24" i="7"/>
  <c r="D20" i="7"/>
  <c r="C29" i="4"/>
  <c r="C22" i="4"/>
  <c r="C13" i="4"/>
  <c r="C24" i="4"/>
  <c r="D38" i="7"/>
  <c r="D30" i="7"/>
  <c r="D26" i="7"/>
  <c r="D37" i="7"/>
  <c r="C34" i="4"/>
  <c r="C28" i="4"/>
  <c r="C15" i="4"/>
  <c r="C20" i="4"/>
  <c r="C19" i="4"/>
  <c r="C43" i="2"/>
  <c r="C18" i="6"/>
  <c r="D18" i="6" s="1"/>
  <c r="C20" i="6"/>
  <c r="E31" i="7"/>
  <c r="C30" i="6"/>
  <c r="E16" i="7"/>
  <c r="C15" i="6"/>
  <c r="E14" i="7"/>
  <c r="C13" i="6"/>
  <c r="E24" i="7"/>
  <c r="C23" i="6"/>
  <c r="N17" i="6"/>
  <c r="F21" i="8"/>
  <c r="E38" i="3"/>
  <c r="E37" i="3"/>
  <c r="E19" i="3"/>
  <c r="E34" i="3"/>
  <c r="N16" i="2"/>
  <c r="N27" i="2"/>
  <c r="F19" i="2"/>
  <c r="E29" i="3"/>
  <c r="F30" i="2"/>
  <c r="N14" i="2"/>
  <c r="L19" i="2"/>
  <c r="F9" i="2"/>
  <c r="C45" i="3"/>
  <c r="E13" i="3"/>
  <c r="L22" i="2"/>
  <c r="C44" i="2"/>
  <c r="D12" i="2"/>
  <c r="L25" i="2"/>
  <c r="H19" i="2"/>
  <c r="D37" i="2"/>
  <c r="H43" i="2"/>
  <c r="F26" i="2"/>
  <c r="D29" i="8"/>
  <c r="I7" i="6"/>
  <c r="D29" i="5"/>
  <c r="F6" i="4"/>
  <c r="I7" i="2"/>
  <c r="E35" i="7"/>
  <c r="C34" i="6"/>
  <c r="D34" i="6" s="1"/>
  <c r="E25" i="7"/>
  <c r="C24" i="6"/>
  <c r="E37" i="7"/>
  <c r="C36" i="6"/>
  <c r="D36" i="6" s="1"/>
  <c r="C16" i="6"/>
  <c r="E17" i="7"/>
  <c r="E18" i="7"/>
  <c r="C17" i="6"/>
  <c r="F22" i="8"/>
  <c r="E39" i="3"/>
  <c r="E32" i="3"/>
  <c r="F7" i="2"/>
  <c r="C7" i="2"/>
  <c r="D7" i="2" s="1"/>
  <c r="L37" i="2"/>
  <c r="E23" i="3"/>
  <c r="F24" i="5"/>
  <c r="N38" i="2"/>
  <c r="F33" i="2"/>
  <c r="N17" i="2"/>
  <c r="K7" i="6"/>
  <c r="L7" i="6" s="1"/>
  <c r="L8" i="6"/>
  <c r="F36" i="2"/>
  <c r="N20" i="2"/>
  <c r="F12" i="2"/>
  <c r="N23" i="2"/>
  <c r="F15" i="2"/>
  <c r="F29" i="2"/>
  <c r="L12" i="2"/>
  <c r="H35" i="2"/>
  <c r="H24" i="2"/>
  <c r="D26" i="2"/>
  <c r="D34" i="2"/>
  <c r="L23" i="6"/>
  <c r="C43" i="7"/>
  <c r="E9" i="7"/>
  <c r="C8" i="6"/>
  <c r="D30" i="8"/>
  <c r="E30" i="8" s="1"/>
  <c r="E8" i="7"/>
  <c r="H30" i="8" s="1"/>
  <c r="C7" i="6"/>
  <c r="D7" i="6" s="1"/>
  <c r="C44" i="3"/>
  <c r="E9" i="3"/>
  <c r="D16" i="2"/>
  <c r="F43" i="2"/>
  <c r="D38" i="2"/>
  <c r="L24" i="2"/>
  <c r="F14" i="2"/>
  <c r="D17" i="2"/>
  <c r="D20" i="2"/>
  <c r="F44" i="2"/>
  <c r="L33" i="2"/>
  <c r="D23" i="2"/>
  <c r="L44" i="2"/>
  <c r="L28" i="2"/>
  <c r="H16" i="2"/>
  <c r="F18" i="2"/>
  <c r="N29" i="2"/>
  <c r="N21" i="6"/>
  <c r="L21" i="6"/>
  <c r="F14" i="6"/>
  <c r="L15" i="6"/>
  <c r="F12" i="6"/>
  <c r="E19" i="8"/>
  <c r="C28" i="6"/>
  <c r="D28" i="6" s="1"/>
  <c r="H28" i="6" s="1"/>
  <c r="E29" i="7"/>
  <c r="N32" i="6"/>
  <c r="L37" i="6"/>
  <c r="L32" i="6"/>
  <c r="E34" i="7"/>
  <c r="C33" i="6"/>
  <c r="D33" i="6" s="1"/>
  <c r="L24" i="6"/>
  <c r="L22" i="6"/>
  <c r="F20" i="6"/>
  <c r="L13" i="6"/>
  <c r="C10" i="6"/>
  <c r="D10" i="6" s="1"/>
  <c r="E11" i="7"/>
  <c r="F12" i="8"/>
  <c r="E12" i="8"/>
  <c r="E9" i="8"/>
  <c r="F8" i="6"/>
  <c r="E7" i="6"/>
  <c r="F7" i="6" s="1"/>
  <c r="C45" i="7"/>
  <c r="C21" i="6"/>
  <c r="D21" i="6" s="1"/>
  <c r="N8" i="6"/>
  <c r="M7" i="6"/>
  <c r="N7" i="6" s="1"/>
  <c r="F15" i="8"/>
  <c r="E15" i="8"/>
  <c r="D28" i="8"/>
  <c r="F7" i="8"/>
  <c r="E7" i="8"/>
  <c r="E31" i="3"/>
  <c r="E24" i="3"/>
  <c r="C11" i="6"/>
  <c r="D11" i="6" s="1"/>
  <c r="E12" i="7"/>
  <c r="N24" i="2"/>
  <c r="D35" i="2"/>
  <c r="N11" i="2"/>
  <c r="F38" i="2"/>
  <c r="N22" i="2"/>
  <c r="H44" i="2"/>
  <c r="L27" i="2"/>
  <c r="F17" i="2"/>
  <c r="F10" i="5"/>
  <c r="L30" i="2"/>
  <c r="F20" i="2"/>
  <c r="N31" i="2"/>
  <c r="F23" i="2"/>
  <c r="L9" i="2"/>
  <c r="D29" i="2"/>
  <c r="C46" i="2"/>
  <c r="N10" i="2"/>
  <c r="N26" i="2"/>
  <c r="L36" i="2"/>
  <c r="F10" i="2"/>
  <c r="D18" i="2"/>
  <c r="N46" i="2"/>
  <c r="L31" i="2"/>
  <c r="C47" i="3"/>
  <c r="E30" i="3"/>
  <c r="E28" i="3"/>
  <c r="F18" i="8"/>
  <c r="E18" i="8"/>
  <c r="E12" i="3"/>
  <c r="F35" i="2"/>
  <c r="D11" i="2"/>
  <c r="D22" i="2"/>
  <c r="E10" i="3"/>
  <c r="N25" i="2"/>
  <c r="N28" i="2"/>
  <c r="F10" i="8"/>
  <c r="E10" i="8"/>
  <c r="D31" i="2"/>
  <c r="H27" i="2"/>
  <c r="L15" i="2"/>
  <c r="L20" i="2"/>
  <c r="N34" i="2"/>
  <c r="D10" i="2"/>
  <c r="N21" i="2"/>
  <c r="F13" i="2"/>
  <c r="J8" i="2"/>
  <c r="N19" i="6"/>
  <c r="N36" i="6"/>
  <c r="F29" i="6"/>
  <c r="E20" i="7"/>
  <c r="C19" i="6"/>
  <c r="D19" i="6" s="1"/>
  <c r="F8" i="8"/>
  <c r="E8" i="8"/>
  <c r="F37" i="6"/>
  <c r="E39" i="7"/>
  <c r="C38" i="6"/>
  <c r="D38" i="6" s="1"/>
  <c r="N33" i="6"/>
  <c r="E23" i="7"/>
  <c r="C22" i="6"/>
  <c r="D22" i="6" s="1"/>
  <c r="F25" i="6"/>
  <c r="N20" i="6"/>
  <c r="L11" i="6"/>
  <c r="N13" i="6"/>
  <c r="F23" i="6"/>
  <c r="F19" i="6"/>
  <c r="C14" i="6"/>
  <c r="D14" i="6" s="1"/>
  <c r="E15" i="7"/>
  <c r="F25" i="8"/>
  <c r="E25" i="8"/>
  <c r="C44" i="7"/>
  <c r="E13" i="7"/>
  <c r="C12" i="6"/>
  <c r="D12" i="6" s="1"/>
  <c r="F11" i="8"/>
  <c r="E11" i="8"/>
  <c r="N9" i="6"/>
  <c r="G28" i="8"/>
  <c r="C9" i="6"/>
  <c r="D9" i="6" s="1"/>
  <c r="C46" i="3"/>
  <c r="E22" i="3"/>
  <c r="D24" i="2"/>
  <c r="L45" i="2"/>
  <c r="L43" i="2"/>
  <c r="D25" i="2"/>
  <c r="G28" i="5"/>
  <c r="D28" i="2"/>
  <c r="F31" i="2"/>
  <c r="H45" i="2"/>
  <c r="F21" i="2"/>
  <c r="N18" i="2"/>
  <c r="N37" i="2"/>
  <c r="D13" i="2"/>
  <c r="J12" i="6"/>
  <c r="F33" i="6"/>
  <c r="N30" i="6"/>
  <c r="L18" i="6"/>
  <c r="N10" i="6"/>
  <c r="L28" i="6"/>
  <c r="E32" i="7"/>
  <c r="C31" i="6"/>
  <c r="D31" i="6" s="1"/>
  <c r="E38" i="7"/>
  <c r="C37" i="6"/>
  <c r="D37" i="6" s="1"/>
  <c r="F32" i="6"/>
  <c r="N35" i="6"/>
  <c r="C46" i="7"/>
  <c r="E30" i="7"/>
  <c r="C29" i="6"/>
  <c r="D29" i="6" s="1"/>
  <c r="L20" i="6"/>
  <c r="F27" i="6"/>
  <c r="L30" i="6"/>
  <c r="L26" i="6"/>
  <c r="N31" i="6"/>
  <c r="E26" i="7"/>
  <c r="C25" i="6"/>
  <c r="D25" i="6" s="1"/>
  <c r="F36" i="6"/>
  <c r="N29" i="6"/>
  <c r="F15" i="6"/>
  <c r="L27" i="6"/>
  <c r="L12" i="6"/>
  <c r="F27" i="8"/>
  <c r="E27" i="8"/>
  <c r="F17" i="6"/>
  <c r="N16" i="6"/>
  <c r="F24" i="8"/>
  <c r="E24" i="8"/>
  <c r="L16" i="6"/>
  <c r="F22" i="5"/>
  <c r="L46" i="2"/>
  <c r="N19" i="2"/>
  <c r="N30" i="2"/>
  <c r="L35" i="2"/>
  <c r="F25" i="2"/>
  <c r="N9" i="2"/>
  <c r="L38" i="2"/>
  <c r="F28" i="2"/>
  <c r="N12" i="2"/>
  <c r="E16" i="3"/>
  <c r="C8" i="3"/>
  <c r="L17" i="2"/>
  <c r="F45" i="2"/>
  <c r="L23" i="2"/>
  <c r="N13" i="2"/>
  <c r="H11" i="2"/>
  <c r="L33" i="6"/>
  <c r="E27" i="7"/>
  <c r="C26" i="6"/>
  <c r="D26" i="6" s="1"/>
  <c r="F16" i="6"/>
  <c r="L31" i="6"/>
  <c r="N26" i="6"/>
  <c r="F22" i="6"/>
  <c r="F14" i="8"/>
  <c r="E14" i="8"/>
  <c r="L38" i="6"/>
  <c r="N37" i="6"/>
  <c r="E33" i="7"/>
  <c r="C32" i="6"/>
  <c r="D32" i="6" s="1"/>
  <c r="E36" i="7"/>
  <c r="C35" i="6"/>
  <c r="D35" i="6" s="1"/>
  <c r="L34" i="6"/>
  <c r="F34" i="6"/>
  <c r="L29" i="6"/>
  <c r="F24" i="6"/>
  <c r="F30" i="6"/>
  <c r="E28" i="7"/>
  <c r="C27" i="6"/>
  <c r="D27" i="6" s="1"/>
  <c r="F26" i="6"/>
  <c r="N15" i="6"/>
  <c r="N23" i="6"/>
  <c r="L19" i="6"/>
  <c r="F13" i="6"/>
  <c r="N28" i="6"/>
  <c r="L9" i="6"/>
  <c r="N14" i="6"/>
  <c r="F26" i="8"/>
  <c r="E26" i="8"/>
  <c r="F23" i="8"/>
  <c r="E23" i="8"/>
  <c r="E36" i="3"/>
  <c r="E21" i="3"/>
  <c r="N43" i="2"/>
  <c r="L29" i="2"/>
  <c r="D19" i="2"/>
  <c r="D30" i="2"/>
  <c r="L16" i="2"/>
  <c r="L8" i="2"/>
  <c r="N33" i="2"/>
  <c r="D9" i="2"/>
  <c r="N36" i="2"/>
  <c r="N44" i="2"/>
  <c r="D28" i="5"/>
  <c r="F9" i="5" s="1"/>
  <c r="F7" i="5"/>
  <c r="H46" i="2"/>
  <c r="N15" i="2"/>
  <c r="E11" i="3"/>
  <c r="D21" i="2"/>
  <c r="C45" i="2"/>
  <c r="F37" i="2"/>
  <c r="H28" i="8" l="1"/>
  <c r="F28" i="8"/>
  <c r="E28" i="8"/>
  <c r="D17" i="6"/>
  <c r="F23" i="5"/>
  <c r="F8" i="5"/>
  <c r="L10" i="6"/>
  <c r="D23" i="6"/>
  <c r="D30" i="6"/>
  <c r="F11" i="6"/>
  <c r="F10" i="6"/>
  <c r="F14" i="5"/>
  <c r="N22" i="6"/>
  <c r="N34" i="6"/>
  <c r="F28" i="6"/>
  <c r="D43" i="2"/>
  <c r="J43" i="2"/>
  <c r="J45" i="2"/>
  <c r="D45" i="2"/>
  <c r="F18" i="6"/>
  <c r="F31" i="6"/>
  <c r="N25" i="6"/>
  <c r="D27" i="2"/>
  <c r="L25" i="6"/>
  <c r="N27" i="6"/>
  <c r="J32" i="2"/>
  <c r="J24" i="2"/>
  <c r="J16" i="2"/>
  <c r="J35" i="2"/>
  <c r="J27" i="2"/>
  <c r="J19" i="2"/>
  <c r="J11" i="2"/>
  <c r="J12" i="2"/>
  <c r="J28" i="2"/>
  <c r="J20" i="2"/>
  <c r="J36" i="2"/>
  <c r="J7" i="2"/>
  <c r="J17" i="2"/>
  <c r="J33" i="2"/>
  <c r="J25" i="2"/>
  <c r="J37" i="2"/>
  <c r="J22" i="2"/>
  <c r="J18" i="2"/>
  <c r="J13" i="2"/>
  <c r="J30" i="2"/>
  <c r="J31" i="2"/>
  <c r="J9" i="2"/>
  <c r="J26" i="2"/>
  <c r="J38" i="2"/>
  <c r="J15" i="2"/>
  <c r="J10" i="2"/>
  <c r="J14" i="2"/>
  <c r="J23" i="2"/>
  <c r="J34" i="2"/>
  <c r="J29" i="2"/>
  <c r="J21" i="2"/>
  <c r="D44" i="2"/>
  <c r="J44" i="2"/>
  <c r="N11" i="6"/>
  <c r="F21" i="6"/>
  <c r="D13" i="6"/>
  <c r="F35" i="6"/>
  <c r="D8" i="2"/>
  <c r="H28" i="5"/>
  <c r="F28" i="5"/>
  <c r="A28" i="5"/>
  <c r="C6" i="4"/>
  <c r="D30" i="5"/>
  <c r="E29" i="5" s="1"/>
  <c r="E8" i="3"/>
  <c r="H30" i="5" s="1"/>
  <c r="N45" i="2"/>
  <c r="D46" i="2"/>
  <c r="J46" i="2"/>
  <c r="F15" i="5"/>
  <c r="F13" i="5"/>
  <c r="F9" i="8"/>
  <c r="F38" i="6"/>
  <c r="N38" i="6"/>
  <c r="D33" i="2"/>
  <c r="E17" i="8"/>
  <c r="L36" i="6"/>
  <c r="F11" i="5"/>
  <c r="F46" i="2"/>
  <c r="E16" i="8"/>
  <c r="D16" i="6"/>
  <c r="N24" i="6"/>
  <c r="F25" i="5"/>
  <c r="D36" i="2"/>
  <c r="E13" i="8"/>
  <c r="F17" i="8"/>
  <c r="N18" i="6"/>
  <c r="L35" i="6"/>
  <c r="F16" i="5"/>
  <c r="F19" i="5"/>
  <c r="F9" i="6"/>
  <c r="F27" i="5"/>
  <c r="D14" i="2"/>
  <c r="F26" i="5"/>
  <c r="F16" i="8"/>
  <c r="L17" i="6"/>
  <c r="D24" i="6"/>
  <c r="J26" i="6"/>
  <c r="J22" i="6"/>
  <c r="J18" i="6"/>
  <c r="J10" i="6"/>
  <c r="J7" i="6"/>
  <c r="J21" i="6"/>
  <c r="J28" i="6"/>
  <c r="J16" i="6"/>
  <c r="J13" i="6"/>
  <c r="J9" i="6"/>
  <c r="J24" i="6"/>
  <c r="J17" i="6"/>
  <c r="J25" i="6"/>
  <c r="J32" i="6"/>
  <c r="J14" i="6"/>
  <c r="J23" i="6"/>
  <c r="J30" i="6"/>
  <c r="J36" i="6"/>
  <c r="J33" i="6"/>
  <c r="J19" i="6"/>
  <c r="J20" i="6"/>
  <c r="J31" i="6"/>
  <c r="J27" i="6"/>
  <c r="J29" i="6"/>
  <c r="J11" i="6"/>
  <c r="J35" i="6"/>
  <c r="J37" i="6"/>
  <c r="J38" i="6"/>
  <c r="J8" i="6"/>
  <c r="J15" i="6"/>
  <c r="J34" i="6"/>
  <c r="D15" i="2"/>
  <c r="F21" i="5"/>
  <c r="F13" i="8"/>
  <c r="F20" i="8"/>
  <c r="L14" i="6"/>
  <c r="D20" i="6"/>
  <c r="F20" i="5"/>
  <c r="F17" i="5"/>
  <c r="F19" i="8"/>
  <c r="F12" i="5"/>
  <c r="D8" i="6"/>
  <c r="E22" i="8"/>
  <c r="N12" i="6"/>
  <c r="E29" i="8"/>
  <c r="F18" i="5"/>
  <c r="D32" i="2"/>
  <c r="E21" i="8"/>
  <c r="E20" i="8"/>
  <c r="D15" i="6"/>
  <c r="E30" i="5" l="1"/>
  <c r="E10" i="5"/>
  <c r="E16" i="5"/>
  <c r="E22" i="5"/>
  <c r="E20" i="5"/>
  <c r="E9" i="5"/>
  <c r="E18" i="5"/>
  <c r="E12" i="5"/>
  <c r="E17" i="5"/>
  <c r="E21" i="5"/>
  <c r="E26" i="5"/>
  <c r="E27" i="5"/>
  <c r="E19" i="5"/>
  <c r="E25" i="5"/>
  <c r="E11" i="5"/>
  <c r="E13" i="5"/>
  <c r="E15" i="5"/>
  <c r="E7" i="5"/>
  <c r="E8" i="5"/>
  <c r="E14" i="5"/>
  <c r="E24" i="5"/>
  <c r="E23" i="5"/>
  <c r="E28" i="5"/>
</calcChain>
</file>

<file path=xl/sharedStrings.xml><?xml version="1.0" encoding="utf-8"?>
<sst xmlns="http://schemas.openxmlformats.org/spreadsheetml/2006/main" count="1545" uniqueCount="163">
  <si>
    <t xml:space="preserve">TURISMO EN CIFRAS </t>
  </si>
  <si>
    <t>Plazas turísticas</t>
  </si>
  <si>
    <t>Plazas y número de establecimientos autorizados</t>
  </si>
  <si>
    <t>Alojativos</t>
  </si>
  <si>
    <t>Periodo actual</t>
  </si>
  <si>
    <t>Plazas turísticas autorizadas según tipología del establecimiento: distribución por municipios periodo actual</t>
  </si>
  <si>
    <t>Plazas turísticas autorizadas según municipio tipología y categoría del establecimiento: variación y diferencia respecto al cierre del año anterior</t>
  </si>
  <si>
    <t>Plazas turísticas autorizadas según tipología y categoría del establecimiento periodo actual</t>
  </si>
  <si>
    <t>Establecimientos turísticos autorizados según tipología del establecimiento periodo actual: distribución por municipios</t>
  </si>
  <si>
    <t>Establecimientos turísticos autorizadas según municipio tipología y categoría del establecimiento: variación y diferencia respecto al cierre del año anterior</t>
  </si>
  <si>
    <t>Establecimientos turísticos autorizados según tipología y categoría del establecimiento: distribución por categoría periodo actual</t>
  </si>
  <si>
    <t>Series históricas</t>
  </si>
  <si>
    <t>Evolución anual de plazas turísticas autorizadas según tipología del establecimiento</t>
  </si>
  <si>
    <t>Hoteles</t>
  </si>
  <si>
    <t>Apartamentos</t>
  </si>
  <si>
    <t>Hoteles rurales</t>
  </si>
  <si>
    <t>MUNICIPIO</t>
  </si>
  <si>
    <t>Total</t>
  </si>
  <si>
    <t>Vivienda vacacional</t>
  </si>
  <si>
    <t>Hoteles Rurales</t>
  </si>
  <si>
    <t>Casas Rurales</t>
  </si>
  <si>
    <t>Plazas</t>
  </si>
  <si>
    <t>cuota s/total insular</t>
  </si>
  <si>
    <t>Total Isla</t>
  </si>
  <si>
    <t>Adeje</t>
  </si>
  <si>
    <t>Arafo</t>
  </si>
  <si>
    <t>Arico</t>
  </si>
  <si>
    <t>Arona</t>
  </si>
  <si>
    <t>Buenavista del Norte</t>
  </si>
  <si>
    <t xml:space="preserve">Candelaria 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</si>
  <si>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</si>
  <si>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</si>
  <si>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</si>
  <si>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</si>
  <si>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</si>
  <si>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</si>
  <si>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</si>
  <si>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</si>
  <si>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</si>
  <si>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</si>
  <si>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</si>
  <si>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</si>
  <si>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</si>
  <si>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</si>
  <si>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</si>
  <si>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</si>
  <si>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Ursula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</si>
  <si>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</si>
  <si>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</si>
  <si>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</si>
  <si>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</si>
  <si>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</si>
  <si>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</si>
  <si>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</si>
  <si>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</t>
  </si>
  <si>
    <t xml:space="preserve">(*) Plazas Autorizadas conforme a Policía Turística.
FUENTE: Policía Turística. Cabildo Insular de Tenerife. ELABORACIÓN: Turismo de Tenerife </t>
  </si>
  <si>
    <t>Sur</t>
  </si>
  <si>
    <t>Norte</t>
  </si>
  <si>
    <t>Zona 2</t>
  </si>
  <si>
    <t>Santa Cruz</t>
  </si>
  <si>
    <t>HOTELES</t>
  </si>
  <si>
    <t>APARTAMENTOS</t>
  </si>
  <si>
    <t>vivienda vacacional Gobierno de Canarias Datos en valores</t>
  </si>
  <si>
    <t>Total hoteles</t>
  </si>
  <si>
    <t>1*</t>
  </si>
  <si>
    <t>2*</t>
  </si>
  <si>
    <t>3*</t>
  </si>
  <si>
    <t>4*</t>
  </si>
  <si>
    <t>5*</t>
  </si>
  <si>
    <t>5* lujo</t>
  </si>
  <si>
    <t>5* gran lujo</t>
  </si>
  <si>
    <t>Hotel emblemático</t>
  </si>
  <si>
    <t>Total apartamentos</t>
  </si>
  <si>
    <t>1LL</t>
  </si>
  <si>
    <t>2LL</t>
  </si>
  <si>
    <t>3LL</t>
  </si>
  <si>
    <t>5LL</t>
  </si>
  <si>
    <t>Casa emblemática</t>
  </si>
  <si>
    <t>categoría única/ sin dato</t>
  </si>
  <si>
    <t>junio 25</t>
  </si>
  <si>
    <t>dic 2024</t>
  </si>
  <si>
    <t>dif. respecto cierre año anterior</t>
  </si>
  <si>
    <t>var respecto cierre año anterior</t>
  </si>
  <si>
    <t>establecimientos</t>
  </si>
  <si>
    <t>Total general</t>
  </si>
  <si>
    <t>Buenavista Del Norte</t>
  </si>
  <si>
    <t>Candelaria</t>
  </si>
  <si>
    <t>Granadilla De Abona</t>
  </si>
  <si>
    <t>Guia Isora</t>
  </si>
  <si>
    <t>Guimar</t>
  </si>
  <si>
    <t>Icod De Los Vinos</t>
  </si>
  <si>
    <t>San Cristobal De La Laguna</t>
  </si>
  <si>
    <t>La Matanza De Acentejo</t>
  </si>
  <si>
    <t>Puerto De La Cruz</t>
  </si>
  <si>
    <t>San Juan De La Rambla</t>
  </si>
  <si>
    <t>San Miguel De Abona</t>
  </si>
  <si>
    <t>Santa Cruz Tenerife</t>
  </si>
  <si>
    <t>Santiago Del Teide</t>
  </si>
  <si>
    <t>La Victoria De Acentejo</t>
  </si>
  <si>
    <t>Vilaflor De Chasna</t>
  </si>
  <si>
    <t>Vallehermoso</t>
  </si>
  <si>
    <t>_U</t>
  </si>
  <si>
    <t>fuente: Estadísticas Establecimientos inscritos en el Registro General de Turismo de Canarias. Datos abieros Gobierno de Canarias</t>
  </si>
  <si>
    <t>datos tomados de INE Estadística experimental. Medición del número de viviendas turísticas en España y su capacidad</t>
  </si>
  <si>
    <t>Elegir un municipio</t>
  </si>
  <si>
    <t>cuota s/total insular sin Vivienda vacacional</t>
  </si>
  <si>
    <t>diferencia respecto al año anterior</t>
  </si>
  <si>
    <t>var respecto al año anterior</t>
  </si>
  <si>
    <t>Casas rurales</t>
  </si>
  <si>
    <t>Total plazas sin vivienda vacacional</t>
  </si>
  <si>
    <t>Vivienda vacacional (2)</t>
  </si>
  <si>
    <t xml:space="preserve">(1) Plazas inscritas en Policía Turística.
(2) Datos abiertos Gobierno de Canarias
FUENTE: Policía Turística. Cabildo Insular de Tenerife. Datos abiertos Gobierno de Canarias para el dato Vivienda Vacacional.
 ELABORACIÓN: Turismo de Tenerife </t>
  </si>
  <si>
    <t>hotel</t>
  </si>
  <si>
    <t>Baja temporal hotel Adonis Pelinor</t>
  </si>
  <si>
    <t>127 plazas</t>
  </si>
  <si>
    <t>Baja temporal hotel Sol Arona Tenerife</t>
  </si>
  <si>
    <t>678 plazas</t>
  </si>
  <si>
    <t>cambia a 4* provisional</t>
  </si>
  <si>
    <t>Nueva alta Skyview</t>
  </si>
  <si>
    <t>Puerto de la cruz</t>
  </si>
  <si>
    <t>244 plazas</t>
  </si>
  <si>
    <t>pasa de apartamento 3* a hotel 3*</t>
  </si>
  <si>
    <t>Baja temporal hotel Occidental Santa cruz Contemporaneo</t>
  </si>
  <si>
    <t>266 plazas</t>
  </si>
  <si>
    <t>Pasa de tramite a alta Hotel Parque vacacional Eden</t>
  </si>
  <si>
    <t>520 plazas</t>
  </si>
  <si>
    <t>pasa de apartamento 3LL a hotel</t>
  </si>
  <si>
    <t>Hotel GF gran costa Adeje pasa a baja temporal</t>
  </si>
  <si>
    <t>802 plazas</t>
  </si>
  <si>
    <t>emblemático</t>
  </si>
  <si>
    <t>5 establecimientos nuevas altas</t>
  </si>
  <si>
    <t>88 plazas</t>
  </si>
  <si>
    <t>apartamentos</t>
  </si>
  <si>
    <t>Hotel San Marino Marcus Baja</t>
  </si>
  <si>
    <t>407 plazas</t>
  </si>
  <si>
    <t>Parque vacacional Eden pasa a hotel 4*</t>
  </si>
  <si>
    <t>Teneguia curbelo baja</t>
  </si>
  <si>
    <t>62 plazas</t>
  </si>
  <si>
    <t>THE SUITES AT BEVERLY HILLS estaba de baja y vuelve a estar de alta</t>
  </si>
  <si>
    <t>890 plazas</t>
  </si>
  <si>
    <t>Los olivos</t>
  </si>
  <si>
    <t>511 plazas</t>
  </si>
  <si>
    <t>pasa de apartamento 3LL a apartamento 3*</t>
  </si>
  <si>
    <t>Skyview</t>
  </si>
  <si>
    <t>Establecimientos</t>
  </si>
  <si>
    <t>septiembre 25</t>
  </si>
  <si>
    <t>Guia de Isora</t>
  </si>
  <si>
    <t>Güimar</t>
  </si>
  <si>
    <t>Tanque</t>
  </si>
  <si>
    <t>Zona Sur</t>
  </si>
  <si>
    <t>zona Norte</t>
  </si>
  <si>
    <t>Zona 1</t>
  </si>
  <si>
    <t>Total establecimientos sin vivienda vacacional</t>
  </si>
  <si>
    <t>TENERIFE</t>
  </si>
  <si>
    <t>acumulado septiembre 2025</t>
  </si>
  <si>
    <t>Plazas turísticas registradas en Tenerife por tipología 
acumulado septiembre 2025</t>
  </si>
  <si>
    <t>Plazas turísticas autorizadas* según tipología del establecimiento
Distribución por Municipios
 septiembre 2025</t>
  </si>
  <si>
    <t>Plazas turísticas autorizadas* según tipología y categoría del establecimiento
Distribución por Municipios
 septiembre 2025</t>
  </si>
  <si>
    <t>-</t>
  </si>
  <si>
    <t>Plazas turísticas autorizadas* en Tenerife según tipología del establecimiento</t>
  </si>
  <si>
    <t>septiembre 2025</t>
  </si>
  <si>
    <t>Establecimientos turísticos autorizados* según tipología del establecimiento
Distribución por Municipios
 septiembre 2025</t>
  </si>
  <si>
    <t>Establecimientos turísticos autorizadas* según tipología y categoría del establecimiento
Distribución por Municipios
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</si>
</sst>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 tint="0.34998626667073579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theme="9"/>
      <name val="Calibri"/>
      <family val="2"/>
      <scheme val="minor"/>
    </font>
    <font>
      <sz val="12"/>
      <color theme="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20"/>
      <color theme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theme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9"/>
      </bottom>
      <diagonal/>
    </border>
    <border>
      <left style="thin">
        <color theme="0" tint="-0.14996795556505021"/>
      </left>
      <right/>
      <top/>
      <bottom style="thin">
        <color theme="9"/>
      </bottom>
      <diagonal/>
    </border>
    <border>
      <left style="thin">
        <color rgb="FFABABAB"/>
      </left>
      <right/>
      <top style="thin">
        <color rgb="FFABABAB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" fontId="13" fillId="0" borderId="0">
      <alignment vertical="center"/>
    </xf>
    <xf numFmtId="0" fontId="15" fillId="0" borderId="0"/>
    <xf numFmtId="9" fontId="13" fillId="0" borderId="0" applyFont="0" applyFill="0" applyBorder="0" applyProtection="0">
      <alignment vertical="center"/>
    </xf>
    <xf numFmtId="1" fontId="13" fillId="0" borderId="0">
      <alignment vertical="center"/>
    </xf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/>
    <xf numFmtId="0" fontId="7" fillId="0" borderId="2" xfId="0" applyFont="1" applyBorder="1"/>
    <xf numFmtId="0" fontId="9" fillId="2" borderId="0" xfId="2" applyFont="1" applyFill="1" applyAlignment="1">
      <alignment horizontal="left" indent="3"/>
    </xf>
    <xf numFmtId="0" fontId="10" fillId="0" borderId="0" xfId="2" applyFont="1" applyAlignment="1">
      <alignment horizontal="left" indent="1"/>
    </xf>
    <xf numFmtId="0" fontId="11" fillId="0" borderId="0" xfId="2" applyFont="1" applyAlignment="1">
      <alignment horizontal="left" indent="3"/>
    </xf>
    <xf numFmtId="0" fontId="8" fillId="0" borderId="0" xfId="2"/>
    <xf numFmtId="3" fontId="2" fillId="0" borderId="0" xfId="0" applyNumberFormat="1" applyFont="1"/>
    <xf numFmtId="0" fontId="12" fillId="0" borderId="0" xfId="0" applyFont="1" applyAlignment="1">
      <alignment horizontal="center"/>
    </xf>
    <xf numFmtId="1" fontId="7" fillId="0" borderId="3" xfId="3" applyFont="1" applyBorder="1" applyAlignment="1" applyProtection="1">
      <alignment horizontal="left" vertical="center" wrapText="1"/>
      <protection hidden="1"/>
    </xf>
    <xf numFmtId="1" fontId="9" fillId="0" borderId="0" xfId="3" applyFont="1" applyAlignment="1" applyProtection="1">
      <alignment horizontal="center" vertical="center" wrapText="1"/>
      <protection hidden="1"/>
    </xf>
    <xf numFmtId="1" fontId="14" fillId="2" borderId="0" xfId="3" applyFont="1" applyFill="1" applyAlignment="1" applyProtection="1">
      <alignment horizontal="center" vertical="center"/>
      <protection hidden="1"/>
    </xf>
    <xf numFmtId="1" fontId="14" fillId="2" borderId="4" xfId="3" applyFont="1" applyFill="1" applyBorder="1" applyAlignment="1" applyProtection="1">
      <alignment horizontal="center" vertical="center"/>
      <protection hidden="1"/>
    </xf>
    <xf numFmtId="1" fontId="14" fillId="2" borderId="5" xfId="3" applyFont="1" applyFill="1" applyBorder="1" applyAlignment="1" applyProtection="1">
      <alignment horizontal="center" vertical="center"/>
      <protection hidden="1"/>
    </xf>
    <xf numFmtId="17" fontId="14" fillId="2" borderId="6" xfId="3" applyNumberFormat="1" applyFont="1" applyFill="1" applyBorder="1" applyAlignment="1" applyProtection="1">
      <alignment horizontal="center" vertical="center" wrapText="1"/>
      <protection hidden="1"/>
    </xf>
    <xf numFmtId="1" fontId="14" fillId="2" borderId="7" xfId="3" applyFont="1" applyFill="1" applyBorder="1" applyAlignment="1" applyProtection="1">
      <alignment horizontal="center" vertical="center" wrapText="1"/>
      <protection hidden="1"/>
    </xf>
    <xf numFmtId="0" fontId="16" fillId="0" borderId="0" xfId="4" applyFont="1" applyAlignment="1" applyProtection="1">
      <alignment vertical="center"/>
      <protection hidden="1"/>
    </xf>
    <xf numFmtId="3" fontId="16" fillId="0" borderId="4" xfId="4" applyNumberFormat="1" applyFont="1" applyBorder="1" applyAlignment="1" applyProtection="1">
      <alignment horizontal="right" vertical="center" wrapText="1"/>
      <protection hidden="1"/>
    </xf>
    <xf numFmtId="164" fontId="16" fillId="0" borderId="5" xfId="5" applyNumberFormat="1" applyFont="1" applyBorder="1" applyProtection="1">
      <alignment vertical="center"/>
      <protection hidden="1"/>
    </xf>
    <xf numFmtId="0" fontId="17" fillId="0" borderId="0" xfId="0" applyFont="1"/>
    <xf numFmtId="0" fontId="14" fillId="0" borderId="0" xfId="4" applyFont="1" applyAlignment="1" applyProtection="1">
      <alignment vertical="center"/>
      <protection hidden="1"/>
    </xf>
    <xf numFmtId="3" fontId="14" fillId="0" borderId="4" xfId="4" applyNumberFormat="1" applyFont="1" applyBorder="1" applyAlignment="1" applyProtection="1">
      <alignment horizontal="right" vertical="center" wrapText="1"/>
      <protection hidden="1"/>
    </xf>
    <xf numFmtId="164" fontId="18" fillId="0" borderId="5" xfId="5" applyNumberFormat="1" applyFont="1" applyBorder="1" applyProtection="1">
      <alignment vertical="center"/>
      <protection hidden="1"/>
    </xf>
    <xf numFmtId="3" fontId="18" fillId="0" borderId="4" xfId="4" applyNumberFormat="1" applyFont="1" applyBorder="1" applyAlignment="1" applyProtection="1">
      <alignment horizontal="right" vertical="center" wrapText="1"/>
      <protection hidden="1"/>
    </xf>
    <xf numFmtId="3" fontId="5" fillId="0" borderId="0" xfId="0" applyNumberFormat="1" applyFont="1"/>
    <xf numFmtId="3" fontId="14" fillId="0" borderId="0" xfId="4" applyNumberFormat="1" applyFont="1" applyAlignment="1" applyProtection="1">
      <alignment horizontal="right" vertical="center" wrapText="1"/>
      <protection hidden="1"/>
    </xf>
    <xf numFmtId="164" fontId="18" fillId="0" borderId="0" xfId="5" applyNumberFormat="1" applyFont="1" applyBorder="1" applyProtection="1">
      <alignment vertical="center"/>
      <protection hidden="1"/>
    </xf>
    <xf numFmtId="3" fontId="18" fillId="0" borderId="0" xfId="4" applyNumberFormat="1" applyFont="1" applyAlignment="1" applyProtection="1">
      <alignment horizontal="right" vertical="center" wrapText="1"/>
      <protection hidden="1"/>
    </xf>
    <xf numFmtId="0" fontId="5" fillId="0" borderId="8" xfId="0" applyFont="1" applyBorder="1"/>
    <xf numFmtId="164" fontId="14" fillId="0" borderId="8" xfId="5" applyNumberFormat="1" applyFont="1" applyBorder="1" applyProtection="1">
      <alignment vertical="center"/>
      <protection hidden="1"/>
    </xf>
    <xf numFmtId="0" fontId="19" fillId="0" borderId="0" xfId="4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12" fillId="0" borderId="0" xfId="0" applyFont="1"/>
    <xf numFmtId="0" fontId="18" fillId="0" borderId="0" xfId="4" applyFont="1" applyAlignment="1" applyProtection="1">
      <alignment horizontal="left" vertical="center" indent="3"/>
      <protection hidden="1"/>
    </xf>
    <xf numFmtId="1" fontId="7" fillId="0" borderId="3" xfId="3" applyFont="1" applyBorder="1" applyAlignment="1" applyProtection="1">
      <alignment vertical="center" wrapText="1"/>
      <protection hidden="1"/>
    </xf>
    <xf numFmtId="164" fontId="7" fillId="0" borderId="3" xfId="1" applyNumberFormat="1" applyFont="1" applyBorder="1" applyAlignment="1" applyProtection="1">
      <alignment vertical="center" wrapText="1"/>
      <protection hidden="1"/>
    </xf>
    <xf numFmtId="1" fontId="9" fillId="0" borderId="9" xfId="3" applyFont="1" applyBorder="1" applyAlignment="1" applyProtection="1">
      <alignment horizontal="center" vertical="center" wrapText="1"/>
      <protection hidden="1"/>
    </xf>
    <xf numFmtId="3" fontId="14" fillId="0" borderId="9" xfId="4" applyNumberFormat="1" applyFont="1" applyBorder="1" applyAlignment="1" applyProtection="1">
      <alignment horizontal="right" vertical="center" wrapText="1"/>
      <protection hidden="1"/>
    </xf>
    <xf numFmtId="1" fontId="14" fillId="2" borderId="0" xfId="3" applyFont="1" applyFill="1" applyAlignment="1" applyProtection="1">
      <alignment horizontal="center" vertical="center"/>
      <protection hidden="1"/>
    </xf>
    <xf numFmtId="1" fontId="14" fillId="3" borderId="0" xfId="3" applyFont="1" applyFill="1" applyAlignment="1" applyProtection="1">
      <alignment horizontal="center" vertical="center"/>
      <protection hidden="1"/>
    </xf>
    <xf numFmtId="1" fontId="14" fillId="2" borderId="10" xfId="3" applyFont="1" applyFill="1" applyBorder="1" applyAlignment="1" applyProtection="1">
      <alignment horizontal="center" vertical="center"/>
      <protection hidden="1"/>
    </xf>
    <xf numFmtId="1" fontId="14" fillId="2" borderId="11" xfId="3" applyFont="1" applyFill="1" applyBorder="1" applyAlignment="1" applyProtection="1">
      <alignment horizontal="center" vertical="center"/>
      <protection hidden="1"/>
    </xf>
    <xf numFmtId="1" fontId="14" fillId="3" borderId="12" xfId="3" applyFont="1" applyFill="1" applyBorder="1" applyAlignment="1" applyProtection="1">
      <alignment horizontal="center" vertical="center"/>
      <protection hidden="1"/>
    </xf>
    <xf numFmtId="1" fontId="14" fillId="3" borderId="13" xfId="3" applyFont="1" applyFill="1" applyBorder="1" applyAlignment="1" applyProtection="1">
      <alignment horizontal="center" vertical="center"/>
      <protection hidden="1"/>
    </xf>
    <xf numFmtId="1" fontId="14" fillId="2" borderId="14" xfId="3" applyFont="1" applyFill="1" applyBorder="1" applyAlignment="1" applyProtection="1">
      <alignment horizontal="center" vertical="center"/>
      <protection hidden="1"/>
    </xf>
    <xf numFmtId="1" fontId="14" fillId="2" borderId="15" xfId="3" applyFont="1" applyFill="1" applyBorder="1" applyAlignment="1" applyProtection="1">
      <alignment horizontal="center" vertical="center"/>
      <protection hidden="1"/>
    </xf>
    <xf numFmtId="1" fontId="14" fillId="3" borderId="16" xfId="3" applyFont="1" applyFill="1" applyBorder="1" applyAlignment="1" applyProtection="1">
      <alignment horizontal="center" vertical="center"/>
      <protection hidden="1"/>
    </xf>
    <xf numFmtId="1" fontId="14" fillId="3" borderId="17" xfId="3" applyFont="1" applyFill="1" applyBorder="1" applyAlignment="1" applyProtection="1">
      <alignment horizontal="center" vertical="center"/>
      <protection hidden="1"/>
    </xf>
    <xf numFmtId="1" fontId="14" fillId="3" borderId="18" xfId="3" applyFont="1" applyFill="1" applyBorder="1" applyAlignment="1" applyProtection="1">
      <alignment horizontal="center" vertical="center"/>
      <protection hidden="1"/>
    </xf>
    <xf numFmtId="1" fontId="14" fillId="3" borderId="4" xfId="3" applyFont="1" applyFill="1" applyBorder="1" applyAlignment="1" applyProtection="1">
      <alignment horizontal="center" vertical="center"/>
      <protection hidden="1"/>
    </xf>
    <xf numFmtId="1" fontId="14" fillId="3" borderId="0" xfId="3" applyFont="1" applyFill="1" applyAlignment="1" applyProtection="1">
      <alignment horizontal="center" vertical="center"/>
      <protection hidden="1"/>
    </xf>
    <xf numFmtId="1" fontId="14" fillId="3" borderId="5" xfId="3" applyFont="1" applyFill="1" applyBorder="1" applyAlignment="1" applyProtection="1">
      <alignment horizontal="center" vertical="center"/>
      <protection hidden="1"/>
    </xf>
    <xf numFmtId="1" fontId="14" fillId="2" borderId="19" xfId="3" applyFont="1" applyFill="1" applyBorder="1" applyAlignment="1" applyProtection="1">
      <alignment horizontal="center" vertical="center"/>
      <protection hidden="1"/>
    </xf>
    <xf numFmtId="1" fontId="14" fillId="3" borderId="20" xfId="3" applyFont="1" applyFill="1" applyBorder="1" applyAlignment="1" applyProtection="1">
      <alignment horizontal="center" vertical="center"/>
      <protection hidden="1"/>
    </xf>
    <xf numFmtId="1" fontId="14" fillId="3" borderId="21" xfId="3" applyFont="1" applyFill="1" applyBorder="1" applyAlignment="1" applyProtection="1">
      <alignment horizontal="center" vertical="center"/>
      <protection hidden="1"/>
    </xf>
    <xf numFmtId="17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14" fillId="3" borderId="6" xfId="3" applyNumberFormat="1" applyFont="1" applyFill="1" applyBorder="1" applyAlignment="1" applyProtection="1">
      <alignment horizontal="center" vertical="center" wrapText="1"/>
      <protection hidden="1"/>
    </xf>
    <xf numFmtId="17" fontId="14" fillId="3" borderId="0" xfId="3" applyNumberFormat="1" applyFont="1" applyFill="1" applyAlignment="1" applyProtection="1">
      <alignment horizontal="center" vertical="center" wrapText="1"/>
      <protection hidden="1"/>
    </xf>
    <xf numFmtId="1" fontId="14" fillId="3" borderId="7" xfId="3" applyFont="1" applyFill="1" applyBorder="1" applyAlignment="1" applyProtection="1">
      <alignment horizontal="center" vertical="center" wrapText="1"/>
      <protection hidden="1"/>
    </xf>
    <xf numFmtId="17" fontId="14" fillId="2" borderId="0" xfId="3" applyNumberFormat="1" applyFont="1" applyFill="1" applyAlignment="1" applyProtection="1">
      <alignment horizontal="center" vertical="center" wrapText="1"/>
      <protection hidden="1"/>
    </xf>
    <xf numFmtId="1" fontId="14" fillId="2" borderId="22" xfId="3" applyFont="1" applyFill="1" applyBorder="1" applyAlignment="1" applyProtection="1">
      <alignment horizontal="center" vertical="center" wrapText="1"/>
      <protection hidden="1"/>
    </xf>
    <xf numFmtId="17" fontId="14" fillId="3" borderId="23" xfId="3" applyNumberFormat="1" applyFont="1" applyFill="1" applyBorder="1" applyAlignment="1" applyProtection="1">
      <alignment horizontal="center" vertical="center" wrapText="1"/>
      <protection hidden="1"/>
    </xf>
    <xf numFmtId="17" fontId="14" fillId="3" borderId="24" xfId="3" applyNumberFormat="1" applyFont="1" applyFill="1" applyBorder="1" applyAlignment="1" applyProtection="1">
      <alignment horizontal="center" vertical="center" wrapText="1"/>
      <protection hidden="1"/>
    </xf>
    <xf numFmtId="1" fontId="14" fillId="3" borderId="25" xfId="3" applyFont="1" applyFill="1" applyBorder="1" applyAlignment="1" applyProtection="1">
      <alignment horizontal="center" vertical="center" wrapText="1"/>
      <protection hidden="1"/>
    </xf>
    <xf numFmtId="1" fontId="14" fillId="3" borderId="24" xfId="3" applyFont="1" applyFill="1" applyBorder="1" applyAlignment="1" applyProtection="1">
      <alignment horizontal="center" vertical="center" wrapText="1"/>
      <protection hidden="1"/>
    </xf>
    <xf numFmtId="17" fontId="14" fillId="2" borderId="26" xfId="3" applyNumberFormat="1" applyFont="1" applyFill="1" applyBorder="1" applyAlignment="1" applyProtection="1">
      <alignment horizontal="center" vertical="center" wrapText="1"/>
      <protection hidden="1"/>
    </xf>
    <xf numFmtId="1" fontId="14" fillId="2" borderId="27" xfId="3" applyFont="1" applyFill="1" applyBorder="1" applyAlignment="1" applyProtection="1">
      <alignment horizontal="center" vertical="center" wrapText="1"/>
      <protection hidden="1"/>
    </xf>
    <xf numFmtId="17" fontId="14" fillId="3" borderId="28" xfId="3" applyNumberFormat="1" applyFont="1" applyFill="1" applyBorder="1" applyAlignment="1" applyProtection="1">
      <alignment horizontal="center" vertical="center" wrapText="1"/>
      <protection hidden="1"/>
    </xf>
    <xf numFmtId="3" fontId="17" fillId="0" borderId="0" xfId="0" applyNumberFormat="1" applyFont="1"/>
    <xf numFmtId="164" fontId="16" fillId="0" borderId="5" xfId="5" applyNumberFormat="1" applyFont="1" applyBorder="1" applyAlignment="1" applyProtection="1">
      <alignment horizontal="right" vertical="center"/>
      <protection hidden="1"/>
    </xf>
    <xf numFmtId="3" fontId="16" fillId="0" borderId="0" xfId="4" applyNumberFormat="1" applyFont="1" applyAlignment="1" applyProtection="1">
      <alignment horizontal="right" vertical="center" wrapText="1"/>
      <protection hidden="1"/>
    </xf>
    <xf numFmtId="0" fontId="20" fillId="4" borderId="29" xfId="0" applyFont="1" applyFill="1" applyBorder="1" applyAlignment="1">
      <alignment horizontal="left"/>
    </xf>
    <xf numFmtId="3" fontId="20" fillId="4" borderId="29" xfId="0" applyNumberFormat="1" applyFont="1" applyFill="1" applyBorder="1"/>
    <xf numFmtId="164" fontId="18" fillId="0" borderId="5" xfId="5" applyNumberFormat="1" applyFont="1" applyBorder="1" applyAlignment="1" applyProtection="1">
      <alignment horizontal="right" vertical="center"/>
      <protection hidden="1"/>
    </xf>
    <xf numFmtId="0" fontId="0" fillId="0" borderId="0" xfId="0" applyAlignment="1">
      <alignment horizontal="left"/>
    </xf>
    <xf numFmtId="164" fontId="5" fillId="0" borderId="0" xfId="1" applyNumberFormat="1" applyFont="1"/>
    <xf numFmtId="0" fontId="19" fillId="0" borderId="30" xfId="4" applyFont="1" applyBorder="1" applyAlignment="1" applyProtection="1">
      <alignment horizontal="left" vertical="center" wrapText="1"/>
      <protection hidden="1"/>
    </xf>
    <xf numFmtId="0" fontId="19" fillId="0" borderId="0" xfId="4" applyFont="1" applyAlignment="1" applyProtection="1">
      <alignment horizontal="left" vertical="center" wrapText="1"/>
      <protection hidden="1"/>
    </xf>
    <xf numFmtId="0" fontId="19" fillId="0" borderId="0" xfId="4" applyFont="1" applyAlignment="1" applyProtection="1">
      <alignment vertical="center" wrapText="1"/>
      <protection hidden="1"/>
    </xf>
    <xf numFmtId="1" fontId="6" fillId="0" borderId="3" xfId="3" applyFont="1" applyBorder="1" applyAlignment="1" applyProtection="1">
      <alignment horizontal="left" vertical="center" wrapText="1"/>
      <protection hidden="1"/>
    </xf>
    <xf numFmtId="0" fontId="5" fillId="2" borderId="0" xfId="0" applyFont="1" applyFill="1" applyAlignment="1">
      <alignment horizontal="center" vertical="center" wrapText="1"/>
    </xf>
    <xf numFmtId="1" fontId="21" fillId="2" borderId="4" xfId="3" applyFont="1" applyFill="1" applyBorder="1" applyAlignment="1" applyProtection="1">
      <alignment horizontal="center" vertical="center"/>
      <protection hidden="1"/>
    </xf>
    <xf numFmtId="1" fontId="21" fillId="2" borderId="4" xfId="3" applyFont="1" applyFill="1" applyBorder="1" applyAlignment="1" applyProtection="1">
      <alignment horizontal="center" vertical="center" wrapText="1"/>
      <protection hidden="1"/>
    </xf>
    <xf numFmtId="1" fontId="16" fillId="0" borderId="31" xfId="6" applyFont="1" applyBorder="1" applyAlignment="1" applyProtection="1">
      <alignment horizontal="center" vertical="center" wrapText="1"/>
      <protection hidden="1"/>
    </xf>
    <xf numFmtId="3" fontId="17" fillId="0" borderId="32" xfId="4" applyNumberFormat="1" applyFont="1" applyBorder="1" applyAlignment="1" applyProtection="1">
      <alignment horizontal="right" vertical="center" wrapText="1"/>
      <protection hidden="1"/>
    </xf>
    <xf numFmtId="3" fontId="22" fillId="0" borderId="32" xfId="4" applyNumberFormat="1" applyFont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horizontal="center" wrapText="1"/>
    </xf>
    <xf numFmtId="0" fontId="24" fillId="0" borderId="5" xfId="6" applyNumberFormat="1" applyFont="1" applyBorder="1" applyAlignment="1" applyProtection="1">
      <alignment horizontal="right" vertical="center" wrapText="1"/>
      <protection hidden="1"/>
    </xf>
    <xf numFmtId="3" fontId="24" fillId="0" borderId="4" xfId="4" applyNumberFormat="1" applyFont="1" applyBorder="1" applyAlignment="1" applyProtection="1">
      <alignment horizontal="right" vertical="center" wrapText="1"/>
      <protection hidden="1"/>
    </xf>
    <xf numFmtId="3" fontId="23" fillId="0" borderId="4" xfId="4" applyNumberFormat="1" applyFont="1" applyBorder="1" applyAlignment="1" applyProtection="1">
      <alignment horizontal="right" vertical="center" wrapText="1"/>
      <protection hidden="1"/>
    </xf>
    <xf numFmtId="3" fontId="12" fillId="0" borderId="4" xfId="4" applyNumberFormat="1" applyFont="1" applyBorder="1" applyAlignment="1" applyProtection="1">
      <alignment horizontal="right" vertical="center" wrapText="1"/>
      <protection hidden="1"/>
    </xf>
    <xf numFmtId="0" fontId="25" fillId="0" borderId="0" xfId="0" applyFont="1" applyAlignment="1">
      <alignment horizontal="center" wrapText="1"/>
    </xf>
    <xf numFmtId="9" fontId="17" fillId="0" borderId="0" xfId="1" applyFont="1"/>
    <xf numFmtId="0" fontId="5" fillId="0" borderId="5" xfId="6" applyNumberFormat="1" applyFont="1" applyBorder="1" applyAlignment="1" applyProtection="1">
      <alignment horizontal="right" vertical="center" wrapText="1"/>
      <protection hidden="1"/>
    </xf>
    <xf numFmtId="3" fontId="5" fillId="0" borderId="4" xfId="4" applyNumberFormat="1" applyFont="1" applyBorder="1" applyAlignment="1" applyProtection="1">
      <alignment horizontal="right" vertical="center" wrapText="1"/>
      <protection hidden="1"/>
    </xf>
    <xf numFmtId="0" fontId="5" fillId="0" borderId="8" xfId="0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1" fontId="7" fillId="0" borderId="0" xfId="3" applyFont="1" applyAlignment="1" applyProtection="1">
      <alignment horizontal="left" vertical="center" wrapText="1"/>
      <protection hidden="1"/>
    </xf>
    <xf numFmtId="1" fontId="7" fillId="0" borderId="0" xfId="3" applyFont="1" applyAlignment="1" applyProtection="1">
      <alignment vertical="center" wrapText="1"/>
      <protection hidden="1"/>
    </xf>
    <xf numFmtId="1" fontId="21" fillId="0" borderId="3" xfId="3" applyFont="1" applyBorder="1" applyAlignment="1" applyProtection="1">
      <alignment horizontal="left" vertical="center" wrapText="1"/>
      <protection hidden="1"/>
    </xf>
    <xf numFmtId="1" fontId="21" fillId="0" borderId="3" xfId="3" applyFont="1" applyBorder="1" applyAlignment="1" applyProtection="1">
      <alignment horizontal="left" vertical="center" wrapText="1"/>
      <protection hidden="1"/>
    </xf>
    <xf numFmtId="1" fontId="28" fillId="0" borderId="0" xfId="3" applyFont="1" applyAlignment="1" applyProtection="1">
      <alignment horizontal="center" vertical="center" wrapText="1"/>
      <protection hidden="1"/>
    </xf>
    <xf numFmtId="1" fontId="14" fillId="2" borderId="0" xfId="3" applyFont="1" applyFill="1" applyAlignment="1" applyProtection="1">
      <alignment horizontal="center" vertical="center" wrapText="1"/>
      <protection hidden="1"/>
    </xf>
    <xf numFmtId="0" fontId="29" fillId="0" borderId="0" xfId="4" applyFont="1" applyAlignment="1" applyProtection="1">
      <alignment horizontal="left" vertical="center" indent="1"/>
      <protection hidden="1"/>
    </xf>
    <xf numFmtId="3" fontId="29" fillId="0" borderId="4" xfId="4" applyNumberFormat="1" applyFont="1" applyBorder="1" applyAlignment="1" applyProtection="1">
      <alignment horizontal="right" vertical="center" wrapText="1"/>
      <protection hidden="1"/>
    </xf>
    <xf numFmtId="164" fontId="29" fillId="0" borderId="5" xfId="5" applyNumberFormat="1" applyFont="1" applyBorder="1" applyProtection="1">
      <alignment vertical="center"/>
      <protection hidden="1"/>
    </xf>
    <xf numFmtId="164" fontId="29" fillId="0" borderId="4" xfId="1" applyNumberFormat="1" applyFont="1" applyBorder="1" applyAlignment="1" applyProtection="1">
      <alignment horizontal="right" vertical="center" wrapText="1"/>
      <protection hidden="1"/>
    </xf>
    <xf numFmtId="0" fontId="18" fillId="0" borderId="0" xfId="4" applyFont="1" applyAlignment="1" applyProtection="1">
      <alignment horizontal="left" vertical="center" indent="4"/>
      <protection hidden="1"/>
    </xf>
    <xf numFmtId="164" fontId="18" fillId="0" borderId="4" xfId="1" applyNumberFormat="1" applyFont="1" applyBorder="1" applyAlignment="1" applyProtection="1">
      <alignment horizontal="right" vertical="center" wrapText="1"/>
      <protection hidden="1"/>
    </xf>
    <xf numFmtId="0" fontId="18" fillId="0" borderId="0" xfId="4" applyFont="1" applyAlignment="1" applyProtection="1">
      <alignment horizontal="left" vertical="center" wrapText="1" indent="4"/>
      <protection hidden="1"/>
    </xf>
    <xf numFmtId="0" fontId="30" fillId="0" borderId="0" xfId="4" applyFont="1" applyAlignment="1" applyProtection="1">
      <alignment horizontal="left" vertical="center" wrapText="1" indent="1"/>
      <protection hidden="1"/>
    </xf>
    <xf numFmtId="3" fontId="30" fillId="0" borderId="4" xfId="4" applyNumberFormat="1" applyFont="1" applyBorder="1" applyAlignment="1" applyProtection="1">
      <alignment horizontal="right" vertical="center" wrapText="1"/>
      <protection hidden="1"/>
    </xf>
    <xf numFmtId="164" fontId="30" fillId="0" borderId="5" xfId="5" applyNumberFormat="1" applyFont="1" applyBorder="1" applyProtection="1">
      <alignment vertical="center"/>
      <protection hidden="1"/>
    </xf>
    <xf numFmtId="164" fontId="30" fillId="0" borderId="4" xfId="1" applyNumberFormat="1" applyFont="1" applyBorder="1" applyAlignment="1" applyProtection="1">
      <alignment horizontal="right" vertical="center" wrapText="1"/>
      <protection hidden="1"/>
    </xf>
    <xf numFmtId="0" fontId="21" fillId="0" borderId="0" xfId="4" applyFont="1" applyAlignment="1" applyProtection="1">
      <alignment horizontal="left" vertical="center" indent="1"/>
      <protection hidden="1"/>
    </xf>
    <xf numFmtId="164" fontId="31" fillId="0" borderId="5" xfId="5" applyNumberFormat="1" applyFont="1" applyBorder="1" applyProtection="1">
      <alignment vertical="center"/>
      <protection hidden="1"/>
    </xf>
    <xf numFmtId="0" fontId="16" fillId="0" borderId="0" xfId="4" applyFont="1" applyAlignment="1" applyProtection="1">
      <alignment horizontal="left" vertical="center" indent="1"/>
      <protection hidden="1"/>
    </xf>
    <xf numFmtId="164" fontId="16" fillId="0" borderId="4" xfId="1" applyNumberFormat="1" applyFont="1" applyBorder="1" applyAlignment="1" applyProtection="1">
      <alignment horizontal="right" vertical="center" wrapText="1"/>
      <protection hidden="1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33" xfId="0" applyBorder="1"/>
    <xf numFmtId="0" fontId="18" fillId="0" borderId="0" xfId="4" applyFont="1" applyAlignment="1" applyProtection="1">
      <alignment horizontal="left" vertical="center" wrapText="1" indent="3"/>
      <protection hidden="1"/>
    </xf>
    <xf numFmtId="0" fontId="32" fillId="4" borderId="29" xfId="0" applyFont="1" applyFill="1" applyBorder="1" applyAlignment="1">
      <alignment horizontal="left"/>
    </xf>
    <xf numFmtId="0" fontId="32" fillId="4" borderId="29" xfId="0" applyFont="1" applyFill="1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1" fillId="0" borderId="3" xfId="3" applyFont="1" applyBorder="1" applyAlignment="1" applyProtection="1">
      <alignment vertical="center" wrapText="1"/>
      <protection hidden="1"/>
    </xf>
    <xf numFmtId="164" fontId="21" fillId="0" borderId="4" xfId="1" applyNumberFormat="1" applyFont="1" applyBorder="1" applyAlignment="1" applyProtection="1">
      <alignment horizontal="right" vertical="center" wrapText="1"/>
      <protection hidden="1"/>
    </xf>
    <xf numFmtId="0" fontId="12" fillId="0" borderId="0" xfId="0" applyFont="1" applyAlignment="1">
      <alignment wrapText="1"/>
    </xf>
    <xf numFmtId="0" fontId="33" fillId="0" borderId="0" xfId="4" applyFont="1" applyAlignment="1" applyProtection="1">
      <alignment horizontal="left" vertical="center" indent="1"/>
      <protection hidden="1"/>
    </xf>
    <xf numFmtId="3" fontId="31" fillId="0" borderId="4" xfId="4" applyNumberFormat="1" applyFont="1" applyBorder="1" applyAlignment="1" applyProtection="1">
      <alignment horizontal="right" vertical="center" wrapText="1"/>
      <protection hidden="1"/>
    </xf>
    <xf numFmtId="164" fontId="31" fillId="0" borderId="4" xfId="1" applyNumberFormat="1" applyFont="1" applyBorder="1" applyAlignment="1" applyProtection="1">
      <alignment horizontal="right" vertical="center" wrapText="1"/>
      <protection hidden="1"/>
    </xf>
    <xf numFmtId="0" fontId="5" fillId="0" borderId="8" xfId="0" applyFont="1" applyBorder="1" applyAlignment="1">
      <alignment horizontal="left" indent="1"/>
    </xf>
  </cellXfs>
  <cellStyles count="7">
    <cellStyle name="Hipervínculo" xfId="2" builtinId="8"/>
    <cellStyle name="Normal" xfId="0" builtinId="0"/>
    <cellStyle name="Normal 2" xfId="3" xr:uid="{702F0B0C-7849-45B4-A71C-4A62C84892DB}"/>
    <cellStyle name="Normal 2 2" xfId="6" xr:uid="{F73366EE-F893-46B8-981D-88180882644E}"/>
    <cellStyle name="Normal_PlazasEstablecimientosMunicipioAutAños" xfId="4" xr:uid="{72F78544-F99D-4C37-B107-006C83239E66}"/>
    <cellStyle name="Porcentaje" xfId="1" builtinId="5"/>
    <cellStyle name="Porcentual 2" xfId="5" xr:uid="{E236A602-65E0-4A82-B595-FA6F75EA069E}"/>
  </cellStyles>
  <dxfs count="0"/>
  <tableStyles count="1" defaultTableStyle="TableStyleMedium2" defaultPivotStyle="PivotStyleLight16">
    <tableStyle name="Invisible" pivot="0" table="0" count="0" xr9:uid="{E493124F-40E8-4C8F-8CE3-4846F9651D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78463642319058"/>
          <c:y val="0.27045275590551182"/>
          <c:w val="0.45519569782425451"/>
          <c:h val="0.61957203266258387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8B-40D3-B48B-9B0316AE339D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8B-40D3-B48B-9B0316AE339D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0D3-B48B-9B0316AE339D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8B-40D3-B48B-9B0316AE339D}"/>
              </c:ext>
            </c:extLst>
          </c:dPt>
          <c:dPt>
            <c:idx val="4"/>
            <c:bubble3D val="0"/>
            <c:spPr>
              <a:solidFill>
                <a:schemeClr val="accent6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8B-40D3-B48B-9B0316AE339D}"/>
              </c:ext>
            </c:extLst>
          </c:dPt>
          <c:dLbls>
            <c:dLbl>
              <c:idx val="0"/>
              <c:layout>
                <c:manualLayout>
                  <c:x val="0.25736956855936427"/>
                  <c:y val="0.11897807912899765"/>
                </c:manualLayout>
              </c:layout>
              <c:tx>
                <c:rich>
                  <a:bodyPr/>
                  <a:lstStyle/>
                  <a:p>
                    <a:fld id="{2DC7828A-65F7-4F0A-B018-79C6FE8E10E6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44995874-6158-4D30-88BC-B9E79A47C25D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fld id="{00E83CF0-E472-4DFB-BE0B-657B80FF7628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8B-40D3-B48B-9B0316AE339D}"/>
                </c:ext>
              </c:extLst>
            </c:dLbl>
            <c:dLbl>
              <c:idx val="1"/>
              <c:layout>
                <c:manualLayout>
                  <c:x val="-0.18622463509478546"/>
                  <c:y val="0.1111111111111111"/>
                </c:manualLayout>
              </c:layout>
              <c:tx>
                <c:rich>
                  <a:bodyPr/>
                  <a:lstStyle/>
                  <a:p>
                    <a:fld id="{AA73D047-D73A-4D7D-AD86-E7EC8AB3730E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48D5433-8906-4D5F-AC19-80173D11E6E9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fld id="{D16C2AD2-915C-454E-A405-B28964845CC6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314046402405694"/>
                      <c:h val="0.269919661945185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8B-40D3-B48B-9B0316AE339D}"/>
                </c:ext>
              </c:extLst>
            </c:dLbl>
            <c:dLbl>
              <c:idx val="2"/>
              <c:layout>
                <c:manualLayout>
                  <c:x val="-0.22352621573620873"/>
                  <c:y val="3.303842228054820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691E7C5-6512-4764-8EF4-E72B5F8CD64C}" type="CATEGORYNAME">
                      <a:rPr lang="en-US"/>
                      <a:pPr>
                        <a:defRPr b="1"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 b="1"/>
                    </a:pPr>
                    <a:fld id="{9484C588-55B2-4A93-AE03-E5375194BF12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pPr>
                      <a:defRPr b="1"/>
                    </a:pPr>
                    <a:fld id="{2312508B-589D-426C-8722-737BA7FC961C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[PORCENTAJE]</a:t>
                    </a:fld>
                    <a:endParaRPr lang="es-E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11559999364359"/>
                      <c:h val="0.33037036992913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8B-40D3-B48B-9B0316AE339D}"/>
                </c:ext>
              </c:extLst>
            </c:dLbl>
            <c:dLbl>
              <c:idx val="3"/>
              <c:layout>
                <c:manualLayout>
                  <c:x val="-0.16224486899050675"/>
                  <c:y val="-0.2072022941576747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6CC90B-DD90-4B91-BDD6-23D3DACAD489}" type="CATEGORYNAME">
                      <a:rPr lang="en-US"/>
                      <a:pPr>
                        <a:defRPr b="1"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 b="1"/>
                    </a:pPr>
                    <a:fld id="{65FF16E5-06AC-4C22-8594-E56852A0B9E8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pPr>
                      <a:defRPr b="1"/>
                    </a:pPr>
                    <a:fld id="{27D6B57C-C1CD-44A0-9058-DB0D78DE3BFC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[PORCENTAJE]</a:t>
                    </a:fld>
                    <a:endParaRPr lang="es-E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8B-40D3-B48B-9B0316AE339D}"/>
                </c:ext>
              </c:extLst>
            </c:dLbl>
            <c:dLbl>
              <c:idx val="4"/>
              <c:layout>
                <c:manualLayout>
                  <c:x val="0.30009475599572266"/>
                  <c:y val="-4.067512394284048E-2"/>
                </c:manualLayout>
              </c:layout>
              <c:tx>
                <c:rich>
                  <a:bodyPr/>
                  <a:lstStyle/>
                  <a:p>
                    <a:fld id="{D6EA037B-DDCA-49E4-AA3E-D18263678D2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B1CD1A88-07FC-48AB-88E0-9470D8D2D422}" type="VALUE"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59B275F1-BB39-461C-B481-A19BCA3A3DAA}" type="PERCENTAGE"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38B-40D3-B48B-9B0316AE3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('plazas aut munic cuota aloj'!$E$1:$H$1,'plazas aut munic cuota aloj'!$I$5:$J$5)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Hoteles rurales</c:v>
                </c:pt>
                <c:pt idx="3">
                  <c:v>Casas Rurales</c:v>
                </c:pt>
                <c:pt idx="4">
                  <c:v>Vivienda vacacional</c:v>
                </c:pt>
              </c:strCache>
            </c:strRef>
          </c:cat>
          <c:val>
            <c:numRef>
              <c:f>('plazas aut munic cuota aloj'!$E$7,'plazas aut munic cuota aloj'!$G$7,'plazas aut munic cuota aloj'!$K$7,'plazas aut munic cuota aloj'!$M$7,'plazas aut munic cuota aloj'!$I$7)</c:f>
              <c:numCache>
                <c:formatCode>#,##0</c:formatCode>
                <c:ptCount val="5"/>
                <c:pt idx="0">
                  <c:v>87582</c:v>
                </c:pt>
                <c:pt idx="1">
                  <c:v>45780</c:v>
                </c:pt>
                <c:pt idx="2">
                  <c:v>557</c:v>
                </c:pt>
                <c:pt idx="3">
                  <c:v>1074</c:v>
                </c:pt>
                <c:pt idx="4">
                  <c:v>122864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8B-40D3-B48B-9B0316AE3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  <c:holeSize val="46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accent6">
              <a:lumMod val="75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'plazas aut catg cuota'!$C$3:$E$3</c:f>
          <c:strCache>
            <c:ptCount val="3"/>
            <c:pt idx="0">
              <c:v>Plazas turísticas inscritas (1) en Total Isla según tipología y categoría del establecimiento
Distribución por categoría</c:v>
            </c:pt>
          </c:strCache>
        </c:strRef>
      </c:tx>
      <c:layout>
        <c:manualLayout>
          <c:xMode val="edge"/>
          <c:yMode val="edge"/>
          <c:x val="9.1959308006207253E-7"/>
          <c:y val="1.3832394173477131E-3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16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757178948575265E-2"/>
          <c:y val="0.28086520910774476"/>
          <c:w val="0.97760879170679205"/>
          <c:h val="0.51201919612989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'plazas aut catg cuota'!$C$4:$E$4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362263149246423E-3"/>
                  <c:y val="1.1881595713399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44-41DC-A763-B704842041B6}"/>
                </c:ext>
              </c:extLst>
            </c:dLbl>
            <c:dLbl>
              <c:idx val="1"/>
              <c:layout>
                <c:manualLayout>
                  <c:x val="-4.1179054449789225E-3"/>
                  <c:y val="-1.4803585236493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44-41DC-A763-B704842041B6}"/>
                </c:ext>
              </c:extLst>
            </c:dLbl>
            <c:dLbl>
              <c:idx val="2"/>
              <c:layout>
                <c:manualLayout>
                  <c:x val="-8.7475461406770604E-3"/>
                  <c:y val="5.149366702606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44-41DC-A763-B704842041B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44-41DC-A763-B704842041B6}"/>
                </c:ext>
              </c:extLst>
            </c:dLbl>
            <c:dLbl>
              <c:idx val="4"/>
              <c:layout>
                <c:manualLayout>
                  <c:x val="3.1566642404993496E-4"/>
                  <c:y val="1.457350812678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44-41DC-A763-B704842041B6}"/>
                </c:ext>
              </c:extLst>
            </c:dLbl>
            <c:dLbl>
              <c:idx val="5"/>
              <c:layout>
                <c:manualLayout>
                  <c:x val="-5.0925835308417841E-3"/>
                  <c:y val="1.3550494984807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44-41DC-A763-B704842041B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('plazas aut catg cuota'!$C$30,'plazas aut catg cuota'!$C$7,'plazas aut catg cuota'!$C$16,'plazas aut catg cuota'!$C$29,'plazas aut catg cuota'!$C$26,'plazas aut catg cuota'!$C$27)</c:f>
              <c:strCache>
                <c:ptCount val="6"/>
                <c:pt idx="0">
                  <c:v>Total</c:v>
                </c:pt>
                <c:pt idx="1">
                  <c:v>Hoteles</c:v>
                </c:pt>
                <c:pt idx="2">
                  <c:v>Apartamentos</c:v>
                </c:pt>
                <c:pt idx="3">
                  <c:v>Vivienda vacacional (2)</c:v>
                </c:pt>
                <c:pt idx="4">
                  <c:v>Hoteles rurales</c:v>
                </c:pt>
                <c:pt idx="5">
                  <c:v>Casas rurales</c:v>
                </c:pt>
              </c:strCache>
            </c:strRef>
          </c:cat>
          <c:val>
            <c:numRef>
              <c:f>('plazas aut catg cuota'!$D$30,'plazas aut catg cuota'!$D$7,'plazas aut catg cuota'!$D$16,'plazas aut catg cuota'!$D$29,'plazas aut catg cuota'!$D$26,'plazas aut catg cuota'!$D$27)</c:f>
              <c:numCache>
                <c:formatCode>#,##0</c:formatCode>
                <c:ptCount val="6"/>
                <c:pt idx="0">
                  <c:v>257857</c:v>
                </c:pt>
                <c:pt idx="1">
                  <c:v>87582</c:v>
                </c:pt>
                <c:pt idx="2">
                  <c:v>45780</c:v>
                </c:pt>
                <c:pt idx="3">
                  <c:v>122864</c:v>
                </c:pt>
                <c:pt idx="4">
                  <c:v>557</c:v>
                </c:pt>
                <c:pt idx="5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44-41DC-A763-B7048420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982352"/>
        <c:axId val="128997584"/>
      </c:barChart>
      <c:barChart>
        <c:barDir val="col"/>
        <c:grouping val="clustered"/>
        <c:varyColors val="0"/>
        <c:ser>
          <c:idx val="1"/>
          <c:order val="1"/>
          <c:tx>
            <c:strRef>
              <c:f>'plazas aut catg cuota'!$H$6</c:f>
              <c:strCache>
                <c:ptCount val="1"/>
                <c:pt idx="0">
                  <c:v>var respecto al año anterior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0793778763362868E-3"/>
                  <c:y val="-0.25369509232503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44-41DC-A763-B704842041B6}"/>
                </c:ext>
              </c:extLst>
            </c:dLbl>
            <c:dLbl>
              <c:idx val="1"/>
              <c:layout>
                <c:manualLayout>
                  <c:x val="4.1587557526725737E-3"/>
                  <c:y val="-0.16236485908802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44-41DC-A763-B704842041B6}"/>
                </c:ext>
              </c:extLst>
            </c:dLbl>
            <c:dLbl>
              <c:idx val="2"/>
              <c:layout>
                <c:manualLayout>
                  <c:x val="-6.2381336290088605E-3"/>
                  <c:y val="0.192808536513582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4-41DC-A763-B704842041B6}"/>
                </c:ext>
              </c:extLst>
            </c:dLbl>
            <c:dLbl>
              <c:idx val="3"/>
              <c:layout>
                <c:manualLayout>
                  <c:x val="-2.0793778763362868E-3"/>
                  <c:y val="0.18942566893602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44-41DC-A763-B704842041B6}"/>
                </c:ext>
              </c:extLst>
            </c:dLbl>
            <c:dLbl>
              <c:idx val="4"/>
              <c:layout>
                <c:manualLayout>
                  <c:x val="2.0793778763362868E-3"/>
                  <c:y val="-1.24027279029640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4-41DC-A763-B704842041B6}"/>
                </c:ext>
              </c:extLst>
            </c:dLbl>
            <c:dLbl>
              <c:idx val="5"/>
              <c:layout>
                <c:manualLayout>
                  <c:x val="2.0793778763362868E-3"/>
                  <c:y val="8.118269589056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4-41DC-A763-B704842041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('plazas aut catg cuota'!$H$30,'plazas aut catg cuota'!$H$7,'plazas aut catg cuota'!$H$16,'plazas aut catg cuota'!$H$29,'plazas aut catg cuota'!$H$26,'plazas aut catg cuota'!$H$27)</c:f>
              <c:numCache>
                <c:formatCode>0.0%</c:formatCode>
                <c:ptCount val="6"/>
                <c:pt idx="0">
                  <c:v>2.9324061618052788E-2</c:v>
                </c:pt>
                <c:pt idx="1">
                  <c:v>-7.9853206021271994E-3</c:v>
                </c:pt>
                <c:pt idx="2">
                  <c:v>-5.5943449412376722E-3</c:v>
                </c:pt>
                <c:pt idx="3">
                  <c:v>8.336005129849311E-2</c:v>
                </c:pt>
                <c:pt idx="4">
                  <c:v>2.5782688766114115E-2</c:v>
                </c:pt>
                <c:pt idx="5">
                  <c:v>7.5046904315196894E-3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44-41DC-A763-B7048420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1651007"/>
        <c:axId val="1951644287"/>
      </c:barChart>
      <c:catAx>
        <c:axId val="12898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FUENTE: Policía Turística. Cabildo Insular de Tenerife. ELABORACIÓN: Turismo de Tenerife   (*) Plazas Autorizadas conforme a Policía Turística.</a:t>
                </a:r>
              </a:p>
            </c:rich>
          </c:tx>
          <c:layout>
            <c:manualLayout>
              <c:xMode val="edge"/>
              <c:yMode val="edge"/>
              <c:x val="4.9561234895038951E-4"/>
              <c:y val="0.916989634058479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2899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97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28982352"/>
        <c:crosses val="autoZero"/>
        <c:crossBetween val="between"/>
      </c:valAx>
      <c:valAx>
        <c:axId val="1951644287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crossAx val="1951651007"/>
        <c:crosses val="max"/>
        <c:crossBetween val="between"/>
      </c:valAx>
      <c:catAx>
        <c:axId val="1951651007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64428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1"/>
        <c:txPr>
          <a:bodyPr/>
          <a:lstStyle/>
          <a:p>
            <a:pPr>
              <a:defRPr sz="1000">
                <a:solidFill>
                  <a:schemeClr val="accent3">
                    <a:lumMod val="75000"/>
                  </a:schemeClr>
                </a:solidFill>
              </a:defRPr>
            </a:pPr>
            <a:endParaRPr lang="es-ES"/>
          </a:p>
        </c:txPr>
      </c:legendEntry>
      <c:layout>
        <c:manualLayout>
          <c:xMode val="edge"/>
          <c:yMode val="edge"/>
          <c:x val="2.8046494188226496E-4"/>
          <c:y val="0.20027699207501976"/>
          <c:w val="0.5244896682753738"/>
          <c:h val="5.7718097209567061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3344936407563221E-2"/>
          <c:y val="0.1577197081134089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5149891824237"/>
          <c:y val="0.37312076375068504"/>
          <c:w val="0.66612275733341031"/>
          <c:h val="0.55478670935363861"/>
        </c:manualLayout>
      </c:layout>
      <c:pie3DChart>
        <c:varyColors val="1"/>
        <c:ser>
          <c:idx val="0"/>
          <c:order val="0"/>
          <c:tx>
            <c:strRef>
              <c:f>'plazas aut catg cuota'!$C$4:$E$4</c:f>
              <c:strCache>
                <c:ptCount val="1"/>
                <c:pt idx="0">
                  <c:v>septiembre 2025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7.2193942003102807E-2"/>
                  <c:y val="1.60326658599690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43-4ACA-8598-69BF383B0333}"/>
                </c:ext>
              </c:extLst>
            </c:dLbl>
            <c:dLbl>
              <c:idx val="1"/>
              <c:layout>
                <c:manualLayout>
                  <c:x val="0.1149498024843826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3-4ACA-8598-69BF383B0333}"/>
                </c:ext>
              </c:extLst>
            </c:dLbl>
            <c:dLbl>
              <c:idx val="2"/>
              <c:layout>
                <c:manualLayout>
                  <c:x val="-5.2203044777807475E-2"/>
                  <c:y val="3.75189313234216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43-4ACA-8598-69BF383B0333}"/>
                </c:ext>
              </c:extLst>
            </c:dLbl>
            <c:dLbl>
              <c:idx val="3"/>
              <c:layout>
                <c:manualLayout>
                  <c:x val="-7.0840200698852343E-2"/>
                  <c:y val="-5.40172762747590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3-4ACA-8598-69BF383B0333}"/>
                </c:ext>
              </c:extLst>
            </c:dLbl>
            <c:dLbl>
              <c:idx val="4"/>
              <c:layout>
                <c:manualLayout>
                  <c:x val="0.25488316433609481"/>
                  <c:y val="-2.7313846731046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43-4ACA-8598-69BF383B0333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43-4ACA-8598-69BF383B0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('plazas aut catg cuota'!$C$7,'plazas aut catg cuota'!$C$16,'plazas aut catg cuota'!$C$29,'plazas aut catg cuota'!$C$26,'plazas aut catg cuota'!$C$27)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Vivienda vacacional (2)</c:v>
                </c:pt>
                <c:pt idx="3">
                  <c:v>Hoteles rurales</c:v>
                </c:pt>
                <c:pt idx="4">
                  <c:v>Casas rurales</c:v>
                </c:pt>
              </c:strCache>
            </c:strRef>
          </c:cat>
          <c:val>
            <c:numRef>
              <c:f>('plazas aut catg cuota'!$D$7,'plazas aut catg cuota'!$D$16,'plazas aut catg cuota'!$D$29,'plazas aut catg cuota'!$D$26,'plazas aut catg cuota'!$D$27)</c:f>
              <c:numCache>
                <c:formatCode>#,##0</c:formatCode>
                <c:ptCount val="5"/>
                <c:pt idx="0">
                  <c:v>87582</c:v>
                </c:pt>
                <c:pt idx="1">
                  <c:v>45780</c:v>
                </c:pt>
                <c:pt idx="2">
                  <c:v>122864</c:v>
                </c:pt>
                <c:pt idx="3">
                  <c:v>557</c:v>
                </c:pt>
                <c:pt idx="4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43-4ACA-8598-69BF383B0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'estab aut catg cuota aloj'!$C$3:$E$3</c:f>
          <c:strCache>
            <c:ptCount val="3"/>
            <c:pt idx="0">
              <c:v>Establecimientos turísticos inscritos (1) en Total Isla según tipología y categoría del establecimiento
Distribución por categoría</c:v>
            </c:pt>
          </c:strCache>
        </c:strRef>
      </c:tx>
      <c:layout>
        <c:manualLayout>
          <c:xMode val="edge"/>
          <c:yMode val="edge"/>
          <c:x val="9.1959308006207253E-7"/>
          <c:y val="1.3832394173477131E-3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16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965965252783343E-3"/>
          <c:y val="0.33813842841497088"/>
          <c:w val="0.97760879170679205"/>
          <c:h val="0.46151421339754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'estab aut catg cuota aloj'!$C$4:$E$4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362263149246423E-3"/>
                  <c:y val="1.1881595713399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C-4AA5-A5EF-5BE097E948D7}"/>
                </c:ext>
              </c:extLst>
            </c:dLbl>
            <c:dLbl>
              <c:idx val="1"/>
              <c:layout>
                <c:manualLayout>
                  <c:x val="-4.1179054449789225E-3"/>
                  <c:y val="-1.4803585236493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C-4AA5-A5EF-5BE097E948D7}"/>
                </c:ext>
              </c:extLst>
            </c:dLbl>
            <c:dLbl>
              <c:idx val="2"/>
              <c:layout>
                <c:manualLayout>
                  <c:x val="-8.7475461406770604E-3"/>
                  <c:y val="5.149366702606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C-4AA5-A5EF-5BE097E948D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EC-4AA5-A5EF-5BE097E948D7}"/>
                </c:ext>
              </c:extLst>
            </c:dLbl>
            <c:dLbl>
              <c:idx val="4"/>
              <c:layout>
                <c:manualLayout>
                  <c:x val="3.1566642404993496E-4"/>
                  <c:y val="1.457350812678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C-4AA5-A5EF-5BE097E948D7}"/>
                </c:ext>
              </c:extLst>
            </c:dLbl>
            <c:dLbl>
              <c:idx val="5"/>
              <c:layout>
                <c:manualLayout>
                  <c:x val="-5.0925835308417841E-3"/>
                  <c:y val="1.3550494984807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C-4AA5-A5EF-5BE097E948D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('estab aut catg cuota aloj'!$C$30,'estab aut catg cuota aloj'!$C$7,'estab aut catg cuota aloj'!$C$16,'estab aut catg cuota aloj'!$C$29,'estab aut catg cuota aloj'!$C$26,'estab aut catg cuota aloj'!$C$27)</c:f>
              <c:strCache>
                <c:ptCount val="6"/>
                <c:pt idx="0">
                  <c:v>Total</c:v>
                </c:pt>
                <c:pt idx="1">
                  <c:v>Hoteles</c:v>
                </c:pt>
                <c:pt idx="2">
                  <c:v>Apartamentos</c:v>
                </c:pt>
                <c:pt idx="3">
                  <c:v>Vivienda vacacional (2)</c:v>
                </c:pt>
                <c:pt idx="4">
                  <c:v>Hoteles rurales</c:v>
                </c:pt>
                <c:pt idx="5">
                  <c:v>Casas rurales</c:v>
                </c:pt>
              </c:strCache>
            </c:strRef>
          </c:cat>
          <c:val>
            <c:numRef>
              <c:f>('estab aut catg cuota aloj'!$D$30,'estab aut catg cuota aloj'!$D$7,'estab aut catg cuota aloj'!$D$16,'estab aut catg cuota aloj'!$D$29,'estab aut catg cuota aloj'!$D$26,'estab aut catg cuota aloj'!$D$27)</c:f>
              <c:numCache>
                <c:formatCode>#,##0</c:formatCode>
                <c:ptCount val="6"/>
                <c:pt idx="0">
                  <c:v>30803</c:v>
                </c:pt>
                <c:pt idx="1">
                  <c:v>285</c:v>
                </c:pt>
                <c:pt idx="2">
                  <c:v>236</c:v>
                </c:pt>
                <c:pt idx="3">
                  <c:v>30091</c:v>
                </c:pt>
                <c:pt idx="4">
                  <c:v>24</c:v>
                </c:pt>
                <c:pt idx="5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EC-4AA5-A5EF-5BE097E9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982352"/>
        <c:axId val="128997584"/>
      </c:barChart>
      <c:barChart>
        <c:barDir val="col"/>
        <c:grouping val="clustered"/>
        <c:varyColors val="0"/>
        <c:ser>
          <c:idx val="1"/>
          <c:order val="1"/>
          <c:tx>
            <c:strRef>
              <c:f>'estab aut catg cuota aloj'!$H$6</c:f>
              <c:strCache>
                <c:ptCount val="1"/>
                <c:pt idx="0">
                  <c:v>var respecto al año anterior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1601664066562667E-3"/>
                  <c:y val="-7.070708945281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C-4AA5-A5EF-5BE097E948D7}"/>
                </c:ext>
              </c:extLst>
            </c:dLbl>
            <c:dLbl>
              <c:idx val="1"/>
              <c:layout>
                <c:manualLayout>
                  <c:x val="-2.0800832033281711E-3"/>
                  <c:y val="-7.744109797213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EC-4AA5-A5EF-5BE097E948D7}"/>
                </c:ext>
              </c:extLst>
            </c:dLbl>
            <c:dLbl>
              <c:idx val="2"/>
              <c:layout>
                <c:manualLayout>
                  <c:x val="-7.6268836391258615E-17"/>
                  <c:y val="-5.050506389487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EC-4AA5-A5EF-5BE097E948D7}"/>
                </c:ext>
              </c:extLst>
            </c:dLbl>
            <c:dLbl>
              <c:idx val="3"/>
              <c:layout>
                <c:manualLayout>
                  <c:x val="-7.6268836391258615E-17"/>
                  <c:y val="-0.16835021298290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EC-4AA5-A5EF-5BE097E948D7}"/>
                </c:ext>
              </c:extLst>
            </c:dLbl>
            <c:dLbl>
              <c:idx val="4"/>
              <c:layout>
                <c:manualLayout>
                  <c:x val="-7.6268836391258615E-17"/>
                  <c:y val="2.693603407726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EC-4AA5-A5EF-5BE097E948D7}"/>
                </c:ext>
              </c:extLst>
            </c:dLbl>
            <c:dLbl>
              <c:idx val="5"/>
              <c:layout>
                <c:manualLayout>
                  <c:x val="0"/>
                  <c:y val="-5.050506389487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EC-4AA5-A5EF-5BE097E948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('estab aut catg cuota aloj'!$H$30,'estab aut catg cuota aloj'!$H$7,'estab aut catg cuota aloj'!$H$16,'estab aut catg cuota aloj'!$H$29,'estab aut catg cuota aloj'!$H$26,'estab aut catg cuota aloj'!$H$27)</c:f>
              <c:numCache>
                <c:formatCode>0.0%</c:formatCode>
                <c:ptCount val="6"/>
                <c:pt idx="0">
                  <c:v>9.2614926220204286E-2</c:v>
                </c:pt>
                <c:pt idx="1">
                  <c:v>1.7857142857142794E-2</c:v>
                </c:pt>
                <c:pt idx="2">
                  <c:v>0</c:v>
                </c:pt>
                <c:pt idx="3">
                  <c:v>9.4784316578162553E-2</c:v>
                </c:pt>
                <c:pt idx="4">
                  <c:v>-4.0000000000000036E-2</c:v>
                </c:pt>
                <c:pt idx="5">
                  <c:v>1.2121212121212199E-2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EC-4AA5-A5EF-5BE097E9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91561888"/>
        <c:axId val="1091550368"/>
      </c:barChart>
      <c:catAx>
        <c:axId val="12898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FUENTE: Policía Turística. Cabildo Insular de Tenerife. ELABORACIÓN: Turismo de Tenerife   (*) Plazas Autorizadas conforme a Policía Turística.</a:t>
                </a:r>
              </a:p>
            </c:rich>
          </c:tx>
          <c:layout>
            <c:manualLayout>
              <c:xMode val="edge"/>
              <c:yMode val="edge"/>
              <c:x val="1.2971857456975445E-2"/>
              <c:y val="0.92037225042301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2899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97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28982352"/>
        <c:crosses val="autoZero"/>
        <c:crossBetween val="between"/>
      </c:valAx>
      <c:valAx>
        <c:axId val="1091550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>
            <a:noFill/>
          </a:ln>
        </c:spPr>
        <c:crossAx val="1091561888"/>
        <c:crosses val="max"/>
        <c:crossBetween val="between"/>
      </c:valAx>
      <c:catAx>
        <c:axId val="1091561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0915503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1"/>
        <c:txPr>
          <a:bodyPr/>
          <a:lstStyle/>
          <a:p>
            <a:pPr>
              <a:defRPr sz="1000">
                <a:solidFill>
                  <a:schemeClr val="accent3">
                    <a:lumMod val="75000"/>
                  </a:schemeClr>
                </a:solidFill>
              </a:defRPr>
            </a:pPr>
            <a:endParaRPr lang="es-ES"/>
          </a:p>
        </c:txPr>
      </c:legendEntry>
      <c:layout>
        <c:manualLayout>
          <c:xMode val="edge"/>
          <c:yMode val="edge"/>
          <c:x val="2.8046494188226496E-4"/>
          <c:y val="0.20027699207501976"/>
          <c:w val="0.52466757567940514"/>
          <c:h val="5.745196252603794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3344936407563221E-2"/>
          <c:y val="0.1577197081134089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5149891824237"/>
          <c:y val="0.37312076375068504"/>
          <c:w val="0.66612275733341031"/>
          <c:h val="0.55478670935363861"/>
        </c:manualLayout>
      </c:layout>
      <c:pie3DChart>
        <c:varyColors val="1"/>
        <c:ser>
          <c:idx val="0"/>
          <c:order val="0"/>
          <c:tx>
            <c:strRef>
              <c:f>'estab aut catg cuota aloj'!$C$4:$E$4</c:f>
              <c:strCache>
                <c:ptCount val="1"/>
                <c:pt idx="0">
                  <c:v>septiembre 2025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0.10232331393358439"/>
                  <c:y val="-7.69349756045384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D4-4C7A-9CD6-28E30CED1CEE}"/>
                </c:ext>
              </c:extLst>
            </c:dLbl>
            <c:dLbl>
              <c:idx val="1"/>
              <c:layout>
                <c:manualLayout>
                  <c:x val="0.28235864429989732"/>
                  <c:y val="4.56706077884465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D4-4C7A-9CD6-28E30CED1CEE}"/>
                </c:ext>
              </c:extLst>
            </c:dLbl>
            <c:dLbl>
              <c:idx val="2"/>
              <c:layout>
                <c:manualLayout>
                  <c:x val="-0.3745438776674655"/>
                  <c:y val="-0.119060054797225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D4-4C7A-9CD6-28E30CED1CEE}"/>
                </c:ext>
              </c:extLst>
            </c:dLbl>
            <c:dLbl>
              <c:idx val="3"/>
              <c:layout>
                <c:manualLayout>
                  <c:x val="-0.24018568983224931"/>
                  <c:y val="8.93379079966101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D4-4C7A-9CD6-28E30CED1CEE}"/>
                </c:ext>
              </c:extLst>
            </c:dLbl>
            <c:dLbl>
              <c:idx val="4"/>
              <c:layout>
                <c:manualLayout>
                  <c:x val="-5.3808604359237788E-2"/>
                  <c:y val="-3.21128197533302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D4-4C7A-9CD6-28E30CED1CEE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D4-4C7A-9CD6-28E30CED1C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('estab aut catg cuota aloj'!$C$7,'estab aut catg cuota aloj'!$C$16,'estab aut catg cuota aloj'!$C$29,'estab aut catg cuota aloj'!$C$26,'estab aut catg cuota aloj'!$C$27)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Vivienda vacacional (2)</c:v>
                </c:pt>
                <c:pt idx="3">
                  <c:v>Hoteles rurales</c:v>
                </c:pt>
                <c:pt idx="4">
                  <c:v>Casas rurales</c:v>
                </c:pt>
              </c:strCache>
            </c:strRef>
          </c:cat>
          <c:val>
            <c:numRef>
              <c:f>('estab aut catg cuota aloj'!$D$7,'estab aut catg cuota aloj'!$D$16,'estab aut catg cuota aloj'!$D$29,'estab aut catg cuota aloj'!$D$26,'estab aut catg cuota aloj'!$D$27)</c:f>
              <c:numCache>
                <c:formatCode>#,##0</c:formatCode>
                <c:ptCount val="5"/>
                <c:pt idx="0">
                  <c:v>285</c:v>
                </c:pt>
                <c:pt idx="1">
                  <c:v>236</c:v>
                </c:pt>
                <c:pt idx="2">
                  <c:v>30091</c:v>
                </c:pt>
                <c:pt idx="3">
                  <c:v>24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D4-4C7A-9CD6-28E30CED1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6696074</xdr:colOff>
      <xdr:row>0</xdr:row>
      <xdr:rowOff>104775</xdr:rowOff>
    </xdr:from>
    <xdr:to>
      <xdr:col>2</xdr:col>
      <xdr:colOff>17540</xdr:colOff>
      <xdr:row>2</xdr:row>
      <xdr:rowOff>335176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B2152F65-8C4D-4D1C-A5A4-40ED2E816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4" y="104775"/>
          <a:ext cx="3217941" cy="8781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2</xdr:row>
      <xdr:rowOff>428625</xdr:rowOff>
    </xdr:from>
    <xdr:to>
      <xdr:col>11</xdr:col>
      <xdr:colOff>1552575</xdr:colOff>
      <xdr:row>21</xdr:row>
      <xdr:rowOff>28574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3877585D-BC92-44DF-979B-DD6ED561C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1114425</xdr:colOff>
      <xdr:row>22</xdr:row>
      <xdr:rowOff>66674</xdr:rowOff>
    </xdr:from>
    <xdr:to>
      <xdr:col>11</xdr:col>
      <xdr:colOff>1295400</xdr:colOff>
      <xdr:row>34</xdr:row>
      <xdr:rowOff>47624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C713657-D82B-4271-8FF4-D52CFBC9F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123825</xdr:colOff>
      <xdr:row>0</xdr:row>
      <xdr:rowOff>0</xdr:rowOff>
    </xdr:from>
    <xdr:to>
      <xdr:col>7</xdr:col>
      <xdr:colOff>619125</xdr:colOff>
      <xdr:row>1</xdr:row>
      <xdr:rowOff>114300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E357008B-BFDC-435A-8606-AC4634F0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0</xdr:row>
      <xdr:rowOff>0</xdr:rowOff>
    </xdr:from>
    <xdr:to>
      <xdr:col>7</xdr:col>
      <xdr:colOff>619125</xdr:colOff>
      <xdr:row>1</xdr:row>
      <xdr:rowOff>114300</xdr:rowOff>
    </xdr:to>
    <xdr:pic>
      <xdr:nvPicPr>
        <xdr:cNvPr id="5" name="7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542C9B7A-84A1-42CA-BFB3-5D2B746A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1018200</xdr:colOff>
      <xdr:row>1</xdr:row>
      <xdr:rowOff>152400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1CBD9AC8-9E9D-4414-9064-F746DD97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780200" cy="485775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0.18681</cdr:y>
    </cdr:to>
    <cdr:sp macro="" textlink="'estab aut catg cuota aloj'!$I$2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E02FAD24-C82A-4993-81B6-146A2CA00A3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6F4B1A7-6DFE-45E9-BC4B-DBFD8F1B6DA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l"/>
            <a:t> </a:t>
          </a:fld>
          <a:endParaRPr lang="es-ES" sz="16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D57FAF6C-FC67-438E-972A-B60A16D500BC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0.18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BCEF525-9626-440E-8B79-0EE48C575EA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00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>
              <a:solidFill>
                <a:schemeClr val="tx1">
                  <a:lumMod val="75000"/>
                  <a:lumOff val="25000"/>
                </a:schemeClr>
              </a:solidFill>
            </a:rPr>
            <a:t>Distribución de los establecimientos alojativos de Tenerife por</a:t>
          </a:r>
          <a:r>
            <a:rPr lang="es-ES" sz="1600" b="1" baseline="0">
              <a:solidFill>
                <a:schemeClr val="tx1">
                  <a:lumMod val="75000"/>
                  <a:lumOff val="25000"/>
                </a:schemeClr>
              </a:solidFill>
            </a:rPr>
            <a:t> tipología de alojamiento</a:t>
          </a:r>
          <a:endParaRPr lang="es-ES" sz="12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190500</xdr:colOff>
      <xdr:row>0</xdr:row>
      <xdr:rowOff>9525</xdr:rowOff>
    </xdr:from>
    <xdr:to>
      <xdr:col>14</xdr:col>
      <xdr:colOff>685800</xdr:colOff>
      <xdr:row>1</xdr:row>
      <xdr:rowOff>123825</xdr:rowOff>
    </xdr:to>
    <xdr:pic>
      <xdr:nvPicPr>
        <xdr:cNvPr id="2" name="2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7D9C249E-66E8-4C0B-BEA4-7D7A1F3F7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190500</xdr:colOff>
      <xdr:row>0</xdr:row>
      <xdr:rowOff>9525</xdr:rowOff>
    </xdr:from>
    <xdr:to>
      <xdr:col>14</xdr:col>
      <xdr:colOff>685800</xdr:colOff>
      <xdr:row>1</xdr:row>
      <xdr:rowOff>123825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97EC44FF-A29D-4091-B407-97AA5DE1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542923</xdr:colOff>
      <xdr:row>2</xdr:row>
      <xdr:rowOff>76200</xdr:rowOff>
    </xdr:from>
    <xdr:to>
      <xdr:col>22</xdr:col>
      <xdr:colOff>47624</xdr:colOff>
      <xdr:row>21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5A5354-5FE3-4C6F-A6BE-0016B4D84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5" name="Imagen 4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6BA0140C-E438-4E7B-9A5F-4B8F61B8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0.94658</cdr:y>
    </cdr:from>
    <cdr:to>
      <cdr:x>0.97704</cdr:x>
      <cdr:y>1</cdr:y>
    </cdr:to>
    <cdr:sp macro="" textlink="">
      <cdr:nvSpPr>
        <cdr:cNvPr id="3" name="4 CuadroTexto">
          <a:extLst xmlns:a="http://schemas.openxmlformats.org/drawingml/2006/main">
            <a:ext uri="{FF2B5EF4-FFF2-40B4-BE49-F238E27FC236}">
              <a16:creationId xmlns:a16="http://schemas.microsoft.com/office/drawing/2014/main" id="{80C57082-7B49-4943-8346-F35EB3825B89}"/>
            </a:ext>
          </a:extLst>
        </cdr:cNvPr>
        <cdr:cNvSpPr txBox="1"/>
      </cdr:nvSpPr>
      <cdr:spPr>
        <a:xfrm xmlns:a="http://schemas.openxmlformats.org/drawingml/2006/main">
          <a:off x="0" y="3895006"/>
          <a:ext cx="5472113" cy="219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0.00907</cdr:x>
      <cdr:y>0.01235</cdr:y>
    </cdr:from>
    <cdr:to>
      <cdr:x>0.98611</cdr:x>
      <cdr:y>0.1637</cdr:y>
    </cdr:to>
    <cdr:sp macro="" textlink="'plazas aut munic cuota aloj'!$P$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67C8AA62-8B18-44AE-8003-ED76DA2172B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472113" cy="622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7331B23F-EAD3-4076-8E05-ACE72074B259}" type="TxLink">
            <a:rPr lang="en-US" sz="18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rPr>
            <a:pPr algn="l"/>
            <a:t>Plazas turísticas registradas en Tenerife por tipología 
acumulado septiembre 2025</a:t>
          </a:fld>
          <a:endParaRPr lang="es-ES" sz="2800" b="1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3CB49AA7-3BE8-47F4-9CE9-6E272F6F4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495300</xdr:colOff>
      <xdr:row>1</xdr:row>
      <xdr:rowOff>114300</xdr:rowOff>
    </xdr:to>
    <xdr:pic>
      <xdr:nvPicPr>
        <xdr:cNvPr id="2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8B392597-1C3E-45AC-92FC-B296AAD8C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3" name="Imagen 2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5626587F-AE39-4A52-9ACA-A84878E83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574400</xdr:colOff>
      <xdr:row>2</xdr:row>
      <xdr:rowOff>638589</xdr:rowOff>
    </xdr:from>
    <xdr:to>
      <xdr:col>12</xdr:col>
      <xdr:colOff>950430</xdr:colOff>
      <xdr:row>21</xdr:row>
      <xdr:rowOff>110987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25C6834C-4D41-455B-9EAA-50D9D4393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367333</xdr:colOff>
      <xdr:row>21</xdr:row>
      <xdr:rowOff>81171</xdr:rowOff>
    </xdr:from>
    <xdr:to>
      <xdr:col>12</xdr:col>
      <xdr:colOff>117612</xdr:colOff>
      <xdr:row>33</xdr:row>
      <xdr:rowOff>14081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48646405-39ED-4CB8-8027-2108F1C90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123825</xdr:colOff>
      <xdr:row>0</xdr:row>
      <xdr:rowOff>0</xdr:rowOff>
    </xdr:from>
    <xdr:to>
      <xdr:col>9</xdr:col>
      <xdr:colOff>619125</xdr:colOff>
      <xdr:row>1</xdr:row>
      <xdr:rowOff>114300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A49D273F-76DC-493D-9B3F-C19993A06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0</xdr:row>
      <xdr:rowOff>0</xdr:rowOff>
    </xdr:from>
    <xdr:to>
      <xdr:col>9</xdr:col>
      <xdr:colOff>619125</xdr:colOff>
      <xdr:row>1</xdr:row>
      <xdr:rowOff>114300</xdr:rowOff>
    </xdr:to>
    <xdr:pic>
      <xdr:nvPicPr>
        <xdr:cNvPr id="5" name="7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9B115421-8441-47F4-8F59-EAB600C81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33131</xdr:rowOff>
    </xdr:from>
    <xdr:to>
      <xdr:col>1</xdr:col>
      <xdr:colOff>1016957</xdr:colOff>
      <xdr:row>1</xdr:row>
      <xdr:rowOff>137906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9E451CE4-B8BF-409B-B58C-E0F494A08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31"/>
          <a:ext cx="1778957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0.18681</cdr:y>
    </cdr:to>
    <cdr:sp macro="" textlink="'plazas aut catg cuota'!$J$2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E02FAD24-C82A-4993-81B6-146A2CA00A3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6F4B1A7-6DFE-45E9-BC4B-DBFD8F1B6DA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l"/>
            <a:t> </a:t>
          </a:fld>
          <a:endParaRPr lang="es-ES" sz="16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D57FAF6C-FC67-438E-972A-B60A16D500BC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0.18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BCEF525-9626-440E-8B79-0EE48C575EA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00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>
              <a:solidFill>
                <a:schemeClr val="tx1">
                  <a:lumMod val="75000"/>
                  <a:lumOff val="25000"/>
                </a:schemeClr>
              </a:solidFill>
            </a:rPr>
            <a:t>Distribución de las plazas alojativas de Tenerife por</a:t>
          </a:r>
          <a:r>
            <a:rPr lang="es-ES" sz="1600" b="1" baseline="0">
              <a:solidFill>
                <a:schemeClr val="tx1">
                  <a:lumMod val="75000"/>
                  <a:lumOff val="25000"/>
                </a:schemeClr>
              </a:solidFill>
            </a:rPr>
            <a:t> tipología de alojamiento</a:t>
          </a:r>
          <a:endParaRPr lang="es-ES" sz="12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266700</xdr:rowOff>
    </xdr:from>
    <xdr:to>
      <xdr:col>14</xdr:col>
      <xdr:colOff>600075</xdr:colOff>
      <xdr:row>2</xdr:row>
      <xdr:rowOff>190500</xdr:rowOff>
    </xdr:to>
    <xdr:pic>
      <xdr:nvPicPr>
        <xdr:cNvPr id="2" name="2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13EB5E2B-8175-426C-B97A-2E031B66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850" y="2667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104775</xdr:colOff>
      <xdr:row>0</xdr:row>
      <xdr:rowOff>266700</xdr:rowOff>
    </xdr:from>
    <xdr:to>
      <xdr:col>14</xdr:col>
      <xdr:colOff>600075</xdr:colOff>
      <xdr:row>2</xdr:row>
      <xdr:rowOff>190500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9B4215B6-3858-41BB-B324-8704E5DF7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850" y="2667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4" name="Imagen 3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B09745F2-B5D2-44A4-A85C-CE79C069A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4DA9B831-B87B-4FA3-94F9-E509A2CA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27D2-0B60-4875-8715-4F49D53AE415}">
  <dimension ref="B1:B25"/>
  <sheetViews>
    <sheetView showGridLines="0" tabSelected="1" zoomScaleNormal="100" workbookViewId="0"/>
  </sheetViews>
  <sheetFormatPr baseColWidth="10" defaultRowHeight="15" x14ac:dyDescent="0.25"/>
  <cols>
    <col min="2" max="2" width="148.42578125" customWidth="1"/>
  </cols>
  <sheetData>
    <row r="1" spans="2:2" x14ac:dyDescent="0.25">
      <c r="B1" s="1" t="s">
        <v>17</v>
      </c>
    </row>
    <row r="2" spans="2:2" ht="36" x14ac:dyDescent="0.55000000000000004">
      <c r="B2" s="2" t="s">
        <v>0</v>
      </c>
    </row>
    <row r="3" spans="2:2" ht="36" x14ac:dyDescent="0.55000000000000004">
      <c r="B3" s="2" t="s">
        <v>153</v>
      </c>
    </row>
    <row r="4" spans="2:2" ht="23.25" x14ac:dyDescent="0.35">
      <c r="B4" s="3" t="s">
        <v>154</v>
      </c>
    </row>
    <row r="5" spans="2:2" x14ac:dyDescent="0.25">
      <c r="B5" s="4"/>
    </row>
    <row r="6" spans="2:2" ht="21.75" thickBot="1" x14ac:dyDescent="0.4">
      <c r="B6" s="5" t="s">
        <v>1</v>
      </c>
    </row>
    <row r="7" spans="2:2" ht="15.75" thickTop="1" x14ac:dyDescent="0.25"/>
    <row r="8" spans="2:2" ht="19.5" thickBot="1" x14ac:dyDescent="0.35">
      <c r="B8" s="6" t="s">
        <v>2</v>
      </c>
    </row>
    <row r="9" spans="2:2" ht="15.75" x14ac:dyDescent="0.25">
      <c r="B9" s="7" t="s">
        <v>3</v>
      </c>
    </row>
    <row r="10" spans="2:2" ht="18.75" x14ac:dyDescent="0.3">
      <c r="B10" s="8" t="s">
        <v>4</v>
      </c>
    </row>
    <row r="11" spans="2:2" ht="15.75" x14ac:dyDescent="0.25">
      <c r="B11" s="9" t="s">
        <v>5</v>
      </c>
    </row>
    <row r="12" spans="2:2" ht="15.75" x14ac:dyDescent="0.25">
      <c r="B12" s="9" t="s">
        <v>6</v>
      </c>
    </row>
    <row r="13" spans="2:2" ht="15.75" x14ac:dyDescent="0.25">
      <c r="B13" s="9" t="s">
        <v>7</v>
      </c>
    </row>
    <row r="14" spans="2:2" ht="15.75" x14ac:dyDescent="0.25">
      <c r="B14" s="9" t="s">
        <v>8</v>
      </c>
    </row>
    <row r="15" spans="2:2" ht="15.75" x14ac:dyDescent="0.25">
      <c r="B15" s="9" t="s">
        <v>9</v>
      </c>
    </row>
    <row r="16" spans="2:2" ht="15.75" x14ac:dyDescent="0.25">
      <c r="B16" s="9" t="s">
        <v>10</v>
      </c>
    </row>
    <row r="17" spans="2:2" ht="18.75" x14ac:dyDescent="0.3">
      <c r="B17" s="8" t="s">
        <v>11</v>
      </c>
    </row>
    <row r="18" spans="2:2" ht="15.75" x14ac:dyDescent="0.25">
      <c r="B18" s="9" t="s">
        <v>12</v>
      </c>
    </row>
    <row r="19" spans="2:2" x14ac:dyDescent="0.25">
      <c r="B19" s="10"/>
    </row>
    <row r="20" spans="2:2" x14ac:dyDescent="0.25">
      <c r="B20" s="10"/>
    </row>
    <row r="21" spans="2:2" x14ac:dyDescent="0.25">
      <c r="B21" s="10"/>
    </row>
    <row r="22" spans="2:2" x14ac:dyDescent="0.25">
      <c r="B22" s="10"/>
    </row>
    <row r="23" spans="2:2" x14ac:dyDescent="0.25">
      <c r="B23" s="10"/>
    </row>
    <row r="24" spans="2:2" x14ac:dyDescent="0.25">
      <c r="B24" s="10"/>
    </row>
    <row r="25" spans="2:2" x14ac:dyDescent="0.25">
      <c r="B25" s="10"/>
    </row>
  </sheetData>
  <hyperlinks>
    <hyperlink ref="B18" location="'Evolucion anual plazas aloj'!A1" tooltip="Evolución anual de plazas turísticas autorizadas según tipología del establecimiento" display="Evolución anual de plazas turísticas autorizadas según tipología del establecimiento" xr:uid="{72B34BE8-C947-44AE-9167-408DAD1AB44A}"/>
    <hyperlink ref="B11" location="'plazas aut munic cuota aloj'!A1" tooltip="Plazas turísticas autorizadas según tipología del establecimiento: distribución por Municipios" display="Plazas turísticas autorizadas según tipología del establecimiento: distribución por Municipios" xr:uid="{B1121536-D8C0-463D-8C2E-B3824B3B0B68}"/>
    <hyperlink ref="B13" location="'plazas aut catg cuota'!A1" tooltip="Plazas turísticas autorizadas según tipología y categoría del establecimiento periodo actual" display="Plazas turísticas autorizadas según tipología y categoría del establecimiento periodo actual" xr:uid="{04238B6A-E1B0-42DB-ABAB-5505D8B34F6B}"/>
    <hyperlink ref="B14" location="'estab aut munic cuota aloj'!A1" tooltip="Establecimientos turísticos autorizados según tipología del establecimiento periodo actual: distribución por municipios" display="Establecimientos turísticos autorizados según tipología del establecimiento periodo actual: distribución por municipios" xr:uid="{28CD2C49-9DF3-4203-87A2-25B1EE10C588}"/>
    <hyperlink ref="B16" location="'estab aut catg cuota aloj'!A1" tooltip="Establecimientos turísticos autorizados según tipología y categoría del establecimiento: distribución por categoría periodo actual" display="Establecimientos turísticos autorizados según tipología y categoría del establecimiento: distribución por categoría periodo actual" xr:uid="{058BF145-AE28-4122-8DAD-FD61D02BCD18}"/>
    <hyperlink ref="B12" location="'plazas aut municipio x cat'!A1" tooltip="Plazas turísticas autorizadas según tipología y categoría del establecimiento" display="Plazas turísticas autorizadas según tipología y categoría del establecimiento: variación y diferencia respecto al cierre del año anterior" xr:uid="{B12658EB-A06D-4C69-B6A8-D97E2A76ECA7}"/>
    <hyperlink ref="B15" location="'estab aut municipio x tip y cat'!A1" display="Establecimientos turísticos autorizadas según municipio tipología y categoría del establecimiento: variación y diferencia respecto al cierre del año anterior" xr:uid="{38ECD455-885C-4653-9685-95A6F4D7CD08}"/>
  </hyperlink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7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85DB-4494-4C59-B562-2CCFAE695627}">
  <sheetPr>
    <tabColor rgb="FF92D050"/>
  </sheetPr>
  <dimension ref="A1:BJ46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3" customWidth="1"/>
    <col min="6" max="6" width="12.42578125" bestFit="1" customWidth="1"/>
  </cols>
  <sheetData>
    <row r="1" spans="1:62" ht="30" customHeight="1" x14ac:dyDescent="0.25">
      <c r="E1" s="1" t="s">
        <v>13</v>
      </c>
      <c r="F1" s="1" t="s">
        <v>14</v>
      </c>
      <c r="G1" s="1" t="s">
        <v>15</v>
      </c>
      <c r="H1" s="11" t="str">
        <f>M5</f>
        <v>Casas Rurales</v>
      </c>
      <c r="I1" s="1"/>
      <c r="J1" s="1"/>
      <c r="K1" s="1"/>
      <c r="P1" s="1" t="s">
        <v>155</v>
      </c>
    </row>
    <row r="2" spans="1:62" x14ac:dyDescent="0.25">
      <c r="I2" s="12"/>
      <c r="J2" s="12"/>
    </row>
    <row r="3" spans="1:62" s="4" customFormat="1" ht="56.25" customHeight="1" thickBot="1" x14ac:dyDescent="0.3">
      <c r="B3" s="13" t="s">
        <v>156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62" s="4" customFormat="1" ht="6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62" s="4" customFormat="1" x14ac:dyDescent="0.25">
      <c r="B5" s="15" t="s">
        <v>16</v>
      </c>
      <c r="C5" s="16" t="s">
        <v>17</v>
      </c>
      <c r="D5" s="17"/>
      <c r="E5" s="16" t="s">
        <v>13</v>
      </c>
      <c r="F5" s="17"/>
      <c r="G5" s="16" t="s">
        <v>14</v>
      </c>
      <c r="H5" s="17"/>
      <c r="I5" s="16" t="s">
        <v>18</v>
      </c>
      <c r="J5" s="17"/>
      <c r="K5" s="16" t="s">
        <v>19</v>
      </c>
      <c r="L5" s="17"/>
      <c r="M5" s="16" t="s">
        <v>20</v>
      </c>
      <c r="N5" s="17"/>
    </row>
    <row r="6" spans="1:62" s="4" customFormat="1" ht="25.5" x14ac:dyDescent="0.25">
      <c r="B6" s="15"/>
      <c r="C6" s="18" t="s">
        <v>21</v>
      </c>
      <c r="D6" s="19" t="s">
        <v>22</v>
      </c>
      <c r="E6" s="18" t="str">
        <f>C6</f>
        <v>Plazas</v>
      </c>
      <c r="F6" s="19" t="s">
        <v>22</v>
      </c>
      <c r="G6" s="18" t="str">
        <f>E6</f>
        <v>Plazas</v>
      </c>
      <c r="H6" s="19" t="s">
        <v>22</v>
      </c>
      <c r="I6" s="18" t="s">
        <v>21</v>
      </c>
      <c r="J6" s="19" t="s">
        <v>22</v>
      </c>
      <c r="K6" s="18" t="str">
        <f>G6</f>
        <v>Plazas</v>
      </c>
      <c r="L6" s="19" t="s">
        <v>22</v>
      </c>
      <c r="M6" s="18" t="str">
        <f>K6</f>
        <v>Plazas</v>
      </c>
      <c r="N6" s="19" t="s">
        <v>22</v>
      </c>
    </row>
    <row r="7" spans="1:62" s="23" customFormat="1" ht="15.75" x14ac:dyDescent="0.25">
      <c r="A7" s="20"/>
      <c r="B7" s="20" t="s">
        <v>23</v>
      </c>
      <c r="C7" s="21">
        <f>E7+G7+K7+M7+I7</f>
        <v>257857</v>
      </c>
      <c r="D7" s="22">
        <f>C7/$C$7</f>
        <v>1</v>
      </c>
      <c r="E7" s="21">
        <f>SUM(E8:E38)</f>
        <v>87582</v>
      </c>
      <c r="F7" s="22">
        <f>E7/$E$7</f>
        <v>1</v>
      </c>
      <c r="G7" s="21">
        <f>SUM(G8:G38)</f>
        <v>45780</v>
      </c>
      <c r="H7" s="22">
        <f>VLOOKUP($B$7,'estab aut municipio x tip y cat'!$B$8:$BU$39,5+2,FALSE)</f>
        <v>1.7857142857142794E-2</v>
      </c>
      <c r="I7" s="21">
        <f>'plazas aut municipio x cat'!BK8</f>
        <v>122864</v>
      </c>
      <c r="J7" s="22">
        <f>I7/$I$7</f>
        <v>1</v>
      </c>
      <c r="K7" s="21">
        <f>SUM(K8:K38)</f>
        <v>557</v>
      </c>
      <c r="L7" s="22">
        <f>K7/$K$7</f>
        <v>1</v>
      </c>
      <c r="M7" s="21">
        <f>SUM(M8:M38)</f>
        <v>1074</v>
      </c>
      <c r="N7" s="22">
        <f>M7/$M$7</f>
        <v>1</v>
      </c>
    </row>
    <row r="8" spans="1:62" s="4" customFormat="1" x14ac:dyDescent="0.25">
      <c r="A8" s="24"/>
      <c r="B8" s="24" t="s">
        <v>24</v>
      </c>
      <c r="C8" s="25">
        <f>E8+G8+K8+M8+I8</f>
        <v>70201</v>
      </c>
      <c r="D8" s="26">
        <f>C8/$C$7</f>
        <v>0.2722477962591669</v>
      </c>
      <c r="E8" s="27">
        <v>34365</v>
      </c>
      <c r="F8" s="26">
        <f>E8/$E$7</f>
        <v>0.39237514557785846</v>
      </c>
      <c r="G8" s="27">
        <v>12147</v>
      </c>
      <c r="H8" s="26">
        <f>G8/$G$7</f>
        <v>0.26533420707732636</v>
      </c>
      <c r="I8" s="27">
        <f>'plazas aut municipio x cat'!BK9</f>
        <v>23653</v>
      </c>
      <c r="J8" s="26">
        <f>I8/$I$7</f>
        <v>0.19251367365542388</v>
      </c>
      <c r="K8" s="27">
        <v>22</v>
      </c>
      <c r="L8" s="26">
        <f>K8/$K$7</f>
        <v>3.949730700179533E-2</v>
      </c>
      <c r="M8" s="27">
        <v>14</v>
      </c>
      <c r="N8" s="26">
        <f>M8/$M$7</f>
        <v>1.3035381750465549E-2</v>
      </c>
      <c r="BJ8" s="4">
        <v>98</v>
      </c>
    </row>
    <row r="9" spans="1:62" s="4" customFormat="1" x14ac:dyDescent="0.25">
      <c r="A9" s="24"/>
      <c r="B9" s="24" t="s">
        <v>25</v>
      </c>
      <c r="C9" s="25">
        <f t="shared" ref="C9:C38" si="0">E9+G9+K9+M9+I9</f>
        <v>370</v>
      </c>
      <c r="D9" s="26">
        <f t="shared" ref="D9:D38" si="1">C9/$C$7</f>
        <v>1.4349038420519902E-3</v>
      </c>
      <c r="E9" s="27">
        <v>0</v>
      </c>
      <c r="F9" s="26">
        <f t="shared" ref="F9:F38" si="2">E9/$E$7</f>
        <v>0</v>
      </c>
      <c r="G9" s="27">
        <v>0</v>
      </c>
      <c r="H9" s="26">
        <f t="shared" ref="H9:H38" si="3">G9/$G$7</f>
        <v>0</v>
      </c>
      <c r="I9" s="27">
        <f>'plazas aut municipio x cat'!BK10</f>
        <v>353</v>
      </c>
      <c r="J9" s="26">
        <f t="shared" ref="J9:J38" si="4">I9/$I$7</f>
        <v>2.8730954551373878E-3</v>
      </c>
      <c r="K9" s="27">
        <v>0</v>
      </c>
      <c r="L9" s="26">
        <f t="shared" ref="L9:L38" si="5">K9/$K$7</f>
        <v>0</v>
      </c>
      <c r="M9" s="27">
        <v>17</v>
      </c>
      <c r="N9" s="26">
        <f t="shared" ref="N9:N38" si="6">M9/$M$7</f>
        <v>1.5828677839851025E-2</v>
      </c>
      <c r="BJ9" s="4">
        <v>0</v>
      </c>
    </row>
    <row r="10" spans="1:62" s="4" customFormat="1" x14ac:dyDescent="0.25">
      <c r="A10" s="24"/>
      <c r="B10" s="24" t="s">
        <v>26</v>
      </c>
      <c r="C10" s="25">
        <f t="shared" si="0"/>
        <v>3584</v>
      </c>
      <c r="D10" s="26">
        <f t="shared" si="1"/>
        <v>1.3899176675444141E-2</v>
      </c>
      <c r="E10" s="27">
        <v>18</v>
      </c>
      <c r="F10" s="26">
        <f t="shared" si="2"/>
        <v>2.055216825375077E-4</v>
      </c>
      <c r="G10" s="27">
        <v>24</v>
      </c>
      <c r="H10" s="26">
        <f t="shared" si="3"/>
        <v>5.2424639580602882E-4</v>
      </c>
      <c r="I10" s="27">
        <f>'plazas aut municipio x cat'!BK11</f>
        <v>3470</v>
      </c>
      <c r="J10" s="26">
        <f t="shared" si="4"/>
        <v>2.8242609714806615E-2</v>
      </c>
      <c r="K10" s="27">
        <v>0</v>
      </c>
      <c r="L10" s="26">
        <f t="shared" si="5"/>
        <v>0</v>
      </c>
      <c r="M10" s="27">
        <v>72</v>
      </c>
      <c r="N10" s="26">
        <f t="shared" si="6"/>
        <v>6.7039106145251395E-2</v>
      </c>
      <c r="BJ10" s="4">
        <v>20</v>
      </c>
    </row>
    <row r="11" spans="1:62" s="4" customFormat="1" x14ac:dyDescent="0.25">
      <c r="A11" s="24"/>
      <c r="B11" s="24" t="s">
        <v>27</v>
      </c>
      <c r="C11" s="25">
        <f t="shared" si="0"/>
        <v>62463</v>
      </c>
      <c r="D11" s="26">
        <f t="shared" si="1"/>
        <v>0.24223891536782013</v>
      </c>
      <c r="E11" s="27">
        <v>17164</v>
      </c>
      <c r="F11" s="26">
        <f t="shared" si="2"/>
        <v>0.19597634217076568</v>
      </c>
      <c r="G11" s="27">
        <v>20856</v>
      </c>
      <c r="H11" s="26">
        <f t="shared" si="3"/>
        <v>0.45557011795543906</v>
      </c>
      <c r="I11" s="27">
        <f>'plazas aut municipio x cat'!BK12</f>
        <v>24383</v>
      </c>
      <c r="J11" s="26">
        <f t="shared" si="4"/>
        <v>0.19845520250032556</v>
      </c>
      <c r="K11" s="27">
        <v>12</v>
      </c>
      <c r="L11" s="26">
        <f t="shared" si="5"/>
        <v>2.1543985637342909E-2</v>
      </c>
      <c r="M11" s="27">
        <v>48</v>
      </c>
      <c r="N11" s="26">
        <f t="shared" si="6"/>
        <v>4.4692737430167599E-2</v>
      </c>
      <c r="BJ11" s="4">
        <v>0</v>
      </c>
    </row>
    <row r="12" spans="1:62" s="4" customFormat="1" x14ac:dyDescent="0.25">
      <c r="A12" s="24"/>
      <c r="B12" s="24" t="s">
        <v>28</v>
      </c>
      <c r="C12" s="25">
        <f t="shared" si="0"/>
        <v>711</v>
      </c>
      <c r="D12" s="26">
        <f t="shared" si="1"/>
        <v>2.7573422478350406E-3</v>
      </c>
      <c r="E12" s="27">
        <v>234</v>
      </c>
      <c r="F12" s="26">
        <f t="shared" si="2"/>
        <v>2.6717818729876E-3</v>
      </c>
      <c r="G12" s="27">
        <v>0</v>
      </c>
      <c r="H12" s="26">
        <f t="shared" si="3"/>
        <v>0</v>
      </c>
      <c r="I12" s="27">
        <f>'plazas aut municipio x cat'!BK13</f>
        <v>433</v>
      </c>
      <c r="J12" s="26">
        <f t="shared" si="4"/>
        <v>3.524221903893736E-3</v>
      </c>
      <c r="K12" s="27">
        <v>0</v>
      </c>
      <c r="L12" s="26">
        <f t="shared" si="5"/>
        <v>0</v>
      </c>
      <c r="M12" s="27">
        <v>44</v>
      </c>
      <c r="N12" s="26">
        <f t="shared" si="6"/>
        <v>4.0968342644320296E-2</v>
      </c>
      <c r="BJ12" s="4">
        <v>0</v>
      </c>
    </row>
    <row r="13" spans="1:62" s="4" customFormat="1" x14ac:dyDescent="0.25">
      <c r="A13" s="24"/>
      <c r="B13" s="24" t="s">
        <v>29</v>
      </c>
      <c r="C13" s="25">
        <f t="shared" si="0"/>
        <v>3779</v>
      </c>
      <c r="D13" s="26">
        <f t="shared" si="1"/>
        <v>1.465540978139046E-2</v>
      </c>
      <c r="E13" s="27">
        <v>986</v>
      </c>
      <c r="F13" s="26">
        <f t="shared" si="2"/>
        <v>1.1258021054554588E-2</v>
      </c>
      <c r="G13" s="27">
        <v>35</v>
      </c>
      <c r="H13" s="26">
        <f t="shared" si="3"/>
        <v>7.6452599388379206E-4</v>
      </c>
      <c r="I13" s="27">
        <f>'plazas aut municipio x cat'!BK14</f>
        <v>2755</v>
      </c>
      <c r="J13" s="26">
        <f t="shared" si="4"/>
        <v>2.2423167079046753E-2</v>
      </c>
      <c r="K13" s="27">
        <v>0</v>
      </c>
      <c r="L13" s="26">
        <f t="shared" si="5"/>
        <v>0</v>
      </c>
      <c r="M13" s="27">
        <v>3</v>
      </c>
      <c r="N13" s="26">
        <f t="shared" si="6"/>
        <v>2.7932960893854749E-3</v>
      </c>
      <c r="BJ13" s="4">
        <v>0</v>
      </c>
    </row>
    <row r="14" spans="1:62" s="4" customFormat="1" x14ac:dyDescent="0.25">
      <c r="A14" s="24"/>
      <c r="B14" s="24" t="s">
        <v>30</v>
      </c>
      <c r="C14" s="25">
        <f>E14+G14+K14+M14+I14</f>
        <v>448</v>
      </c>
      <c r="D14" s="26">
        <f t="shared" si="1"/>
        <v>1.7373970844305176E-3</v>
      </c>
      <c r="E14" s="27">
        <v>0</v>
      </c>
      <c r="F14" s="26">
        <f t="shared" si="2"/>
        <v>0</v>
      </c>
      <c r="G14" s="27">
        <v>4</v>
      </c>
      <c r="H14" s="26">
        <f t="shared" si="3"/>
        <v>8.7374399301004812E-5</v>
      </c>
      <c r="I14" s="27">
        <f>'plazas aut municipio x cat'!BK15</f>
        <v>397</v>
      </c>
      <c r="J14" s="26">
        <f>I14/$I$7</f>
        <v>3.2312150019533793E-3</v>
      </c>
      <c r="K14" s="27">
        <v>0</v>
      </c>
      <c r="L14" s="26">
        <f t="shared" si="5"/>
        <v>0</v>
      </c>
      <c r="M14" s="27">
        <v>47</v>
      </c>
      <c r="N14" s="26">
        <f t="shared" si="6"/>
        <v>4.3761638733705775E-2</v>
      </c>
      <c r="BJ14" s="4">
        <v>0</v>
      </c>
    </row>
    <row r="15" spans="1:62" s="4" customFormat="1" x14ac:dyDescent="0.25">
      <c r="A15" s="24"/>
      <c r="B15" s="24" t="s">
        <v>31</v>
      </c>
      <c r="C15" s="25">
        <f t="shared" si="0"/>
        <v>1220</v>
      </c>
      <c r="D15" s="26">
        <f t="shared" si="1"/>
        <v>4.731304560279535E-3</v>
      </c>
      <c r="E15" s="27">
        <v>76</v>
      </c>
      <c r="F15" s="26">
        <f t="shared" si="2"/>
        <v>8.6775821515836589E-4</v>
      </c>
      <c r="G15" s="27">
        <v>45</v>
      </c>
      <c r="H15" s="26">
        <f t="shared" si="3"/>
        <v>9.8296199213630396E-4</v>
      </c>
      <c r="I15" s="27">
        <f>'plazas aut municipio x cat'!BK16</f>
        <v>984</v>
      </c>
      <c r="J15" s="26">
        <f t="shared" si="4"/>
        <v>8.0088553197030857E-3</v>
      </c>
      <c r="K15" s="27">
        <v>78</v>
      </c>
      <c r="L15" s="26">
        <f t="shared" si="5"/>
        <v>0.14003590664272891</v>
      </c>
      <c r="M15" s="27">
        <v>37</v>
      </c>
      <c r="N15" s="26">
        <f t="shared" si="6"/>
        <v>3.4450651769087522E-2</v>
      </c>
      <c r="BJ15" s="4">
        <v>4</v>
      </c>
    </row>
    <row r="16" spans="1:62" s="4" customFormat="1" x14ac:dyDescent="0.25">
      <c r="A16" s="24"/>
      <c r="B16" s="24" t="s">
        <v>32</v>
      </c>
      <c r="C16" s="25">
        <f t="shared" si="0"/>
        <v>10367</v>
      </c>
      <c r="D16" s="26">
        <f t="shared" si="1"/>
        <v>4.0204454406899952E-2</v>
      </c>
      <c r="E16" s="27">
        <v>930</v>
      </c>
      <c r="F16" s="26">
        <f t="shared" si="2"/>
        <v>1.0618620264437897E-2</v>
      </c>
      <c r="G16" s="27">
        <v>460</v>
      </c>
      <c r="H16" s="26">
        <f t="shared" si="3"/>
        <v>1.0048055919615552E-2</v>
      </c>
      <c r="I16" s="27">
        <f>'plazas aut municipio x cat'!BK17</f>
        <v>8872</v>
      </c>
      <c r="J16" s="26">
        <f t="shared" si="4"/>
        <v>7.220992316707904E-2</v>
      </c>
      <c r="K16" s="27">
        <v>42</v>
      </c>
      <c r="L16" s="26">
        <f t="shared" si="5"/>
        <v>7.5403949730700179E-2</v>
      </c>
      <c r="M16" s="27">
        <v>63</v>
      </c>
      <c r="N16" s="26">
        <f t="shared" si="6"/>
        <v>5.8659217877094973E-2</v>
      </c>
      <c r="BJ16" s="4">
        <v>6</v>
      </c>
    </row>
    <row r="17" spans="1:62" s="4" customFormat="1" x14ac:dyDescent="0.25">
      <c r="A17" s="24"/>
      <c r="B17" s="24" t="s">
        <v>33</v>
      </c>
      <c r="C17" s="25">
        <f t="shared" si="0"/>
        <v>476</v>
      </c>
      <c r="D17" s="26">
        <f t="shared" si="1"/>
        <v>1.8459844022074251E-3</v>
      </c>
      <c r="E17" s="27">
        <v>0</v>
      </c>
      <c r="F17" s="26">
        <f t="shared" si="2"/>
        <v>0</v>
      </c>
      <c r="G17" s="27">
        <v>0</v>
      </c>
      <c r="H17" s="26">
        <f t="shared" si="3"/>
        <v>0</v>
      </c>
      <c r="I17" s="27">
        <f>'plazas aut municipio x cat'!BK18</f>
        <v>472</v>
      </c>
      <c r="J17" s="26">
        <f t="shared" si="4"/>
        <v>3.8416460476624562E-3</v>
      </c>
      <c r="K17" s="27">
        <v>0</v>
      </c>
      <c r="L17" s="26">
        <f t="shared" si="5"/>
        <v>0</v>
      </c>
      <c r="M17" s="27">
        <v>4</v>
      </c>
      <c r="N17" s="26">
        <f t="shared" si="6"/>
        <v>3.7243947858472998E-3</v>
      </c>
      <c r="BJ17" s="4">
        <v>0</v>
      </c>
    </row>
    <row r="18" spans="1:62" s="4" customFormat="1" x14ac:dyDescent="0.25">
      <c r="A18" s="24"/>
      <c r="B18" s="24" t="s">
        <v>34</v>
      </c>
      <c r="C18" s="25">
        <f t="shared" si="0"/>
        <v>7770</v>
      </c>
      <c r="D18" s="26">
        <f t="shared" si="1"/>
        <v>3.0132980683091792E-2</v>
      </c>
      <c r="E18" s="27">
        <v>3177</v>
      </c>
      <c r="F18" s="26">
        <f t="shared" si="2"/>
        <v>3.6274576967870113E-2</v>
      </c>
      <c r="G18" s="27">
        <v>700</v>
      </c>
      <c r="H18" s="26">
        <f t="shared" si="3"/>
        <v>1.5290519877675841E-2</v>
      </c>
      <c r="I18" s="27">
        <f>'plazas aut municipio x cat'!BK19</f>
        <v>3819</v>
      </c>
      <c r="J18" s="26">
        <f t="shared" si="4"/>
        <v>3.1083148847506185E-2</v>
      </c>
      <c r="K18" s="27">
        <v>15</v>
      </c>
      <c r="L18" s="26">
        <f t="shared" si="5"/>
        <v>2.6929982046678635E-2</v>
      </c>
      <c r="M18" s="27">
        <v>59</v>
      </c>
      <c r="N18" s="26">
        <f t="shared" si="6"/>
        <v>5.493482309124767E-2</v>
      </c>
      <c r="BJ18" s="4">
        <v>0</v>
      </c>
    </row>
    <row r="19" spans="1:62" s="4" customFormat="1" x14ac:dyDescent="0.25">
      <c r="A19" s="24"/>
      <c r="B19" s="24" t="s">
        <v>35</v>
      </c>
      <c r="C19" s="25">
        <f t="shared" si="0"/>
        <v>2328</v>
      </c>
      <c r="D19" s="26">
        <f t="shared" si="1"/>
        <v>9.02825984945144E-3</v>
      </c>
      <c r="E19" s="27">
        <v>8</v>
      </c>
      <c r="F19" s="26">
        <f t="shared" si="2"/>
        <v>9.134297001667009E-5</v>
      </c>
      <c r="G19" s="27">
        <v>8</v>
      </c>
      <c r="H19" s="26">
        <f t="shared" si="3"/>
        <v>1.7474879860200962E-4</v>
      </c>
      <c r="I19" s="27">
        <f>'plazas aut municipio x cat'!BK20</f>
        <v>2204</v>
      </c>
      <c r="J19" s="26">
        <f t="shared" si="4"/>
        <v>1.7938533663237402E-2</v>
      </c>
      <c r="K19" s="27">
        <v>81</v>
      </c>
      <c r="L19" s="26">
        <f t="shared" si="5"/>
        <v>0.14542190305206462</v>
      </c>
      <c r="M19" s="27">
        <v>27</v>
      </c>
      <c r="N19" s="26">
        <f t="shared" si="6"/>
        <v>2.5139664804469275E-2</v>
      </c>
      <c r="BJ19" s="4">
        <v>0</v>
      </c>
    </row>
    <row r="20" spans="1:62" s="4" customFormat="1" x14ac:dyDescent="0.25">
      <c r="A20" s="24"/>
      <c r="B20" s="24" t="s">
        <v>36</v>
      </c>
      <c r="C20" s="25">
        <f t="shared" si="0"/>
        <v>3466</v>
      </c>
      <c r="D20" s="26">
        <f t="shared" si="1"/>
        <v>1.3441558693384318E-2</v>
      </c>
      <c r="E20" s="27">
        <v>36</v>
      </c>
      <c r="F20" s="26">
        <f t="shared" si="2"/>
        <v>4.110433650750154E-4</v>
      </c>
      <c r="G20" s="27">
        <v>19</v>
      </c>
      <c r="H20" s="26">
        <f t="shared" si="3"/>
        <v>4.1502839667977281E-4</v>
      </c>
      <c r="I20" s="27">
        <f>'plazas aut municipio x cat'!BK21</f>
        <v>3289</v>
      </c>
      <c r="J20" s="26">
        <f t="shared" si="4"/>
        <v>2.6769436124495376E-2</v>
      </c>
      <c r="K20" s="27">
        <v>0</v>
      </c>
      <c r="L20" s="26">
        <f t="shared" si="5"/>
        <v>0</v>
      </c>
      <c r="M20" s="27">
        <v>122</v>
      </c>
      <c r="N20" s="26">
        <f t="shared" si="6"/>
        <v>0.11359404096834265</v>
      </c>
      <c r="BJ20" s="4">
        <v>0</v>
      </c>
    </row>
    <row r="21" spans="1:62" s="4" customFormat="1" x14ac:dyDescent="0.25">
      <c r="A21" s="24"/>
      <c r="B21" s="24" t="s">
        <v>37</v>
      </c>
      <c r="C21" s="25">
        <f t="shared" si="0"/>
        <v>6334</v>
      </c>
      <c r="D21" s="26">
        <f t="shared" si="1"/>
        <v>2.4564002528533257E-2</v>
      </c>
      <c r="E21" s="27">
        <v>1196</v>
      </c>
      <c r="F21" s="26">
        <f t="shared" si="2"/>
        <v>1.3655774017492179E-2</v>
      </c>
      <c r="G21" s="27">
        <v>267</v>
      </c>
      <c r="H21" s="26">
        <f t="shared" si="3"/>
        <v>5.832241153342071E-3</v>
      </c>
      <c r="I21" s="27">
        <f>'plazas aut municipio x cat'!BK22</f>
        <v>4767</v>
      </c>
      <c r="J21" s="26">
        <f t="shared" si="4"/>
        <v>3.8798997265268913E-2</v>
      </c>
      <c r="K21" s="27">
        <v>22</v>
      </c>
      <c r="L21" s="26">
        <f t="shared" si="5"/>
        <v>3.949730700179533E-2</v>
      </c>
      <c r="M21" s="27">
        <v>82</v>
      </c>
      <c r="N21" s="26">
        <f t="shared" si="6"/>
        <v>7.6350093109869649E-2</v>
      </c>
      <c r="BJ21" s="4">
        <v>6</v>
      </c>
    </row>
    <row r="22" spans="1:62" s="4" customFormat="1" x14ac:dyDescent="0.25">
      <c r="A22" s="24"/>
      <c r="B22" s="24" t="s">
        <v>38</v>
      </c>
      <c r="C22" s="25">
        <f t="shared" si="0"/>
        <v>984</v>
      </c>
      <c r="D22" s="26">
        <f t="shared" si="1"/>
        <v>3.8160685961598872E-3</v>
      </c>
      <c r="E22" s="27">
        <v>0</v>
      </c>
      <c r="F22" s="26">
        <f t="shared" si="2"/>
        <v>0</v>
      </c>
      <c r="G22" s="27">
        <v>0</v>
      </c>
      <c r="H22" s="26">
        <f t="shared" si="3"/>
        <v>0</v>
      </c>
      <c r="I22" s="27">
        <f>'plazas aut municipio x cat'!BK23</f>
        <v>958</v>
      </c>
      <c r="J22" s="26">
        <f t="shared" si="4"/>
        <v>7.7972392238572731E-3</v>
      </c>
      <c r="K22" s="27">
        <v>0</v>
      </c>
      <c r="L22" s="26">
        <f t="shared" si="5"/>
        <v>0</v>
      </c>
      <c r="M22" s="27">
        <v>26</v>
      </c>
      <c r="N22" s="26">
        <f t="shared" si="6"/>
        <v>2.4208566108007448E-2</v>
      </c>
      <c r="BJ22" s="4">
        <v>0</v>
      </c>
    </row>
    <row r="23" spans="1:62" s="4" customFormat="1" x14ac:dyDescent="0.25">
      <c r="A23" s="24"/>
      <c r="B23" s="24" t="s">
        <v>39</v>
      </c>
      <c r="C23" s="25">
        <f t="shared" si="0"/>
        <v>2228</v>
      </c>
      <c r="D23" s="26">
        <f t="shared" si="1"/>
        <v>8.6404480002481993E-3</v>
      </c>
      <c r="E23" s="27">
        <v>111</v>
      </c>
      <c r="F23" s="26">
        <f t="shared" si="2"/>
        <v>1.2673837089812975E-3</v>
      </c>
      <c r="G23" s="27">
        <v>48</v>
      </c>
      <c r="H23" s="26">
        <f t="shared" si="3"/>
        <v>1.0484927916120576E-3</v>
      </c>
      <c r="I23" s="27">
        <f>'plazas aut municipio x cat'!BK24</f>
        <v>1975</v>
      </c>
      <c r="J23" s="26">
        <f t="shared" si="4"/>
        <v>1.6074684203672352E-2</v>
      </c>
      <c r="K23" s="27">
        <v>28</v>
      </c>
      <c r="L23" s="26">
        <f t="shared" si="5"/>
        <v>5.0269299820466788E-2</v>
      </c>
      <c r="M23" s="27">
        <v>66</v>
      </c>
      <c r="N23" s="26">
        <f t="shared" si="6"/>
        <v>6.1452513966480445E-2</v>
      </c>
      <c r="BJ23" s="4">
        <v>4</v>
      </c>
    </row>
    <row r="24" spans="1:62" s="4" customFormat="1" x14ac:dyDescent="0.25">
      <c r="A24" s="24"/>
      <c r="B24" s="24" t="s">
        <v>40</v>
      </c>
      <c r="C24" s="25">
        <f t="shared" si="0"/>
        <v>28001</v>
      </c>
      <c r="D24" s="26">
        <f t="shared" si="1"/>
        <v>0.10859119589539938</v>
      </c>
      <c r="E24" s="27">
        <v>16881</v>
      </c>
      <c r="F24" s="26">
        <f t="shared" si="2"/>
        <v>0.19274508460642598</v>
      </c>
      <c r="G24" s="27">
        <v>4278</v>
      </c>
      <c r="H24" s="26">
        <f t="shared" si="3"/>
        <v>9.3446920052424637E-2</v>
      </c>
      <c r="I24" s="27">
        <f>'plazas aut municipio x cat'!BK25</f>
        <v>6842</v>
      </c>
      <c r="J24" s="26">
        <f t="shared" si="4"/>
        <v>5.5687589529886707E-2</v>
      </c>
      <c r="K24" s="27">
        <v>0</v>
      </c>
      <c r="L24" s="26">
        <f t="shared" si="5"/>
        <v>0</v>
      </c>
      <c r="M24" s="27">
        <v>0</v>
      </c>
      <c r="N24" s="26">
        <f t="shared" si="6"/>
        <v>0</v>
      </c>
      <c r="BJ24" s="4">
        <v>0</v>
      </c>
    </row>
    <row r="25" spans="1:62" s="4" customFormat="1" x14ac:dyDescent="0.25">
      <c r="A25" s="24"/>
      <c r="B25" s="24" t="s">
        <v>41</v>
      </c>
      <c r="C25" s="25">
        <f t="shared" si="0"/>
        <v>3455</v>
      </c>
      <c r="D25" s="26">
        <f t="shared" si="1"/>
        <v>1.3398899389971962E-2</v>
      </c>
      <c r="E25" s="27">
        <v>1355</v>
      </c>
      <c r="F25" s="26">
        <f t="shared" si="2"/>
        <v>1.5471215546573496E-2</v>
      </c>
      <c r="G25" s="27">
        <v>355</v>
      </c>
      <c r="H25" s="26">
        <f>G25/$G$7</f>
        <v>7.7544779379641769E-3</v>
      </c>
      <c r="I25" s="27">
        <f>'plazas aut municipio x cat'!BK26</f>
        <v>1500</v>
      </c>
      <c r="J25" s="26">
        <f t="shared" si="4"/>
        <v>1.2208620914181534E-2</v>
      </c>
      <c r="K25" s="27">
        <v>90</v>
      </c>
      <c r="L25" s="26">
        <f t="shared" si="5"/>
        <v>0.1615798922800718</v>
      </c>
      <c r="M25" s="27">
        <v>155</v>
      </c>
      <c r="N25" s="26">
        <f t="shared" si="6"/>
        <v>0.14432029795158285</v>
      </c>
      <c r="BJ25" s="4">
        <v>0</v>
      </c>
    </row>
    <row r="26" spans="1:62" s="4" customFormat="1" x14ac:dyDescent="0.25">
      <c r="A26" s="24"/>
      <c r="B26" s="24" t="s">
        <v>42</v>
      </c>
      <c r="C26" s="25">
        <f>E26+G26+K26+M26+I26</f>
        <v>2394</v>
      </c>
      <c r="D26" s="26">
        <f t="shared" si="1"/>
        <v>9.2842156699255787E-3</v>
      </c>
      <c r="E26" s="27">
        <v>21</v>
      </c>
      <c r="F26" s="26">
        <f t="shared" si="2"/>
        <v>2.3977529629375899E-4</v>
      </c>
      <c r="G26" s="27">
        <v>7</v>
      </c>
      <c r="H26" s="26">
        <f t="shared" si="3"/>
        <v>1.529051987767584E-4</v>
      </c>
      <c r="I26" s="27">
        <f>'plazas aut municipio x cat'!BK27</f>
        <v>2317</v>
      </c>
      <c r="J26" s="26">
        <f>I26/$I$7</f>
        <v>1.8858249772105744E-2</v>
      </c>
      <c r="K26" s="27">
        <v>20</v>
      </c>
      <c r="L26" s="26">
        <f t="shared" si="5"/>
        <v>3.5906642728904849E-2</v>
      </c>
      <c r="M26" s="27">
        <v>29</v>
      </c>
      <c r="N26" s="26">
        <f t="shared" si="6"/>
        <v>2.7001862197392923E-2</v>
      </c>
      <c r="BJ26" s="4">
        <v>7</v>
      </c>
    </row>
    <row r="27" spans="1:62" s="4" customFormat="1" x14ac:dyDescent="0.25">
      <c r="A27" s="24"/>
      <c r="B27" s="24" t="s">
        <v>43</v>
      </c>
      <c r="C27" s="25">
        <f t="shared" si="0"/>
        <v>356</v>
      </c>
      <c r="D27" s="26">
        <f t="shared" si="1"/>
        <v>1.3806101831635364E-3</v>
      </c>
      <c r="E27" s="27">
        <v>0</v>
      </c>
      <c r="F27" s="26">
        <f t="shared" si="2"/>
        <v>0</v>
      </c>
      <c r="G27" s="27">
        <v>11</v>
      </c>
      <c r="H27" s="26">
        <f>G27/$G$7</f>
        <v>2.4027959807776321E-4</v>
      </c>
      <c r="I27" s="27">
        <f>'plazas aut municipio x cat'!BK28</f>
        <v>316</v>
      </c>
      <c r="J27" s="26">
        <f t="shared" si="4"/>
        <v>2.5719494725875763E-3</v>
      </c>
      <c r="K27" s="27">
        <v>16</v>
      </c>
      <c r="L27" s="26">
        <f t="shared" si="5"/>
        <v>2.8725314183123879E-2</v>
      </c>
      <c r="M27" s="27">
        <v>13</v>
      </c>
      <c r="N27" s="26">
        <f t="shared" si="6"/>
        <v>1.2104283054003724E-2</v>
      </c>
      <c r="BJ27" s="4">
        <v>0</v>
      </c>
    </row>
    <row r="28" spans="1:62" s="4" customFormat="1" x14ac:dyDescent="0.25">
      <c r="A28" s="24"/>
      <c r="B28" s="24" t="s">
        <v>44</v>
      </c>
      <c r="C28" s="25">
        <f t="shared" si="0"/>
        <v>12678</v>
      </c>
      <c r="D28" s="26">
        <f t="shared" si="1"/>
        <v>4.9166786241986837E-2</v>
      </c>
      <c r="E28" s="27">
        <v>3368</v>
      </c>
      <c r="F28" s="26">
        <f t="shared" si="2"/>
        <v>3.845539037701811E-2</v>
      </c>
      <c r="G28" s="27">
        <v>3133</v>
      </c>
      <c r="H28" s="26">
        <f t="shared" ref="H28:H30" si="7">G28/$G$7</f>
        <v>6.8435998252512009E-2</v>
      </c>
      <c r="I28" s="27">
        <f>'plazas aut municipio x cat'!BK29</f>
        <v>6117</v>
      </c>
      <c r="J28" s="26">
        <f t="shared" si="4"/>
        <v>4.9786756088032298E-2</v>
      </c>
      <c r="K28" s="27">
        <v>32</v>
      </c>
      <c r="L28" s="26">
        <f t="shared" si="5"/>
        <v>5.7450628366247758E-2</v>
      </c>
      <c r="M28" s="27">
        <v>28</v>
      </c>
      <c r="N28" s="26">
        <f t="shared" si="6"/>
        <v>2.6070763500931099E-2</v>
      </c>
      <c r="BJ28" s="4">
        <v>0</v>
      </c>
    </row>
    <row r="29" spans="1:62" s="4" customFormat="1" x14ac:dyDescent="0.25">
      <c r="A29" s="24"/>
      <c r="B29" s="24" t="s">
        <v>45</v>
      </c>
      <c r="C29" s="25">
        <f t="shared" si="0"/>
        <v>13233</v>
      </c>
      <c r="D29" s="26">
        <f t="shared" si="1"/>
        <v>5.1319142005064822E-2</v>
      </c>
      <c r="E29" s="27">
        <v>2944</v>
      </c>
      <c r="F29" s="26">
        <f t="shared" si="2"/>
        <v>3.3614212966134593E-2</v>
      </c>
      <c r="G29" s="27">
        <v>50</v>
      </c>
      <c r="H29" s="26">
        <f t="shared" si="7"/>
        <v>1.0921799912625601E-3</v>
      </c>
      <c r="I29" s="27">
        <f>'plazas aut municipio x cat'!BK30</f>
        <v>10224</v>
      </c>
      <c r="J29" s="26">
        <f t="shared" si="4"/>
        <v>8.3213960151061334E-2</v>
      </c>
      <c r="K29" s="27">
        <v>0</v>
      </c>
      <c r="L29" s="26">
        <f t="shared" si="5"/>
        <v>0</v>
      </c>
      <c r="M29" s="27">
        <v>15</v>
      </c>
      <c r="N29" s="26">
        <f t="shared" si="6"/>
        <v>1.3966480446927373E-2</v>
      </c>
      <c r="BJ29" s="4">
        <v>6</v>
      </c>
    </row>
    <row r="30" spans="1:62" s="4" customFormat="1" x14ac:dyDescent="0.25">
      <c r="A30" s="24"/>
      <c r="B30" s="24" t="s">
        <v>46</v>
      </c>
      <c r="C30" s="25">
        <f t="shared" si="0"/>
        <v>2016</v>
      </c>
      <c r="D30" s="26">
        <f t="shared" si="1"/>
        <v>7.8182868799373303E-3</v>
      </c>
      <c r="E30" s="27">
        <v>0</v>
      </c>
      <c r="F30" s="26">
        <f t="shared" si="2"/>
        <v>0</v>
      </c>
      <c r="G30" s="27">
        <v>0</v>
      </c>
      <c r="H30" s="26">
        <f t="shared" si="7"/>
        <v>0</v>
      </c>
      <c r="I30" s="27">
        <f>'plazas aut municipio x cat'!BK31</f>
        <v>2016</v>
      </c>
      <c r="J30" s="26">
        <f t="shared" si="4"/>
        <v>1.6408386508659983E-2</v>
      </c>
      <c r="K30" s="27">
        <v>0</v>
      </c>
      <c r="L30" s="26">
        <f t="shared" si="5"/>
        <v>0</v>
      </c>
      <c r="M30" s="27">
        <v>0</v>
      </c>
      <c r="N30" s="26">
        <f t="shared" si="6"/>
        <v>0</v>
      </c>
      <c r="BJ30" s="4">
        <v>0</v>
      </c>
    </row>
    <row r="31" spans="1:62" s="4" customFormat="1" x14ac:dyDescent="0.25">
      <c r="A31" s="24"/>
      <c r="B31" s="24" t="s">
        <v>47</v>
      </c>
      <c r="C31" s="25">
        <f t="shared" si="0"/>
        <v>13288</v>
      </c>
      <c r="D31" s="26">
        <f t="shared" si="1"/>
        <v>5.1532438522126606E-2</v>
      </c>
      <c r="E31" s="27">
        <v>4459</v>
      </c>
      <c r="F31" s="26">
        <f t="shared" si="2"/>
        <v>5.091228791304149E-2</v>
      </c>
      <c r="G31" s="27">
        <v>3010</v>
      </c>
      <c r="H31" s="26">
        <f t="shared" si="3"/>
        <v>6.5749235474006115E-2</v>
      </c>
      <c r="I31" s="27">
        <f>'plazas aut municipio x cat'!BK32</f>
        <v>5819</v>
      </c>
      <c r="J31" s="26">
        <f t="shared" si="4"/>
        <v>4.7361310066414898E-2</v>
      </c>
      <c r="K31" s="27">
        <v>0</v>
      </c>
      <c r="L31" s="26">
        <f t="shared" si="5"/>
        <v>0</v>
      </c>
      <c r="M31" s="27">
        <v>0</v>
      </c>
      <c r="N31" s="26">
        <f t="shared" si="6"/>
        <v>0</v>
      </c>
      <c r="BJ31" s="4">
        <v>0</v>
      </c>
    </row>
    <row r="32" spans="1:62" s="4" customFormat="1" x14ac:dyDescent="0.25">
      <c r="A32" s="24"/>
      <c r="B32" s="24" t="s">
        <v>48</v>
      </c>
      <c r="C32" s="25">
        <f t="shared" si="0"/>
        <v>801</v>
      </c>
      <c r="D32" s="26">
        <f t="shared" si="1"/>
        <v>3.1063729121179567E-3</v>
      </c>
      <c r="E32" s="27">
        <v>14</v>
      </c>
      <c r="F32" s="26">
        <f t="shared" si="2"/>
        <v>1.5985019752917266E-4</v>
      </c>
      <c r="G32" s="27">
        <v>0</v>
      </c>
      <c r="H32" s="26">
        <f t="shared" si="3"/>
        <v>0</v>
      </c>
      <c r="I32" s="27">
        <f>'plazas aut municipio x cat'!BK33</f>
        <v>769</v>
      </c>
      <c r="J32" s="26">
        <f t="shared" si="4"/>
        <v>6.2589529886703998E-3</v>
      </c>
      <c r="K32" s="27">
        <v>14</v>
      </c>
      <c r="L32" s="26">
        <f t="shared" si="5"/>
        <v>2.5134649910233394E-2</v>
      </c>
      <c r="M32" s="27">
        <v>4</v>
      </c>
      <c r="N32" s="26">
        <f t="shared" si="6"/>
        <v>3.7243947858472998E-3</v>
      </c>
      <c r="BJ32" s="4">
        <v>0</v>
      </c>
    </row>
    <row r="33" spans="1:62" s="4" customFormat="1" x14ac:dyDescent="0.25">
      <c r="A33" s="24"/>
      <c r="B33" s="24" t="s">
        <v>49</v>
      </c>
      <c r="C33" s="25">
        <f t="shared" si="0"/>
        <v>735</v>
      </c>
      <c r="D33" s="26">
        <f t="shared" si="1"/>
        <v>2.850417091643818E-3</v>
      </c>
      <c r="E33" s="27">
        <v>98</v>
      </c>
      <c r="F33" s="26">
        <f t="shared" si="2"/>
        <v>1.1189513827042086E-3</v>
      </c>
      <c r="G33" s="27">
        <v>14</v>
      </c>
      <c r="H33" s="26">
        <f t="shared" si="3"/>
        <v>3.058103975535168E-4</v>
      </c>
      <c r="I33" s="27">
        <f>'plazas aut municipio x cat'!BK34</f>
        <v>578</v>
      </c>
      <c r="J33" s="26">
        <f t="shared" si="4"/>
        <v>4.7043885922646179E-3</v>
      </c>
      <c r="K33" s="27">
        <v>24</v>
      </c>
      <c r="L33" s="26">
        <f t="shared" si="5"/>
        <v>4.3087971274685818E-2</v>
      </c>
      <c r="M33" s="27">
        <v>21</v>
      </c>
      <c r="N33" s="26">
        <f t="shared" si="6"/>
        <v>1.9553072625698324E-2</v>
      </c>
      <c r="BJ33" s="4">
        <v>10</v>
      </c>
    </row>
    <row r="34" spans="1:62" s="4" customFormat="1" x14ac:dyDescent="0.25">
      <c r="A34" s="24"/>
      <c r="B34" s="24" t="s">
        <v>50</v>
      </c>
      <c r="C34" s="25">
        <f t="shared" si="0"/>
        <v>2344</v>
      </c>
      <c r="D34" s="26">
        <f t="shared" si="1"/>
        <v>9.0903097453239583E-3</v>
      </c>
      <c r="E34" s="27">
        <v>12</v>
      </c>
      <c r="F34" s="26">
        <f t="shared" si="2"/>
        <v>1.3701445502500514E-4</v>
      </c>
      <c r="G34" s="27">
        <v>272</v>
      </c>
      <c r="H34" s="26">
        <f t="shared" si="3"/>
        <v>5.9414591524683267E-3</v>
      </c>
      <c r="I34" s="27">
        <f>'plazas aut municipio x cat'!BK35</f>
        <v>2025</v>
      </c>
      <c r="J34" s="26">
        <f t="shared" si="4"/>
        <v>1.6481638234145071E-2</v>
      </c>
      <c r="K34" s="27">
        <v>0</v>
      </c>
      <c r="L34" s="26">
        <f t="shared" si="5"/>
        <v>0</v>
      </c>
      <c r="M34" s="27">
        <v>35</v>
      </c>
      <c r="N34" s="26">
        <f t="shared" si="6"/>
        <v>3.2588454376163874E-2</v>
      </c>
      <c r="BJ34" s="4">
        <v>0</v>
      </c>
    </row>
    <row r="35" spans="1:62" s="4" customFormat="1" x14ac:dyDescent="0.25">
      <c r="A35" s="24"/>
      <c r="B35" s="24" t="s">
        <v>51</v>
      </c>
      <c r="C35" s="25">
        <f t="shared" si="0"/>
        <v>356</v>
      </c>
      <c r="D35" s="26">
        <f t="shared" si="1"/>
        <v>1.3806101831635364E-3</v>
      </c>
      <c r="E35" s="27">
        <v>0</v>
      </c>
      <c r="F35" s="26">
        <f t="shared" si="2"/>
        <v>0</v>
      </c>
      <c r="G35" s="27">
        <v>14</v>
      </c>
      <c r="H35" s="26">
        <f t="shared" si="3"/>
        <v>3.058103975535168E-4</v>
      </c>
      <c r="I35" s="27">
        <f>'plazas aut municipio x cat'!BK36</f>
        <v>309</v>
      </c>
      <c r="J35" s="26">
        <f t="shared" si="4"/>
        <v>2.514975908321396E-3</v>
      </c>
      <c r="K35" s="27">
        <v>21</v>
      </c>
      <c r="L35" s="26">
        <f t="shared" si="5"/>
        <v>3.7701974865350089E-2</v>
      </c>
      <c r="M35" s="27">
        <v>12</v>
      </c>
      <c r="N35" s="26">
        <f t="shared" si="6"/>
        <v>1.11731843575419E-2</v>
      </c>
      <c r="BJ35" s="4">
        <v>0</v>
      </c>
    </row>
    <row r="36" spans="1:62" s="4" customFormat="1" x14ac:dyDescent="0.25">
      <c r="A36" s="24"/>
      <c r="B36" s="24" t="s">
        <v>52</v>
      </c>
      <c r="C36" s="25">
        <f t="shared" si="0"/>
        <v>409</v>
      </c>
      <c r="D36" s="26">
        <f t="shared" si="1"/>
        <v>1.5861504632412539E-3</v>
      </c>
      <c r="E36" s="27">
        <v>10</v>
      </c>
      <c r="F36" s="26">
        <f t="shared" si="2"/>
        <v>1.1417871252083761E-4</v>
      </c>
      <c r="G36" s="27">
        <v>17</v>
      </c>
      <c r="H36" s="26">
        <f t="shared" si="3"/>
        <v>3.7134119702927042E-4</v>
      </c>
      <c r="I36" s="27">
        <f>'plazas aut municipio x cat'!BK37</f>
        <v>369</v>
      </c>
      <c r="J36" s="26">
        <f t="shared" si="4"/>
        <v>3.0033207448886576E-3</v>
      </c>
      <c r="K36" s="27">
        <v>0</v>
      </c>
      <c r="L36" s="26">
        <f t="shared" si="5"/>
        <v>0</v>
      </c>
      <c r="M36" s="27">
        <v>13</v>
      </c>
      <c r="N36" s="26">
        <f t="shared" si="6"/>
        <v>1.2104283054003724E-2</v>
      </c>
      <c r="P36" s="28"/>
      <c r="BJ36" s="4">
        <v>7</v>
      </c>
    </row>
    <row r="37" spans="1:62" s="4" customFormat="1" x14ac:dyDescent="0.25">
      <c r="A37" s="24"/>
      <c r="B37" s="24" t="s">
        <v>53</v>
      </c>
      <c r="C37" s="25">
        <f t="shared" si="0"/>
        <v>405</v>
      </c>
      <c r="D37" s="26">
        <f t="shared" si="1"/>
        <v>1.5706379892731243E-3</v>
      </c>
      <c r="E37" s="27">
        <v>0</v>
      </c>
      <c r="F37" s="26">
        <f t="shared" si="2"/>
        <v>0</v>
      </c>
      <c r="G37" s="27">
        <v>0</v>
      </c>
      <c r="H37" s="26">
        <f t="shared" si="3"/>
        <v>0</v>
      </c>
      <c r="I37" s="27">
        <f>'plazas aut municipio x cat'!BK38</f>
        <v>393</v>
      </c>
      <c r="J37" s="26">
        <f t="shared" si="4"/>
        <v>3.1986586795155619E-3</v>
      </c>
      <c r="K37" s="27">
        <v>0</v>
      </c>
      <c r="L37" s="26">
        <f t="shared" si="5"/>
        <v>0</v>
      </c>
      <c r="M37" s="27">
        <v>12</v>
      </c>
      <c r="N37" s="26">
        <f t="shared" si="6"/>
        <v>1.11731843575419E-2</v>
      </c>
      <c r="BJ37" s="4">
        <v>0</v>
      </c>
    </row>
    <row r="38" spans="1:62" s="4" customFormat="1" x14ac:dyDescent="0.25">
      <c r="A38" s="24"/>
      <c r="B38" s="24" t="s">
        <v>54</v>
      </c>
      <c r="C38" s="25">
        <f t="shared" si="0"/>
        <v>657</v>
      </c>
      <c r="D38" s="26">
        <f t="shared" si="1"/>
        <v>2.5479238492652906E-3</v>
      </c>
      <c r="E38" s="27">
        <v>119</v>
      </c>
      <c r="F38" s="26">
        <f t="shared" si="2"/>
        <v>1.3587266789979676E-3</v>
      </c>
      <c r="G38" s="27">
        <v>6</v>
      </c>
      <c r="H38" s="26">
        <f t="shared" si="3"/>
        <v>1.310615989515072E-4</v>
      </c>
      <c r="I38" s="27">
        <f>'plazas aut municipio x cat'!BK39</f>
        <v>486</v>
      </c>
      <c r="J38" s="26">
        <f t="shared" si="4"/>
        <v>3.9555931761948169E-3</v>
      </c>
      <c r="K38" s="27">
        <v>40</v>
      </c>
      <c r="L38" s="26">
        <f t="shared" si="5"/>
        <v>7.1813285457809697E-2</v>
      </c>
      <c r="M38" s="27">
        <v>6</v>
      </c>
      <c r="N38" s="26">
        <f t="shared" si="6"/>
        <v>5.5865921787709499E-3</v>
      </c>
      <c r="BJ38" s="4">
        <v>6</v>
      </c>
    </row>
    <row r="39" spans="1:62" s="4" customFormat="1" x14ac:dyDescent="0.25">
      <c r="B39" s="24"/>
      <c r="C39" s="29"/>
      <c r="D39" s="30"/>
      <c r="E39" s="31"/>
      <c r="F39" s="30"/>
      <c r="G39" s="31"/>
      <c r="H39" s="30"/>
      <c r="I39" s="27"/>
      <c r="J39" s="30"/>
      <c r="K39" s="31"/>
      <c r="L39" s="30"/>
      <c r="M39" s="31"/>
      <c r="N39" s="30"/>
      <c r="BJ39" s="4">
        <v>0</v>
      </c>
    </row>
    <row r="40" spans="1:62" s="4" customFormat="1" ht="6" customHeight="1" x14ac:dyDescent="0.25">
      <c r="A40" s="4">
        <v>0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</row>
    <row r="41" spans="1:62" s="4" customFormat="1" ht="29.25" customHeight="1" x14ac:dyDescent="0.25">
      <c r="B41" s="34" t="s">
        <v>55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62" s="4" customFormat="1" x14ac:dyDescent="0.25"/>
    <row r="43" spans="1:62" hidden="1" x14ac:dyDescent="0.25">
      <c r="B43" t="s">
        <v>56</v>
      </c>
      <c r="C43" s="35">
        <f>SUM(C8:C11,C13:C14,C16,C18,C19,C26,C28,C31,C38)</f>
        <v>190327</v>
      </c>
      <c r="D43" s="26">
        <f>C43/$C43</f>
        <v>1</v>
      </c>
      <c r="E43" s="35">
        <f>SUM(E8:E11,E13:E14,E16,E18,E19,E26,E28,E31,E38)</f>
        <v>64615</v>
      </c>
      <c r="F43" s="26">
        <f>E43/$C43</f>
        <v>0.33949465919181199</v>
      </c>
      <c r="G43" s="35">
        <f>SUM(G8:G11,G13:G14,G16,G18,G19,G26,G28,G31,G38)</f>
        <v>40390</v>
      </c>
      <c r="H43" s="26">
        <f>G43/$C43</f>
        <v>0.21221371639336511</v>
      </c>
      <c r="I43" s="35">
        <v>69501</v>
      </c>
      <c r="J43" s="26">
        <f>I43/$C43</f>
        <v>0.36516626647821909</v>
      </c>
      <c r="K43" s="35">
        <f>SUM(K8:K11,K13:K14,K16,K18,K19,K26,K28,K31,K38)</f>
        <v>264</v>
      </c>
      <c r="L43" s="26">
        <f>K43/$C43</f>
        <v>1.3870864354505667E-3</v>
      </c>
      <c r="M43" s="35">
        <f>SUM(M8:M11,M13:M14,M16,M18,M19,M26,M28,M31,M38)</f>
        <v>413</v>
      </c>
      <c r="N43" s="26">
        <f>M43/$C43</f>
        <v>2.1699496130344093E-3</v>
      </c>
    </row>
    <row r="44" spans="1:62" hidden="1" x14ac:dyDescent="0.25">
      <c r="B44" t="s">
        <v>57</v>
      </c>
      <c r="C44" s="35">
        <f>SUM(C12,C15,C17,C20,C22,C23:C25,C27,C30,C32,C33,C35,C37)</f>
        <v>45210</v>
      </c>
      <c r="D44" s="26">
        <f t="shared" ref="D44:F46" si="8">C44/$C44</f>
        <v>1</v>
      </c>
      <c r="E44" s="35">
        <f>SUM(E12,E15,E17,E20,E22,E23:E25,E27,E30,E32,E33,E35,E37)</f>
        <v>18805</v>
      </c>
      <c r="F44" s="26">
        <f t="shared" si="8"/>
        <v>0.41594779915947799</v>
      </c>
      <c r="G44" s="35">
        <f>SUM(G12,G15,G17,G20,G22,G23:G25,G27,G30,G32,G33,G35,G37)</f>
        <v>4784</v>
      </c>
      <c r="H44" s="26">
        <f t="shared" ref="H44:H46" si="9">G44/$C44</f>
        <v>0.10581729705817297</v>
      </c>
      <c r="I44" s="35">
        <v>17463</v>
      </c>
      <c r="J44" s="26">
        <f t="shared" ref="J44:J46" si="10">I44/$C44</f>
        <v>0.38626410086264101</v>
      </c>
      <c r="K44" s="35">
        <f>SUM(K12,K15,K17,K20,K22,K23:K25,K27,K30,K32,K33,K35,K37)</f>
        <v>271</v>
      </c>
      <c r="L44" s="26">
        <f t="shared" ref="L44:L46" si="11">K44/$C44</f>
        <v>5.9942490599424903E-3</v>
      </c>
      <c r="M44" s="35">
        <f>SUM(M12,M15,M17,M20,M22,M23:M25,M27,M30,M32,M33,M35,M37)</f>
        <v>516</v>
      </c>
      <c r="N44" s="26">
        <f t="shared" ref="N44:N46" si="12">M44/$C44</f>
        <v>1.1413404114134041E-2</v>
      </c>
    </row>
    <row r="45" spans="1:62" hidden="1" x14ac:dyDescent="0.25">
      <c r="B45" t="s">
        <v>58</v>
      </c>
      <c r="C45" s="35">
        <f>SUM(C21,C34,C36)</f>
        <v>9087</v>
      </c>
      <c r="D45" s="26">
        <f t="shared" si="8"/>
        <v>1</v>
      </c>
      <c r="E45" s="35">
        <f>SUM(E21,E34,E36)</f>
        <v>1218</v>
      </c>
      <c r="F45" s="26">
        <f t="shared" si="8"/>
        <v>0.13403763618355893</v>
      </c>
      <c r="G45" s="35">
        <f>SUM(G21,G34,G36)</f>
        <v>556</v>
      </c>
      <c r="H45" s="26">
        <f t="shared" si="9"/>
        <v>6.1186310113348741E-2</v>
      </c>
      <c r="I45" s="35">
        <v>6245</v>
      </c>
      <c r="J45" s="26">
        <f t="shared" si="10"/>
        <v>0.68724551557169578</v>
      </c>
      <c r="K45" s="35">
        <f>SUM(K21,K34,K36)</f>
        <v>22</v>
      </c>
      <c r="L45" s="26">
        <f t="shared" si="11"/>
        <v>2.4210410476504895E-3</v>
      </c>
      <c r="M45" s="35">
        <f>SUM(M21,M34,M36)</f>
        <v>130</v>
      </c>
      <c r="N45" s="26">
        <f t="shared" si="12"/>
        <v>1.4306151645207439E-2</v>
      </c>
    </row>
    <row r="46" spans="1:62" hidden="1" x14ac:dyDescent="0.25">
      <c r="B46" t="s">
        <v>59</v>
      </c>
      <c r="C46" s="35">
        <f>C29</f>
        <v>13233</v>
      </c>
      <c r="D46" s="26">
        <f t="shared" si="8"/>
        <v>1</v>
      </c>
      <c r="E46" s="35">
        <f>E29</f>
        <v>2944</v>
      </c>
      <c r="F46" s="26">
        <f t="shared" si="8"/>
        <v>0.22247411773596312</v>
      </c>
      <c r="G46" s="35">
        <f>G29</f>
        <v>50</v>
      </c>
      <c r="H46" s="26">
        <f t="shared" si="9"/>
        <v>3.778432706113504E-3</v>
      </c>
      <c r="I46" s="35">
        <v>8407</v>
      </c>
      <c r="J46" s="26">
        <f t="shared" si="10"/>
        <v>0.63530567520592462</v>
      </c>
      <c r="K46" s="35">
        <f>K29</f>
        <v>0</v>
      </c>
      <c r="L46" s="26">
        <f t="shared" si="11"/>
        <v>0</v>
      </c>
      <c r="M46" s="35">
        <f>M29</f>
        <v>15</v>
      </c>
      <c r="N46" s="26">
        <f t="shared" si="12"/>
        <v>1.1335298118340512E-3</v>
      </c>
    </row>
  </sheetData>
  <mergeCells count="10">
    <mergeCell ref="B41:N41"/>
    <mergeCell ref="I2:J2"/>
    <mergeCell ref="B3:N3"/>
    <mergeCell ref="B5:B6"/>
    <mergeCell ref="C5:D5"/>
    <mergeCell ref="E5:F5"/>
    <mergeCell ref="G5:H5"/>
    <mergeCell ref="I5:J5"/>
    <mergeCell ref="K5:L5"/>
    <mergeCell ref="M5:N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CF97-4CCE-4543-A066-AE0C8E7372F4}">
  <sheetPr>
    <tabColor rgb="FF92D050"/>
  </sheetPr>
  <dimension ref="A1:BY71"/>
  <sheetViews>
    <sheetView showGridLines="0" workbookViewId="0"/>
  </sheetViews>
  <sheetFormatPr baseColWidth="10" defaultRowHeight="15" x14ac:dyDescent="0.25"/>
  <cols>
    <col min="1" max="1" width="17.7109375" customWidth="1"/>
    <col min="2" max="2" width="23" customWidth="1"/>
    <col min="3" max="71" width="9.5703125" customWidth="1"/>
    <col min="73" max="73" width="17.5703125" customWidth="1"/>
  </cols>
  <sheetData>
    <row r="1" spans="1:77" ht="30" customHeight="1" x14ac:dyDescent="0.25">
      <c r="F1" s="1" t="s">
        <v>13</v>
      </c>
      <c r="H1" s="1" t="s">
        <v>14</v>
      </c>
      <c r="I1" s="1"/>
      <c r="K1" s="1"/>
      <c r="L1" s="1"/>
      <c r="N1" s="36"/>
      <c r="O1" s="36"/>
      <c r="Q1" s="1"/>
      <c r="R1" s="1"/>
      <c r="T1" s="1"/>
      <c r="U1" s="1"/>
      <c r="W1" s="1"/>
      <c r="X1" s="1"/>
      <c r="Z1" s="1"/>
      <c r="AA1" s="1"/>
      <c r="AC1" s="1"/>
      <c r="AD1" s="1"/>
      <c r="AF1" s="1"/>
      <c r="AG1" s="1"/>
      <c r="AI1" s="1"/>
      <c r="AJ1" s="1"/>
      <c r="AL1" s="1"/>
      <c r="AM1" s="1"/>
      <c r="AO1" s="1"/>
      <c r="AP1" s="1"/>
      <c r="AR1" s="1"/>
      <c r="AS1" s="1"/>
      <c r="AU1" s="1"/>
      <c r="AV1" s="1"/>
      <c r="AX1" s="1"/>
      <c r="AY1" s="1"/>
      <c r="BA1" s="1"/>
      <c r="BB1" s="1"/>
      <c r="BD1" s="1"/>
      <c r="BE1" s="1"/>
      <c r="BG1" s="1"/>
      <c r="BH1" s="1"/>
      <c r="BJ1" s="1"/>
      <c r="BK1" s="1"/>
      <c r="BM1" s="1"/>
      <c r="BN1" s="1"/>
      <c r="BP1" s="1"/>
      <c r="BQ1" s="1"/>
      <c r="BS1" s="1"/>
      <c r="BT1" s="37"/>
      <c r="BU1" s="37"/>
      <c r="BV1" s="37"/>
      <c r="BW1" s="37"/>
      <c r="BX1" s="37"/>
      <c r="BY1" s="37"/>
    </row>
    <row r="3" spans="1:77" s="4" customFormat="1" ht="56.25" customHeight="1" thickBot="1" x14ac:dyDescent="0.3">
      <c r="B3" s="13" t="s">
        <v>157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9"/>
      <c r="BL3" s="38"/>
      <c r="BM3" s="38"/>
      <c r="BN3" s="38"/>
      <c r="BO3" s="38"/>
      <c r="BP3" s="38"/>
      <c r="BQ3" s="38"/>
      <c r="BR3" s="38"/>
      <c r="BS3" s="38"/>
    </row>
    <row r="4" spans="1:77" s="4" customFormat="1" ht="9.75" customHeight="1" x14ac:dyDescent="0.25">
      <c r="B4" s="40"/>
      <c r="C4" s="41"/>
      <c r="D4" s="40"/>
      <c r="E4" s="40"/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1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1"/>
      <c r="BL4" s="40"/>
      <c r="BM4" s="40"/>
      <c r="BN4" s="41"/>
      <c r="BO4" s="40"/>
      <c r="BP4" s="40"/>
      <c r="BQ4" s="41"/>
      <c r="BR4" s="40"/>
      <c r="BS4" s="40"/>
    </row>
    <row r="5" spans="1:77" s="4" customFormat="1" x14ac:dyDescent="0.25">
      <c r="B5" s="42"/>
      <c r="C5" s="43"/>
      <c r="D5" s="43"/>
      <c r="E5" s="43"/>
      <c r="F5" s="44" t="s">
        <v>60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6" t="s">
        <v>61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8" t="s">
        <v>18</v>
      </c>
      <c r="BL5" s="49"/>
      <c r="BM5" s="49"/>
      <c r="BN5" s="50" t="s">
        <v>19</v>
      </c>
      <c r="BO5" s="51"/>
      <c r="BP5" s="52"/>
      <c r="BQ5" s="48" t="s">
        <v>20</v>
      </c>
      <c r="BR5" s="49"/>
      <c r="BS5" s="49"/>
      <c r="BT5" s="12" t="s">
        <v>62</v>
      </c>
      <c r="BU5" s="12"/>
      <c r="BV5" s="12"/>
      <c r="BW5" s="12"/>
      <c r="BX5" s="12"/>
      <c r="BY5" s="12"/>
    </row>
    <row r="6" spans="1:77" s="4" customFormat="1" x14ac:dyDescent="0.25">
      <c r="B6" s="15" t="s">
        <v>16</v>
      </c>
      <c r="C6" s="53" t="s">
        <v>17</v>
      </c>
      <c r="D6" s="54"/>
      <c r="E6" s="55"/>
      <c r="F6" s="16" t="s">
        <v>63</v>
      </c>
      <c r="G6" s="15"/>
      <c r="H6" s="17"/>
      <c r="I6" s="16" t="s">
        <v>64</v>
      </c>
      <c r="J6" s="15"/>
      <c r="K6" s="17"/>
      <c r="L6" s="16" t="s">
        <v>65</v>
      </c>
      <c r="M6" s="15"/>
      <c r="N6" s="17"/>
      <c r="O6" s="16" t="s">
        <v>66</v>
      </c>
      <c r="P6" s="15"/>
      <c r="Q6" s="17"/>
      <c r="R6" s="16" t="s">
        <v>67</v>
      </c>
      <c r="S6" s="15"/>
      <c r="T6" s="17"/>
      <c r="U6" s="16" t="s">
        <v>68</v>
      </c>
      <c r="V6" s="15"/>
      <c r="W6" s="17"/>
      <c r="X6" s="16" t="s">
        <v>69</v>
      </c>
      <c r="Y6" s="15"/>
      <c r="Z6" s="17"/>
      <c r="AA6" s="16" t="s">
        <v>70</v>
      </c>
      <c r="AB6" s="15"/>
      <c r="AC6" s="17"/>
      <c r="AD6" s="16" t="s">
        <v>71</v>
      </c>
      <c r="AE6" s="15"/>
      <c r="AF6" s="15"/>
      <c r="AG6" s="50" t="s">
        <v>72</v>
      </c>
      <c r="AH6" s="51"/>
      <c r="AI6" s="52"/>
      <c r="AJ6" s="50" t="s">
        <v>73</v>
      </c>
      <c r="AK6" s="51"/>
      <c r="AL6" s="52"/>
      <c r="AM6" s="50" t="s">
        <v>74</v>
      </c>
      <c r="AN6" s="51"/>
      <c r="AO6" s="52"/>
      <c r="AP6" s="50" t="s">
        <v>75</v>
      </c>
      <c r="AQ6" s="51"/>
      <c r="AR6" s="52"/>
      <c r="AS6" s="50" t="s">
        <v>76</v>
      </c>
      <c r="AT6" s="51"/>
      <c r="AU6" s="52"/>
      <c r="AV6" s="50" t="s">
        <v>66</v>
      </c>
      <c r="AW6" s="51"/>
      <c r="AX6" s="52"/>
      <c r="AY6" s="50" t="s">
        <v>67</v>
      </c>
      <c r="AZ6" s="51"/>
      <c r="BA6" s="52"/>
      <c r="BB6" s="50" t="s">
        <v>68</v>
      </c>
      <c r="BC6" s="51"/>
      <c r="BD6" s="52"/>
      <c r="BE6" s="50" t="s">
        <v>77</v>
      </c>
      <c r="BF6" s="51"/>
      <c r="BG6" s="52"/>
      <c r="BH6" s="50" t="s">
        <v>78</v>
      </c>
      <c r="BI6" s="51"/>
      <c r="BJ6" s="51"/>
      <c r="BK6" s="56"/>
      <c r="BL6" s="15"/>
      <c r="BM6" s="15"/>
      <c r="BN6" s="57"/>
      <c r="BO6" s="54"/>
      <c r="BP6" s="58"/>
      <c r="BQ6" s="56"/>
      <c r="BR6" s="15"/>
      <c r="BS6" s="15"/>
      <c r="BT6" s="59" t="s">
        <v>79</v>
      </c>
      <c r="BU6" s="60"/>
      <c r="BW6" s="59" t="s">
        <v>80</v>
      </c>
      <c r="BX6" s="60"/>
    </row>
    <row r="7" spans="1:77" s="4" customFormat="1" ht="51" x14ac:dyDescent="0.25">
      <c r="A7" s="28"/>
      <c r="B7" s="15"/>
      <c r="C7" s="61" t="s">
        <v>21</v>
      </c>
      <c r="D7" s="62" t="s">
        <v>81</v>
      </c>
      <c r="E7" s="63" t="s">
        <v>82</v>
      </c>
      <c r="F7" s="18" t="s">
        <v>21</v>
      </c>
      <c r="G7" s="64" t="s">
        <v>81</v>
      </c>
      <c r="H7" s="19" t="s">
        <v>82</v>
      </c>
      <c r="I7" s="18" t="s">
        <v>21</v>
      </c>
      <c r="J7" s="64" t="s">
        <v>81</v>
      </c>
      <c r="K7" s="19" t="s">
        <v>82</v>
      </c>
      <c r="L7" s="18" t="s">
        <v>21</v>
      </c>
      <c r="M7" s="64" t="s">
        <v>81</v>
      </c>
      <c r="N7" s="19" t="s">
        <v>82</v>
      </c>
      <c r="O7" s="18" t="s">
        <v>21</v>
      </c>
      <c r="P7" s="64" t="s">
        <v>81</v>
      </c>
      <c r="Q7" s="19" t="s">
        <v>82</v>
      </c>
      <c r="R7" s="18" t="s">
        <v>21</v>
      </c>
      <c r="S7" s="64" t="s">
        <v>81</v>
      </c>
      <c r="T7" s="19" t="s">
        <v>82</v>
      </c>
      <c r="U7" s="18" t="s">
        <v>21</v>
      </c>
      <c r="V7" s="64" t="s">
        <v>81</v>
      </c>
      <c r="W7" s="19" t="s">
        <v>82</v>
      </c>
      <c r="X7" s="18" t="s">
        <v>21</v>
      </c>
      <c r="Y7" s="64" t="s">
        <v>81</v>
      </c>
      <c r="Z7" s="19" t="s">
        <v>82</v>
      </c>
      <c r="AA7" s="18" t="s">
        <v>21</v>
      </c>
      <c r="AB7" s="64" t="s">
        <v>81</v>
      </c>
      <c r="AC7" s="19" t="s">
        <v>82</v>
      </c>
      <c r="AD7" s="18" t="s">
        <v>21</v>
      </c>
      <c r="AE7" s="64" t="s">
        <v>81</v>
      </c>
      <c r="AF7" s="65" t="s">
        <v>82</v>
      </c>
      <c r="AG7" s="66" t="s">
        <v>21</v>
      </c>
      <c r="AH7" s="67" t="s">
        <v>81</v>
      </c>
      <c r="AI7" s="68" t="s">
        <v>82</v>
      </c>
      <c r="AJ7" s="66" t="s">
        <v>21</v>
      </c>
      <c r="AK7" s="67" t="s">
        <v>81</v>
      </c>
      <c r="AL7" s="68" t="s">
        <v>82</v>
      </c>
      <c r="AM7" s="66" t="s">
        <v>21</v>
      </c>
      <c r="AN7" s="67" t="s">
        <v>81</v>
      </c>
      <c r="AO7" s="68" t="s">
        <v>82</v>
      </c>
      <c r="AP7" s="66" t="s">
        <v>21</v>
      </c>
      <c r="AQ7" s="67" t="s">
        <v>81</v>
      </c>
      <c r="AR7" s="68" t="s">
        <v>82</v>
      </c>
      <c r="AS7" s="66" t="s">
        <v>21</v>
      </c>
      <c r="AT7" s="67" t="s">
        <v>81</v>
      </c>
      <c r="AU7" s="68" t="s">
        <v>82</v>
      </c>
      <c r="AV7" s="66" t="s">
        <v>21</v>
      </c>
      <c r="AW7" s="67" t="s">
        <v>81</v>
      </c>
      <c r="AX7" s="68" t="s">
        <v>82</v>
      </c>
      <c r="AY7" s="66" t="s">
        <v>21</v>
      </c>
      <c r="AZ7" s="67" t="s">
        <v>81</v>
      </c>
      <c r="BA7" s="68" t="s">
        <v>82</v>
      </c>
      <c r="BB7" s="66" t="s">
        <v>21</v>
      </c>
      <c r="BC7" s="67" t="s">
        <v>81</v>
      </c>
      <c r="BD7" s="68" t="s">
        <v>82</v>
      </c>
      <c r="BE7" s="66" t="s">
        <v>21</v>
      </c>
      <c r="BF7" s="67" t="s">
        <v>81</v>
      </c>
      <c r="BG7" s="68" t="s">
        <v>82</v>
      </c>
      <c r="BH7" s="66" t="s">
        <v>21</v>
      </c>
      <c r="BI7" s="67" t="s">
        <v>81</v>
      </c>
      <c r="BJ7" s="69" t="s">
        <v>82</v>
      </c>
      <c r="BK7" s="70" t="s">
        <v>21</v>
      </c>
      <c r="BL7" s="64" t="s">
        <v>81</v>
      </c>
      <c r="BM7" s="71" t="s">
        <v>82</v>
      </c>
      <c r="BN7" s="72" t="s">
        <v>21</v>
      </c>
      <c r="BO7" s="62" t="s">
        <v>81</v>
      </c>
      <c r="BP7" s="63" t="s">
        <v>82</v>
      </c>
      <c r="BQ7" s="18" t="s">
        <v>21</v>
      </c>
      <c r="BR7" s="64" t="s">
        <v>81</v>
      </c>
      <c r="BS7" s="19" t="s">
        <v>82</v>
      </c>
      <c r="BU7" s="4" t="s">
        <v>83</v>
      </c>
      <c r="BV7" s="4" t="s">
        <v>21</v>
      </c>
      <c r="BX7" s="4" t="s">
        <v>83</v>
      </c>
      <c r="BY7" s="4" t="s">
        <v>21</v>
      </c>
    </row>
    <row r="8" spans="1:77" s="23" customFormat="1" ht="15.75" x14ac:dyDescent="0.25">
      <c r="A8" s="73"/>
      <c r="B8" s="20" t="s">
        <v>23</v>
      </c>
      <c r="C8" s="21">
        <f>F8+AG8+BK8+BN8+BQ8</f>
        <v>257857</v>
      </c>
      <c r="D8" s="21">
        <f>G8+AH8+BL8+BO8+BR8</f>
        <v>7346</v>
      </c>
      <c r="E8" s="74">
        <f>C8/(C8-D8)-1</f>
        <v>2.9324061618052788E-2</v>
      </c>
      <c r="F8" s="21">
        <v>87582</v>
      </c>
      <c r="G8" s="75">
        <v>-706</v>
      </c>
      <c r="H8" s="22">
        <v>-7.9853206021271994E-3</v>
      </c>
      <c r="I8" s="21">
        <v>1218</v>
      </c>
      <c r="J8" s="75">
        <v>0</v>
      </c>
      <c r="K8" s="22">
        <v>0</v>
      </c>
      <c r="L8" s="21">
        <v>2080</v>
      </c>
      <c r="M8" s="75">
        <v>127</v>
      </c>
      <c r="N8" s="22">
        <v>6.5028161802355378E-2</v>
      </c>
      <c r="O8" s="21">
        <v>12891</v>
      </c>
      <c r="P8" s="75">
        <v>-700</v>
      </c>
      <c r="Q8" s="22">
        <v>-5.1504672209550462E-2</v>
      </c>
      <c r="R8" s="21">
        <v>54763</v>
      </c>
      <c r="S8" s="75">
        <v>198</v>
      </c>
      <c r="T8" s="22">
        <v>3.6286997159351575E-3</v>
      </c>
      <c r="U8" s="21">
        <v>9963</v>
      </c>
      <c r="V8" s="75">
        <v>-418</v>
      </c>
      <c r="W8" s="22">
        <v>-4.0265870340044363E-2</v>
      </c>
      <c r="X8" s="21">
        <v>2822</v>
      </c>
      <c r="Y8" s="75">
        <v>0</v>
      </c>
      <c r="Z8" s="22">
        <v>0</v>
      </c>
      <c r="AA8" s="21">
        <v>3587</v>
      </c>
      <c r="AB8" s="75">
        <v>0</v>
      </c>
      <c r="AC8" s="22">
        <v>0</v>
      </c>
      <c r="AD8" s="21">
        <v>166</v>
      </c>
      <c r="AE8" s="75">
        <v>22</v>
      </c>
      <c r="AF8" s="22">
        <v>0.15277777777777768</v>
      </c>
      <c r="AG8" s="21">
        <v>45780</v>
      </c>
      <c r="AH8" s="75">
        <v>-578</v>
      </c>
      <c r="AI8" s="22">
        <v>-5.5943449412376722E-3</v>
      </c>
      <c r="AJ8" s="21">
        <v>6579</v>
      </c>
      <c r="AK8" s="75">
        <v>2</v>
      </c>
      <c r="AL8" s="22">
        <v>3.0409001064324315E-4</v>
      </c>
      <c r="AM8" s="21">
        <v>10147</v>
      </c>
      <c r="AN8" s="75">
        <v>-883</v>
      </c>
      <c r="AO8" s="22">
        <v>-8.005439709882145E-2</v>
      </c>
      <c r="AP8" s="21">
        <v>17193</v>
      </c>
      <c r="AQ8" s="75">
        <v>308</v>
      </c>
      <c r="AR8" s="22">
        <v>1.8241042345276792E-2</v>
      </c>
      <c r="AS8" s="21">
        <v>218</v>
      </c>
      <c r="AT8" s="75">
        <v>0</v>
      </c>
      <c r="AU8" s="22">
        <v>0</v>
      </c>
      <c r="AV8" s="21">
        <v>7453</v>
      </c>
      <c r="AW8" s="75">
        <v>244</v>
      </c>
      <c r="AX8" s="22">
        <v>3.3846580663060122E-2</v>
      </c>
      <c r="AY8" s="21">
        <v>2099</v>
      </c>
      <c r="AZ8" s="75">
        <v>-164</v>
      </c>
      <c r="BA8" s="22">
        <v>-7.2470172337604999E-2</v>
      </c>
      <c r="BB8" s="21">
        <v>1579</v>
      </c>
      <c r="BC8" s="75">
        <v>0</v>
      </c>
      <c r="BD8" s="22">
        <v>0</v>
      </c>
      <c r="BE8" s="21">
        <v>414</v>
      </c>
      <c r="BF8" s="75">
        <v>75</v>
      </c>
      <c r="BG8" s="22">
        <v>0.22123893805309724</v>
      </c>
      <c r="BH8" s="21">
        <v>98</v>
      </c>
      <c r="BI8" s="75">
        <v>0</v>
      </c>
      <c r="BJ8" s="22">
        <v>0</v>
      </c>
      <c r="BK8" s="21">
        <f>SUM(BK9:BK39)</f>
        <v>122864</v>
      </c>
      <c r="BL8" s="75">
        <f>BV8-BY8</f>
        <v>8610</v>
      </c>
      <c r="BM8" s="22">
        <f>BV9/BY9-1</f>
        <v>8.336005129849311E-2</v>
      </c>
      <c r="BN8" s="21">
        <v>557</v>
      </c>
      <c r="BO8" s="75">
        <v>13</v>
      </c>
      <c r="BP8" s="22">
        <v>2.5782688766114115E-2</v>
      </c>
      <c r="BQ8" s="21">
        <v>1074</v>
      </c>
      <c r="BR8" s="75">
        <v>7</v>
      </c>
      <c r="BS8" s="22">
        <v>7.5046904315196894E-3</v>
      </c>
      <c r="BT8" s="76" t="s">
        <v>84</v>
      </c>
      <c r="BU8" s="77">
        <v>29414</v>
      </c>
      <c r="BV8" s="77">
        <v>122904</v>
      </c>
      <c r="BW8" s="76" t="s">
        <v>84</v>
      </c>
      <c r="BX8" s="77">
        <v>27494</v>
      </c>
      <c r="BY8" s="77">
        <v>114294</v>
      </c>
    </row>
    <row r="9" spans="1:77" s="4" customFormat="1" x14ac:dyDescent="0.25">
      <c r="A9" s="28"/>
      <c r="B9" s="24" t="s">
        <v>24</v>
      </c>
      <c r="C9" s="25">
        <f t="shared" ref="C9:D39" si="0">F9+AG9+BK9+BN9+BQ9</f>
        <v>70201</v>
      </c>
      <c r="D9" s="29">
        <f t="shared" si="0"/>
        <v>852</v>
      </c>
      <c r="E9" s="78">
        <f t="shared" ref="E9:E39" si="1">C9/(C9-D9)-1</f>
        <v>1.228568544607711E-2</v>
      </c>
      <c r="F9" s="27">
        <v>34365</v>
      </c>
      <c r="G9" s="29">
        <v>-738</v>
      </c>
      <c r="H9" s="78">
        <v>-2.1023844115887536E-2</v>
      </c>
      <c r="I9" s="27">
        <v>335</v>
      </c>
      <c r="J9" s="29">
        <v>0</v>
      </c>
      <c r="K9" s="78">
        <v>0</v>
      </c>
      <c r="L9" s="27">
        <v>967</v>
      </c>
      <c r="M9" s="29">
        <v>0</v>
      </c>
      <c r="N9" s="78">
        <v>0</v>
      </c>
      <c r="O9" s="27">
        <v>3479</v>
      </c>
      <c r="P9" s="29">
        <v>0</v>
      </c>
      <c r="Q9" s="78">
        <v>0</v>
      </c>
      <c r="R9" s="27">
        <v>20450</v>
      </c>
      <c r="S9" s="29">
        <v>64</v>
      </c>
      <c r="T9" s="78">
        <v>3.1394093986067961E-3</v>
      </c>
      <c r="U9" s="27">
        <v>5958</v>
      </c>
      <c r="V9" s="29">
        <v>-802</v>
      </c>
      <c r="W9" s="78">
        <v>-0.11863905325443791</v>
      </c>
      <c r="X9" s="27">
        <v>1062</v>
      </c>
      <c r="Y9" s="29">
        <v>0</v>
      </c>
      <c r="Z9" s="78">
        <v>0</v>
      </c>
      <c r="AA9" s="27">
        <v>2114</v>
      </c>
      <c r="AB9" s="29">
        <v>0</v>
      </c>
      <c r="AC9" s="78">
        <v>0</v>
      </c>
      <c r="AD9" s="27">
        <v>0</v>
      </c>
      <c r="AE9" s="29">
        <v>0</v>
      </c>
      <c r="AF9" s="78" t="s">
        <v>158</v>
      </c>
      <c r="AG9" s="27">
        <v>12147</v>
      </c>
      <c r="AH9" s="29">
        <v>-230</v>
      </c>
      <c r="AI9" s="78">
        <v>-1.8582855296113809E-2</v>
      </c>
      <c r="AJ9" s="27">
        <v>1162</v>
      </c>
      <c r="AK9" s="29">
        <v>2</v>
      </c>
      <c r="AL9" s="78">
        <v>1.7241379310344307E-3</v>
      </c>
      <c r="AM9" s="27">
        <v>4184</v>
      </c>
      <c r="AN9" s="29">
        <v>-232</v>
      </c>
      <c r="AO9" s="78">
        <v>-5.2536231884057982E-2</v>
      </c>
      <c r="AP9" s="27">
        <v>3406</v>
      </c>
      <c r="AQ9" s="29">
        <v>0</v>
      </c>
      <c r="AR9" s="78">
        <v>0</v>
      </c>
      <c r="AS9" s="27">
        <v>0</v>
      </c>
      <c r="AT9" s="29">
        <v>0</v>
      </c>
      <c r="AU9" s="78" t="s">
        <v>158</v>
      </c>
      <c r="AV9" s="27">
        <v>2774</v>
      </c>
      <c r="AW9" s="29">
        <v>0</v>
      </c>
      <c r="AX9" s="78">
        <v>0</v>
      </c>
      <c r="AY9" s="27">
        <v>265</v>
      </c>
      <c r="AZ9" s="29">
        <v>0</v>
      </c>
      <c r="BA9" s="78">
        <v>0</v>
      </c>
      <c r="BB9" s="27">
        <v>330</v>
      </c>
      <c r="BC9" s="29">
        <v>0</v>
      </c>
      <c r="BD9" s="78">
        <v>0</v>
      </c>
      <c r="BE9" s="27">
        <v>4</v>
      </c>
      <c r="BF9" s="29">
        <v>0</v>
      </c>
      <c r="BG9" s="78">
        <v>0</v>
      </c>
      <c r="BH9" s="27">
        <v>22</v>
      </c>
      <c r="BI9" s="29">
        <v>0</v>
      </c>
      <c r="BJ9" s="78">
        <v>0</v>
      </c>
      <c r="BK9" s="27">
        <f t="shared" ref="BK9:BK39" si="2">BV9</f>
        <v>23653</v>
      </c>
      <c r="BL9" s="29">
        <f t="shared" ref="BL9:BL39" si="3">BV9-BY9</f>
        <v>1820</v>
      </c>
      <c r="BM9" s="78">
        <f t="shared" ref="BM9:BM38" si="4">BV10/BY10-1</f>
        <v>2.3188405797101463E-2</v>
      </c>
      <c r="BN9" s="27">
        <v>22</v>
      </c>
      <c r="BO9" s="29">
        <v>0</v>
      </c>
      <c r="BP9" s="78">
        <v>0</v>
      </c>
      <c r="BQ9" s="27">
        <v>14</v>
      </c>
      <c r="BR9" s="29">
        <v>0</v>
      </c>
      <c r="BS9" s="78">
        <v>0</v>
      </c>
      <c r="BT9" s="79" t="s">
        <v>24</v>
      </c>
      <c r="BU9">
        <v>5572</v>
      </c>
      <c r="BV9" s="35">
        <v>23653</v>
      </c>
      <c r="BW9" s="79" t="s">
        <v>24</v>
      </c>
      <c r="BX9">
        <v>5111</v>
      </c>
      <c r="BY9" s="35">
        <v>21833</v>
      </c>
    </row>
    <row r="10" spans="1:77" s="4" customFormat="1" x14ac:dyDescent="0.25">
      <c r="A10" s="28"/>
      <c r="B10" s="24" t="s">
        <v>25</v>
      </c>
      <c r="C10" s="25">
        <f t="shared" si="0"/>
        <v>370</v>
      </c>
      <c r="D10" s="29">
        <f t="shared" si="0"/>
        <v>8</v>
      </c>
      <c r="E10" s="78">
        <f t="shared" si="1"/>
        <v>2.2099447513812098E-2</v>
      </c>
      <c r="F10" s="27">
        <v>0</v>
      </c>
      <c r="G10" s="29">
        <v>0</v>
      </c>
      <c r="H10" s="78" t="s">
        <v>158</v>
      </c>
      <c r="I10" s="27">
        <v>0</v>
      </c>
      <c r="J10" s="29">
        <v>0</v>
      </c>
      <c r="K10" s="78" t="s">
        <v>158</v>
      </c>
      <c r="L10" s="27">
        <v>0</v>
      </c>
      <c r="M10" s="29">
        <v>0</v>
      </c>
      <c r="N10" s="78" t="s">
        <v>158</v>
      </c>
      <c r="O10" s="27">
        <v>0</v>
      </c>
      <c r="P10" s="29">
        <v>0</v>
      </c>
      <c r="Q10" s="78" t="s">
        <v>158</v>
      </c>
      <c r="R10" s="27">
        <v>0</v>
      </c>
      <c r="S10" s="29">
        <v>0</v>
      </c>
      <c r="T10" s="78" t="s">
        <v>158</v>
      </c>
      <c r="U10" s="27">
        <v>0</v>
      </c>
      <c r="V10" s="29">
        <v>0</v>
      </c>
      <c r="W10" s="78" t="s">
        <v>158</v>
      </c>
      <c r="X10" s="27">
        <v>0</v>
      </c>
      <c r="Y10" s="29">
        <v>0</v>
      </c>
      <c r="Z10" s="78" t="s">
        <v>158</v>
      </c>
      <c r="AA10" s="27">
        <v>0</v>
      </c>
      <c r="AB10" s="29">
        <v>0</v>
      </c>
      <c r="AC10" s="78" t="s">
        <v>158</v>
      </c>
      <c r="AD10" s="27">
        <v>0</v>
      </c>
      <c r="AE10" s="29">
        <v>0</v>
      </c>
      <c r="AF10" s="78" t="s">
        <v>158</v>
      </c>
      <c r="AG10" s="27">
        <v>0</v>
      </c>
      <c r="AH10" s="29">
        <v>0</v>
      </c>
      <c r="AI10" s="78" t="s">
        <v>158</v>
      </c>
      <c r="AJ10" s="27">
        <v>0</v>
      </c>
      <c r="AK10" s="29">
        <v>0</v>
      </c>
      <c r="AL10" s="78" t="s">
        <v>158</v>
      </c>
      <c r="AM10" s="27">
        <v>0</v>
      </c>
      <c r="AN10" s="29">
        <v>0</v>
      </c>
      <c r="AO10" s="78" t="s">
        <v>158</v>
      </c>
      <c r="AP10" s="27">
        <v>0</v>
      </c>
      <c r="AQ10" s="29">
        <v>0</v>
      </c>
      <c r="AR10" s="78" t="s">
        <v>158</v>
      </c>
      <c r="AS10" s="27">
        <v>0</v>
      </c>
      <c r="AT10" s="29">
        <v>0</v>
      </c>
      <c r="AU10" s="78" t="s">
        <v>158</v>
      </c>
      <c r="AV10" s="27">
        <v>0</v>
      </c>
      <c r="AW10" s="29">
        <v>0</v>
      </c>
      <c r="AX10" s="78" t="s">
        <v>158</v>
      </c>
      <c r="AY10" s="27">
        <v>0</v>
      </c>
      <c r="AZ10" s="29">
        <v>0</v>
      </c>
      <c r="BA10" s="78" t="s">
        <v>158</v>
      </c>
      <c r="BB10" s="27">
        <v>0</v>
      </c>
      <c r="BC10" s="29">
        <v>0</v>
      </c>
      <c r="BD10" s="78" t="s">
        <v>158</v>
      </c>
      <c r="BE10" s="27">
        <v>0</v>
      </c>
      <c r="BF10" s="29">
        <v>0</v>
      </c>
      <c r="BG10" s="78" t="s">
        <v>158</v>
      </c>
      <c r="BH10" s="27">
        <v>0</v>
      </c>
      <c r="BI10" s="29">
        <v>0</v>
      </c>
      <c r="BJ10" s="78" t="s">
        <v>158</v>
      </c>
      <c r="BK10" s="27">
        <f t="shared" si="2"/>
        <v>353</v>
      </c>
      <c r="BL10" s="29">
        <f t="shared" si="3"/>
        <v>8</v>
      </c>
      <c r="BM10" s="78">
        <f t="shared" si="4"/>
        <v>5.1515151515151514E-2</v>
      </c>
      <c r="BN10" s="27">
        <v>0</v>
      </c>
      <c r="BO10" s="29">
        <v>0</v>
      </c>
      <c r="BP10" s="78" t="s">
        <v>158</v>
      </c>
      <c r="BQ10" s="27">
        <v>17</v>
      </c>
      <c r="BR10" s="29">
        <v>0</v>
      </c>
      <c r="BS10" s="78">
        <v>0</v>
      </c>
      <c r="BT10" s="79" t="s">
        <v>25</v>
      </c>
      <c r="BU10">
        <v>71</v>
      </c>
      <c r="BV10" s="35">
        <v>353</v>
      </c>
      <c r="BW10" s="79" t="s">
        <v>25</v>
      </c>
      <c r="BX10">
        <v>66</v>
      </c>
      <c r="BY10" s="35">
        <v>345</v>
      </c>
    </row>
    <row r="11" spans="1:77" s="4" customFormat="1" x14ac:dyDescent="0.25">
      <c r="A11" s="28"/>
      <c r="B11" s="24" t="s">
        <v>26</v>
      </c>
      <c r="C11" s="25">
        <f t="shared" si="0"/>
        <v>3584</v>
      </c>
      <c r="D11" s="29">
        <f t="shared" si="0"/>
        <v>170</v>
      </c>
      <c r="E11" s="78">
        <f t="shared" si="1"/>
        <v>4.9794961921499681E-2</v>
      </c>
      <c r="F11" s="27">
        <v>18</v>
      </c>
      <c r="G11" s="29">
        <v>0</v>
      </c>
      <c r="H11" s="78">
        <v>0</v>
      </c>
      <c r="I11" s="27">
        <v>0</v>
      </c>
      <c r="J11" s="29">
        <v>0</v>
      </c>
      <c r="K11" s="78" t="s">
        <v>158</v>
      </c>
      <c r="L11" s="27">
        <v>18</v>
      </c>
      <c r="M11" s="29">
        <v>0</v>
      </c>
      <c r="N11" s="78">
        <v>0</v>
      </c>
      <c r="O11" s="27">
        <v>0</v>
      </c>
      <c r="P11" s="29">
        <v>0</v>
      </c>
      <c r="Q11" s="78" t="s">
        <v>158</v>
      </c>
      <c r="R11" s="27">
        <v>0</v>
      </c>
      <c r="S11" s="29">
        <v>0</v>
      </c>
      <c r="T11" s="78" t="s">
        <v>158</v>
      </c>
      <c r="U11" s="27">
        <v>0</v>
      </c>
      <c r="V11" s="29">
        <v>0</v>
      </c>
      <c r="W11" s="78" t="s">
        <v>158</v>
      </c>
      <c r="X11" s="27">
        <v>0</v>
      </c>
      <c r="Y11" s="29">
        <v>0</v>
      </c>
      <c r="Z11" s="78" t="s">
        <v>158</v>
      </c>
      <c r="AA11" s="27">
        <v>0</v>
      </c>
      <c r="AB11" s="29">
        <v>0</v>
      </c>
      <c r="AC11" s="78" t="s">
        <v>158</v>
      </c>
      <c r="AD11" s="27">
        <v>0</v>
      </c>
      <c r="AE11" s="29">
        <v>0</v>
      </c>
      <c r="AF11" s="78" t="s">
        <v>158</v>
      </c>
      <c r="AG11" s="27">
        <v>24</v>
      </c>
      <c r="AH11" s="29">
        <v>0</v>
      </c>
      <c r="AI11" s="78">
        <v>0</v>
      </c>
      <c r="AJ11" s="27">
        <v>0</v>
      </c>
      <c r="AK11" s="29">
        <v>0</v>
      </c>
      <c r="AL11" s="78" t="s">
        <v>158</v>
      </c>
      <c r="AM11" s="27">
        <v>0</v>
      </c>
      <c r="AN11" s="29">
        <v>0</v>
      </c>
      <c r="AO11" s="78" t="s">
        <v>158</v>
      </c>
      <c r="AP11" s="27">
        <v>0</v>
      </c>
      <c r="AQ11" s="29">
        <v>0</v>
      </c>
      <c r="AR11" s="78" t="s">
        <v>158</v>
      </c>
      <c r="AS11" s="27">
        <v>0</v>
      </c>
      <c r="AT11" s="29">
        <v>0</v>
      </c>
      <c r="AU11" s="78" t="s">
        <v>158</v>
      </c>
      <c r="AV11" s="27">
        <v>0</v>
      </c>
      <c r="AW11" s="29">
        <v>0</v>
      </c>
      <c r="AX11" s="78" t="s">
        <v>158</v>
      </c>
      <c r="AY11" s="27">
        <v>0</v>
      </c>
      <c r="AZ11" s="29">
        <v>0</v>
      </c>
      <c r="BA11" s="78" t="s">
        <v>158</v>
      </c>
      <c r="BB11" s="27">
        <v>0</v>
      </c>
      <c r="BC11" s="29">
        <v>0</v>
      </c>
      <c r="BD11" s="78" t="s">
        <v>158</v>
      </c>
      <c r="BE11" s="27">
        <v>4</v>
      </c>
      <c r="BF11" s="29">
        <v>0</v>
      </c>
      <c r="BG11" s="78">
        <v>0</v>
      </c>
      <c r="BH11" s="27">
        <v>20</v>
      </c>
      <c r="BI11" s="29">
        <v>0</v>
      </c>
      <c r="BJ11" s="78" t="s">
        <v>158</v>
      </c>
      <c r="BK11" s="27">
        <f t="shared" si="2"/>
        <v>3470</v>
      </c>
      <c r="BL11" s="29">
        <f t="shared" si="3"/>
        <v>170</v>
      </c>
      <c r="BM11" s="78">
        <f t="shared" si="4"/>
        <v>7.0039935050686841E-2</v>
      </c>
      <c r="BN11" s="27">
        <v>0</v>
      </c>
      <c r="BO11" s="29">
        <v>0</v>
      </c>
      <c r="BP11" s="78" t="s">
        <v>158</v>
      </c>
      <c r="BQ11" s="27">
        <v>72</v>
      </c>
      <c r="BR11" s="29">
        <v>0</v>
      </c>
      <c r="BS11" s="78">
        <v>0</v>
      </c>
      <c r="BT11" s="79" t="s">
        <v>26</v>
      </c>
      <c r="BU11">
        <v>762</v>
      </c>
      <c r="BV11" s="35">
        <v>3470</v>
      </c>
      <c r="BW11" s="79" t="s">
        <v>26</v>
      </c>
      <c r="BX11">
        <v>729</v>
      </c>
      <c r="BY11" s="35">
        <v>3300</v>
      </c>
    </row>
    <row r="12" spans="1:77" s="4" customFormat="1" x14ac:dyDescent="0.25">
      <c r="A12" s="28"/>
      <c r="B12" s="24" t="s">
        <v>27</v>
      </c>
      <c r="C12" s="25">
        <f t="shared" si="0"/>
        <v>62463</v>
      </c>
      <c r="D12" s="29">
        <f t="shared" si="0"/>
        <v>1259</v>
      </c>
      <c r="E12" s="78">
        <f t="shared" si="1"/>
        <v>2.0570550944382759E-2</v>
      </c>
      <c r="F12" s="27">
        <v>17164</v>
      </c>
      <c r="G12" s="29">
        <v>-656</v>
      </c>
      <c r="H12" s="78">
        <v>-3.6812570145903445E-2</v>
      </c>
      <c r="I12" s="27">
        <v>190</v>
      </c>
      <c r="J12" s="29">
        <v>0</v>
      </c>
      <c r="K12" s="78">
        <v>0</v>
      </c>
      <c r="L12" s="27">
        <v>96</v>
      </c>
      <c r="M12" s="29">
        <v>0</v>
      </c>
      <c r="N12" s="78">
        <v>0</v>
      </c>
      <c r="O12" s="27">
        <v>2824</v>
      </c>
      <c r="P12" s="29">
        <v>-678</v>
      </c>
      <c r="Q12" s="78">
        <v>-0.1936036550542547</v>
      </c>
      <c r="R12" s="27">
        <v>12425</v>
      </c>
      <c r="S12" s="29">
        <v>0</v>
      </c>
      <c r="T12" s="78">
        <v>0</v>
      </c>
      <c r="U12" s="27">
        <v>1330</v>
      </c>
      <c r="V12" s="29">
        <v>0</v>
      </c>
      <c r="W12" s="78">
        <v>0</v>
      </c>
      <c r="X12" s="27">
        <v>0</v>
      </c>
      <c r="Y12" s="29">
        <v>0</v>
      </c>
      <c r="Z12" s="78" t="s">
        <v>158</v>
      </c>
      <c r="AA12" s="27">
        <v>277</v>
      </c>
      <c r="AB12" s="29">
        <v>0</v>
      </c>
      <c r="AC12" s="78">
        <v>0</v>
      </c>
      <c r="AD12" s="27">
        <v>22</v>
      </c>
      <c r="AE12" s="29">
        <v>22</v>
      </c>
      <c r="AF12" s="78" t="s">
        <v>158</v>
      </c>
      <c r="AG12" s="27">
        <v>20856</v>
      </c>
      <c r="AH12" s="29">
        <v>319</v>
      </c>
      <c r="AI12" s="78">
        <v>1.553294054633092E-2</v>
      </c>
      <c r="AJ12" s="27">
        <v>2829</v>
      </c>
      <c r="AK12" s="29">
        <v>0</v>
      </c>
      <c r="AL12" s="78">
        <v>0</v>
      </c>
      <c r="AM12" s="27">
        <v>3852</v>
      </c>
      <c r="AN12" s="29">
        <v>-407</v>
      </c>
      <c r="AO12" s="78">
        <v>-9.5562338577130812E-2</v>
      </c>
      <c r="AP12" s="27">
        <v>9610</v>
      </c>
      <c r="AQ12" s="29">
        <v>890</v>
      </c>
      <c r="AR12" s="78">
        <v>0.10206422018348627</v>
      </c>
      <c r="AS12" s="27">
        <v>218</v>
      </c>
      <c r="AT12" s="29">
        <v>0</v>
      </c>
      <c r="AU12" s="78">
        <v>0</v>
      </c>
      <c r="AV12" s="27">
        <v>3259</v>
      </c>
      <c r="AW12" s="29">
        <v>0</v>
      </c>
      <c r="AX12" s="78">
        <v>0</v>
      </c>
      <c r="AY12" s="27">
        <v>1088</v>
      </c>
      <c r="AZ12" s="29">
        <v>-164</v>
      </c>
      <c r="BA12" s="78">
        <v>-0.13099041533546329</v>
      </c>
      <c r="BB12" s="27">
        <v>0</v>
      </c>
      <c r="BC12" s="29">
        <v>0</v>
      </c>
      <c r="BD12" s="78" t="s">
        <v>158</v>
      </c>
      <c r="BE12" s="27">
        <v>0</v>
      </c>
      <c r="BF12" s="29">
        <v>0</v>
      </c>
      <c r="BG12" s="78" t="s">
        <v>158</v>
      </c>
      <c r="BH12" s="27">
        <v>0</v>
      </c>
      <c r="BI12" s="29">
        <v>0</v>
      </c>
      <c r="BJ12" s="78" t="s">
        <v>158</v>
      </c>
      <c r="BK12" s="27">
        <f t="shared" si="2"/>
        <v>24383</v>
      </c>
      <c r="BL12" s="29">
        <f t="shared" si="3"/>
        <v>1596</v>
      </c>
      <c r="BM12" s="78">
        <f t="shared" si="4"/>
        <v>0.15159574468085113</v>
      </c>
      <c r="BN12" s="27">
        <v>12</v>
      </c>
      <c r="BO12" s="29">
        <v>0</v>
      </c>
      <c r="BP12" s="78">
        <v>0</v>
      </c>
      <c r="BQ12" s="27">
        <v>48</v>
      </c>
      <c r="BR12" s="29">
        <v>0</v>
      </c>
      <c r="BS12" s="78">
        <v>0</v>
      </c>
      <c r="BT12" s="79" t="s">
        <v>27</v>
      </c>
      <c r="BU12">
        <v>6498</v>
      </c>
      <c r="BV12" s="35">
        <v>24383</v>
      </c>
      <c r="BW12" s="79" t="s">
        <v>27</v>
      </c>
      <c r="BX12">
        <v>6057</v>
      </c>
      <c r="BY12" s="35">
        <v>22787</v>
      </c>
    </row>
    <row r="13" spans="1:77" s="4" customFormat="1" x14ac:dyDescent="0.25">
      <c r="A13" s="80"/>
      <c r="B13" s="24" t="s">
        <v>28</v>
      </c>
      <c r="C13" s="25">
        <f t="shared" si="0"/>
        <v>711</v>
      </c>
      <c r="D13" s="29">
        <f t="shared" si="0"/>
        <v>57</v>
      </c>
      <c r="E13" s="78">
        <f t="shared" si="1"/>
        <v>8.7155963302752326E-2</v>
      </c>
      <c r="F13" s="27">
        <v>234</v>
      </c>
      <c r="G13" s="29">
        <v>0</v>
      </c>
      <c r="H13" s="78">
        <v>0</v>
      </c>
      <c r="I13" s="27">
        <v>0</v>
      </c>
      <c r="J13" s="29">
        <v>0</v>
      </c>
      <c r="K13" s="78" t="s">
        <v>158</v>
      </c>
      <c r="L13" s="27">
        <v>0</v>
      </c>
      <c r="M13" s="29">
        <v>0</v>
      </c>
      <c r="N13" s="78" t="s">
        <v>158</v>
      </c>
      <c r="O13" s="27">
        <v>0</v>
      </c>
      <c r="P13" s="29">
        <v>0</v>
      </c>
      <c r="Q13" s="78" t="s">
        <v>158</v>
      </c>
      <c r="R13" s="27">
        <v>0</v>
      </c>
      <c r="S13" s="29">
        <v>0</v>
      </c>
      <c r="T13" s="78" t="s">
        <v>158</v>
      </c>
      <c r="U13" s="27">
        <v>0</v>
      </c>
      <c r="V13" s="29">
        <v>0</v>
      </c>
      <c r="W13" s="78" t="s">
        <v>158</v>
      </c>
      <c r="X13" s="27">
        <v>0</v>
      </c>
      <c r="Y13" s="29">
        <v>0</v>
      </c>
      <c r="Z13" s="78" t="s">
        <v>158</v>
      </c>
      <c r="AA13" s="27">
        <v>234</v>
      </c>
      <c r="AB13" s="29">
        <v>0</v>
      </c>
      <c r="AC13" s="78">
        <v>0</v>
      </c>
      <c r="AD13" s="27">
        <v>0</v>
      </c>
      <c r="AE13" s="29">
        <v>0</v>
      </c>
      <c r="AF13" s="78" t="s">
        <v>158</v>
      </c>
      <c r="AG13" s="27">
        <v>0</v>
      </c>
      <c r="AH13" s="29">
        <v>0</v>
      </c>
      <c r="AI13" s="78" t="s">
        <v>158</v>
      </c>
      <c r="AJ13" s="27">
        <v>0</v>
      </c>
      <c r="AK13" s="29">
        <v>0</v>
      </c>
      <c r="AL13" s="78" t="s">
        <v>158</v>
      </c>
      <c r="AM13" s="27">
        <v>0</v>
      </c>
      <c r="AN13" s="29">
        <v>0</v>
      </c>
      <c r="AO13" s="78" t="s">
        <v>158</v>
      </c>
      <c r="AP13" s="27">
        <v>0</v>
      </c>
      <c r="AQ13" s="29">
        <v>0</v>
      </c>
      <c r="AR13" s="78" t="s">
        <v>158</v>
      </c>
      <c r="AS13" s="27">
        <v>0</v>
      </c>
      <c r="AT13" s="29">
        <v>0</v>
      </c>
      <c r="AU13" s="78" t="s">
        <v>158</v>
      </c>
      <c r="AV13" s="27">
        <v>0</v>
      </c>
      <c r="AW13" s="29">
        <v>0</v>
      </c>
      <c r="AX13" s="78" t="s">
        <v>158</v>
      </c>
      <c r="AY13" s="27">
        <v>0</v>
      </c>
      <c r="AZ13" s="29">
        <v>0</v>
      </c>
      <c r="BA13" s="78" t="s">
        <v>158</v>
      </c>
      <c r="BB13" s="27">
        <v>0</v>
      </c>
      <c r="BC13" s="29">
        <v>0</v>
      </c>
      <c r="BD13" s="78" t="s">
        <v>158</v>
      </c>
      <c r="BE13" s="27">
        <v>0</v>
      </c>
      <c r="BF13" s="29">
        <v>0</v>
      </c>
      <c r="BG13" s="78" t="s">
        <v>158</v>
      </c>
      <c r="BH13" s="27">
        <v>0</v>
      </c>
      <c r="BI13" s="29">
        <v>0</v>
      </c>
      <c r="BJ13" s="78" t="s">
        <v>158</v>
      </c>
      <c r="BK13" s="27">
        <f t="shared" si="2"/>
        <v>433</v>
      </c>
      <c r="BL13" s="29">
        <f t="shared" si="3"/>
        <v>57</v>
      </c>
      <c r="BM13" s="78">
        <f t="shared" si="4"/>
        <v>9.3687971417228955E-2</v>
      </c>
      <c r="BN13" s="27">
        <v>0</v>
      </c>
      <c r="BO13" s="29">
        <v>0</v>
      </c>
      <c r="BP13" s="78" t="s">
        <v>158</v>
      </c>
      <c r="BQ13" s="27">
        <v>44</v>
      </c>
      <c r="BR13" s="29">
        <v>0</v>
      </c>
      <c r="BS13" s="78">
        <v>0</v>
      </c>
      <c r="BT13" s="79" t="s">
        <v>85</v>
      </c>
      <c r="BU13">
        <v>94</v>
      </c>
      <c r="BV13" s="35">
        <v>433</v>
      </c>
      <c r="BW13" s="79" t="s">
        <v>85</v>
      </c>
      <c r="BX13">
        <v>83</v>
      </c>
      <c r="BY13" s="35">
        <v>376</v>
      </c>
    </row>
    <row r="14" spans="1:77" s="4" customFormat="1" x14ac:dyDescent="0.25">
      <c r="A14" s="80"/>
      <c r="B14" s="24" t="s">
        <v>29</v>
      </c>
      <c r="C14" s="25">
        <f t="shared" si="0"/>
        <v>3779</v>
      </c>
      <c r="D14" s="29">
        <f t="shared" si="0"/>
        <v>236</v>
      </c>
      <c r="E14" s="78">
        <f t="shared" si="1"/>
        <v>6.661021732994632E-2</v>
      </c>
      <c r="F14" s="27">
        <v>986</v>
      </c>
      <c r="G14" s="29">
        <v>0</v>
      </c>
      <c r="H14" s="78">
        <v>0</v>
      </c>
      <c r="I14" s="27">
        <v>0</v>
      </c>
      <c r="J14" s="29">
        <v>0</v>
      </c>
      <c r="K14" s="78" t="s">
        <v>158</v>
      </c>
      <c r="L14" s="27">
        <v>0</v>
      </c>
      <c r="M14" s="29">
        <v>0</v>
      </c>
      <c r="N14" s="78" t="s">
        <v>158</v>
      </c>
      <c r="O14" s="27">
        <v>180</v>
      </c>
      <c r="P14" s="29">
        <v>0</v>
      </c>
      <c r="Q14" s="78">
        <v>0</v>
      </c>
      <c r="R14" s="27">
        <v>806</v>
      </c>
      <c r="S14" s="29">
        <v>0</v>
      </c>
      <c r="T14" s="78">
        <v>0</v>
      </c>
      <c r="U14" s="27">
        <v>0</v>
      </c>
      <c r="V14" s="29">
        <v>0</v>
      </c>
      <c r="W14" s="78" t="s">
        <v>158</v>
      </c>
      <c r="X14" s="27">
        <v>0</v>
      </c>
      <c r="Y14" s="29">
        <v>0</v>
      </c>
      <c r="Z14" s="78" t="s">
        <v>158</v>
      </c>
      <c r="AA14" s="27">
        <v>0</v>
      </c>
      <c r="AB14" s="29">
        <v>0</v>
      </c>
      <c r="AC14" s="78" t="s">
        <v>158</v>
      </c>
      <c r="AD14" s="27">
        <v>0</v>
      </c>
      <c r="AE14" s="29">
        <v>0</v>
      </c>
      <c r="AF14" s="78" t="s">
        <v>158</v>
      </c>
      <c r="AG14" s="27">
        <v>35</v>
      </c>
      <c r="AH14" s="29">
        <v>0</v>
      </c>
      <c r="AI14" s="78">
        <v>0</v>
      </c>
      <c r="AJ14" s="27">
        <v>0</v>
      </c>
      <c r="AK14" s="29">
        <v>0</v>
      </c>
      <c r="AL14" s="78" t="s">
        <v>158</v>
      </c>
      <c r="AM14" s="27">
        <v>30</v>
      </c>
      <c r="AN14" s="29">
        <v>0</v>
      </c>
      <c r="AO14" s="78">
        <v>0</v>
      </c>
      <c r="AP14" s="27">
        <v>0</v>
      </c>
      <c r="AQ14" s="29">
        <v>0</v>
      </c>
      <c r="AR14" s="78" t="s">
        <v>158</v>
      </c>
      <c r="AS14" s="27">
        <v>0</v>
      </c>
      <c r="AT14" s="29">
        <v>0</v>
      </c>
      <c r="AU14" s="78" t="s">
        <v>158</v>
      </c>
      <c r="AV14" s="27">
        <v>0</v>
      </c>
      <c r="AW14" s="29">
        <v>0</v>
      </c>
      <c r="AX14" s="78" t="s">
        <v>158</v>
      </c>
      <c r="AY14" s="27">
        <v>0</v>
      </c>
      <c r="AZ14" s="29">
        <v>0</v>
      </c>
      <c r="BA14" s="78" t="s">
        <v>158</v>
      </c>
      <c r="BB14" s="27">
        <v>0</v>
      </c>
      <c r="BC14" s="29">
        <v>0</v>
      </c>
      <c r="BD14" s="78" t="s">
        <v>158</v>
      </c>
      <c r="BE14" s="27">
        <v>5</v>
      </c>
      <c r="BF14" s="29">
        <v>0</v>
      </c>
      <c r="BG14" s="78">
        <v>0</v>
      </c>
      <c r="BH14" s="27">
        <v>0</v>
      </c>
      <c r="BI14" s="29">
        <v>0</v>
      </c>
      <c r="BJ14" s="78" t="s">
        <v>158</v>
      </c>
      <c r="BK14" s="27">
        <f t="shared" si="2"/>
        <v>2755</v>
      </c>
      <c r="BL14" s="29">
        <f t="shared" si="3"/>
        <v>236</v>
      </c>
      <c r="BM14" s="78">
        <f t="shared" si="4"/>
        <v>3.9267015706806241E-2</v>
      </c>
      <c r="BN14" s="27">
        <v>0</v>
      </c>
      <c r="BO14" s="29">
        <v>0</v>
      </c>
      <c r="BP14" s="78" t="s">
        <v>158</v>
      </c>
      <c r="BQ14" s="27">
        <v>3</v>
      </c>
      <c r="BR14" s="29">
        <v>0</v>
      </c>
      <c r="BS14" s="78">
        <v>0</v>
      </c>
      <c r="BT14" s="79" t="s">
        <v>86</v>
      </c>
      <c r="BU14">
        <v>634</v>
      </c>
      <c r="BV14" s="35">
        <v>2755</v>
      </c>
      <c r="BW14" s="79" t="s">
        <v>86</v>
      </c>
      <c r="BX14">
        <v>589</v>
      </c>
      <c r="BY14" s="35">
        <v>2519</v>
      </c>
    </row>
    <row r="15" spans="1:77" s="4" customFormat="1" x14ac:dyDescent="0.25">
      <c r="A15" s="80"/>
      <c r="B15" s="24" t="s">
        <v>30</v>
      </c>
      <c r="C15" s="25">
        <f t="shared" si="0"/>
        <v>448</v>
      </c>
      <c r="D15" s="29">
        <f t="shared" si="0"/>
        <v>15</v>
      </c>
      <c r="E15" s="78">
        <f t="shared" si="1"/>
        <v>3.4642032332563577E-2</v>
      </c>
      <c r="F15" s="27">
        <v>0</v>
      </c>
      <c r="G15" s="29">
        <v>0</v>
      </c>
      <c r="H15" s="78" t="s">
        <v>158</v>
      </c>
      <c r="I15" s="27">
        <v>0</v>
      </c>
      <c r="J15" s="29">
        <v>0</v>
      </c>
      <c r="K15" s="78" t="s">
        <v>158</v>
      </c>
      <c r="L15" s="27">
        <v>0</v>
      </c>
      <c r="M15" s="29">
        <v>0</v>
      </c>
      <c r="N15" s="78" t="s">
        <v>158</v>
      </c>
      <c r="O15" s="27">
        <v>0</v>
      </c>
      <c r="P15" s="29">
        <v>0</v>
      </c>
      <c r="Q15" s="78" t="s">
        <v>158</v>
      </c>
      <c r="R15" s="27">
        <v>0</v>
      </c>
      <c r="S15" s="29">
        <v>0</v>
      </c>
      <c r="T15" s="78" t="s">
        <v>158</v>
      </c>
      <c r="U15" s="27">
        <v>0</v>
      </c>
      <c r="V15" s="29">
        <v>0</v>
      </c>
      <c r="W15" s="78" t="s">
        <v>158</v>
      </c>
      <c r="X15" s="27">
        <v>0</v>
      </c>
      <c r="Y15" s="29">
        <v>0</v>
      </c>
      <c r="Z15" s="78" t="s">
        <v>158</v>
      </c>
      <c r="AA15" s="27">
        <v>0</v>
      </c>
      <c r="AB15" s="29">
        <v>0</v>
      </c>
      <c r="AC15" s="78" t="s">
        <v>158</v>
      </c>
      <c r="AD15" s="27">
        <v>0</v>
      </c>
      <c r="AE15" s="29">
        <v>0</v>
      </c>
      <c r="AF15" s="78" t="s">
        <v>158</v>
      </c>
      <c r="AG15" s="27">
        <v>4</v>
      </c>
      <c r="AH15" s="29">
        <v>0</v>
      </c>
      <c r="AI15" s="78">
        <v>0</v>
      </c>
      <c r="AJ15" s="27">
        <v>0</v>
      </c>
      <c r="AK15" s="29">
        <v>0</v>
      </c>
      <c r="AL15" s="78" t="s">
        <v>158</v>
      </c>
      <c r="AM15" s="27">
        <v>0</v>
      </c>
      <c r="AN15" s="29">
        <v>0</v>
      </c>
      <c r="AO15" s="78" t="s">
        <v>158</v>
      </c>
      <c r="AP15" s="27">
        <v>0</v>
      </c>
      <c r="AQ15" s="29">
        <v>0</v>
      </c>
      <c r="AR15" s="78" t="s">
        <v>158</v>
      </c>
      <c r="AS15" s="27">
        <v>0</v>
      </c>
      <c r="AT15" s="29">
        <v>0</v>
      </c>
      <c r="AU15" s="78" t="s">
        <v>158</v>
      </c>
      <c r="AV15" s="27">
        <v>0</v>
      </c>
      <c r="AW15" s="29">
        <v>0</v>
      </c>
      <c r="AX15" s="78" t="s">
        <v>158</v>
      </c>
      <c r="AY15" s="27">
        <v>0</v>
      </c>
      <c r="AZ15" s="29">
        <v>0</v>
      </c>
      <c r="BA15" s="78" t="s">
        <v>158</v>
      </c>
      <c r="BB15" s="27">
        <v>0</v>
      </c>
      <c r="BC15" s="29">
        <v>0</v>
      </c>
      <c r="BD15" s="78" t="s">
        <v>158</v>
      </c>
      <c r="BE15" s="27">
        <v>4</v>
      </c>
      <c r="BF15" s="29">
        <v>0</v>
      </c>
      <c r="BG15" s="78">
        <v>0</v>
      </c>
      <c r="BH15" s="27">
        <v>0</v>
      </c>
      <c r="BI15" s="29">
        <v>0</v>
      </c>
      <c r="BJ15" s="78" t="s">
        <v>158</v>
      </c>
      <c r="BK15" s="27">
        <f t="shared" si="2"/>
        <v>397</v>
      </c>
      <c r="BL15" s="29">
        <f t="shared" si="3"/>
        <v>15</v>
      </c>
      <c r="BM15" s="78">
        <f t="shared" si="4"/>
        <v>6.1488673139158623E-2</v>
      </c>
      <c r="BN15" s="27">
        <v>0</v>
      </c>
      <c r="BO15" s="29">
        <v>0</v>
      </c>
      <c r="BP15" s="78" t="s">
        <v>158</v>
      </c>
      <c r="BQ15" s="27">
        <v>47</v>
      </c>
      <c r="BR15" s="29">
        <v>0</v>
      </c>
      <c r="BS15" s="78">
        <v>0</v>
      </c>
      <c r="BT15" s="79" t="s">
        <v>30</v>
      </c>
      <c r="BU15">
        <v>87</v>
      </c>
      <c r="BV15" s="35">
        <v>397</v>
      </c>
      <c r="BW15" s="79" t="s">
        <v>30</v>
      </c>
      <c r="BX15">
        <v>83</v>
      </c>
      <c r="BY15" s="35">
        <v>382</v>
      </c>
    </row>
    <row r="16" spans="1:77" s="4" customFormat="1" x14ac:dyDescent="0.25">
      <c r="A16" s="80"/>
      <c r="B16" s="24" t="s">
        <v>31</v>
      </c>
      <c r="C16" s="25">
        <f t="shared" si="0"/>
        <v>1220</v>
      </c>
      <c r="D16" s="29">
        <f t="shared" si="0"/>
        <v>64</v>
      </c>
      <c r="E16" s="78">
        <f t="shared" si="1"/>
        <v>5.5363321799307919E-2</v>
      </c>
      <c r="F16" s="27">
        <v>76</v>
      </c>
      <c r="G16" s="29">
        <v>0</v>
      </c>
      <c r="H16" s="78">
        <v>0</v>
      </c>
      <c r="I16" s="27">
        <v>6</v>
      </c>
      <c r="J16" s="29">
        <v>0</v>
      </c>
      <c r="K16" s="78">
        <v>0</v>
      </c>
      <c r="L16" s="27">
        <v>0</v>
      </c>
      <c r="M16" s="29">
        <v>0</v>
      </c>
      <c r="N16" s="78" t="s">
        <v>158</v>
      </c>
      <c r="O16" s="27">
        <v>0</v>
      </c>
      <c r="P16" s="29">
        <v>0</v>
      </c>
      <c r="Q16" s="78" t="s">
        <v>158</v>
      </c>
      <c r="R16" s="27">
        <v>40</v>
      </c>
      <c r="S16" s="29">
        <v>0</v>
      </c>
      <c r="T16" s="78">
        <v>0</v>
      </c>
      <c r="U16" s="27">
        <v>0</v>
      </c>
      <c r="V16" s="29">
        <v>0</v>
      </c>
      <c r="W16" s="78" t="s">
        <v>158</v>
      </c>
      <c r="X16" s="27">
        <v>0</v>
      </c>
      <c r="Y16" s="29">
        <v>0</v>
      </c>
      <c r="Z16" s="78" t="s">
        <v>158</v>
      </c>
      <c r="AA16" s="27">
        <v>0</v>
      </c>
      <c r="AB16" s="29">
        <v>0</v>
      </c>
      <c r="AC16" s="78" t="s">
        <v>158</v>
      </c>
      <c r="AD16" s="27">
        <v>30</v>
      </c>
      <c r="AE16" s="29">
        <v>0</v>
      </c>
      <c r="AF16" s="78">
        <v>0</v>
      </c>
      <c r="AG16" s="27">
        <v>45</v>
      </c>
      <c r="AH16" s="29">
        <v>7</v>
      </c>
      <c r="AI16" s="78">
        <v>0.18421052631578938</v>
      </c>
      <c r="AJ16" s="27">
        <v>0</v>
      </c>
      <c r="AK16" s="29">
        <v>0</v>
      </c>
      <c r="AL16" s="78" t="s">
        <v>158</v>
      </c>
      <c r="AM16" s="27">
        <v>0</v>
      </c>
      <c r="AN16" s="29">
        <v>0</v>
      </c>
      <c r="AO16" s="78" t="s">
        <v>158</v>
      </c>
      <c r="AP16" s="27">
        <v>0</v>
      </c>
      <c r="AQ16" s="29">
        <v>0</v>
      </c>
      <c r="AR16" s="78" t="s">
        <v>158</v>
      </c>
      <c r="AS16" s="27">
        <v>0</v>
      </c>
      <c r="AT16" s="29">
        <v>0</v>
      </c>
      <c r="AU16" s="78" t="s">
        <v>158</v>
      </c>
      <c r="AV16" s="27">
        <v>0</v>
      </c>
      <c r="AW16" s="29">
        <v>0</v>
      </c>
      <c r="AX16" s="78" t="s">
        <v>158</v>
      </c>
      <c r="AY16" s="27">
        <v>0</v>
      </c>
      <c r="AZ16" s="29">
        <v>0</v>
      </c>
      <c r="BA16" s="78" t="s">
        <v>158</v>
      </c>
      <c r="BB16" s="27">
        <v>0</v>
      </c>
      <c r="BC16" s="29">
        <v>0</v>
      </c>
      <c r="BD16" s="78" t="s">
        <v>158</v>
      </c>
      <c r="BE16" s="27">
        <v>41</v>
      </c>
      <c r="BF16" s="29">
        <v>7</v>
      </c>
      <c r="BG16" s="78">
        <v>0.20588235294117641</v>
      </c>
      <c r="BH16" s="27">
        <v>4</v>
      </c>
      <c r="BI16" s="29">
        <v>0</v>
      </c>
      <c r="BJ16" s="78" t="s">
        <v>158</v>
      </c>
      <c r="BK16" s="27">
        <f t="shared" si="2"/>
        <v>984</v>
      </c>
      <c r="BL16" s="29">
        <f t="shared" si="3"/>
        <v>57</v>
      </c>
      <c r="BM16" s="78">
        <f t="shared" si="4"/>
        <v>4.7461629279811124E-2</v>
      </c>
      <c r="BN16" s="27">
        <v>78</v>
      </c>
      <c r="BO16" s="29">
        <v>0</v>
      </c>
      <c r="BP16" s="78">
        <v>0</v>
      </c>
      <c r="BQ16" s="27">
        <v>37</v>
      </c>
      <c r="BR16" s="29">
        <v>0</v>
      </c>
      <c r="BS16" s="78">
        <v>0</v>
      </c>
      <c r="BT16" s="79" t="s">
        <v>31</v>
      </c>
      <c r="BU16">
        <v>208</v>
      </c>
      <c r="BV16" s="35">
        <v>984</v>
      </c>
      <c r="BW16" s="79" t="s">
        <v>31</v>
      </c>
      <c r="BX16">
        <v>197</v>
      </c>
      <c r="BY16" s="35">
        <v>927</v>
      </c>
    </row>
    <row r="17" spans="1:77" s="4" customFormat="1" x14ac:dyDescent="0.25">
      <c r="B17" s="24" t="s">
        <v>32</v>
      </c>
      <c r="C17" s="25">
        <f t="shared" si="0"/>
        <v>10367</v>
      </c>
      <c r="D17" s="29">
        <f t="shared" si="0"/>
        <v>398</v>
      </c>
      <c r="E17" s="78">
        <f t="shared" si="1"/>
        <v>3.9923763667368828E-2</v>
      </c>
      <c r="F17" s="27">
        <v>930</v>
      </c>
      <c r="G17" s="29">
        <v>0</v>
      </c>
      <c r="H17" s="78">
        <v>0</v>
      </c>
      <c r="I17" s="27">
        <v>54</v>
      </c>
      <c r="J17" s="29">
        <v>0</v>
      </c>
      <c r="K17" s="78">
        <v>0</v>
      </c>
      <c r="L17" s="27">
        <v>84</v>
      </c>
      <c r="M17" s="29">
        <v>0</v>
      </c>
      <c r="N17" s="78">
        <v>0</v>
      </c>
      <c r="O17" s="27">
        <v>472</v>
      </c>
      <c r="P17" s="29">
        <v>0</v>
      </c>
      <c r="Q17" s="78">
        <v>0</v>
      </c>
      <c r="R17" s="27">
        <v>320</v>
      </c>
      <c r="S17" s="29">
        <v>0</v>
      </c>
      <c r="T17" s="78">
        <v>0</v>
      </c>
      <c r="U17" s="27">
        <v>0</v>
      </c>
      <c r="V17" s="29">
        <v>0</v>
      </c>
      <c r="W17" s="78" t="s">
        <v>158</v>
      </c>
      <c r="X17" s="27">
        <v>0</v>
      </c>
      <c r="Y17" s="29">
        <v>0</v>
      </c>
      <c r="Z17" s="78" t="s">
        <v>158</v>
      </c>
      <c r="AA17" s="27">
        <v>0</v>
      </c>
      <c r="AB17" s="29">
        <v>0</v>
      </c>
      <c r="AC17" s="78" t="s">
        <v>158</v>
      </c>
      <c r="AD17" s="27">
        <v>0</v>
      </c>
      <c r="AE17" s="29">
        <v>0</v>
      </c>
      <c r="AF17" s="78" t="s">
        <v>158</v>
      </c>
      <c r="AG17" s="27">
        <v>460</v>
      </c>
      <c r="AH17" s="29">
        <v>0</v>
      </c>
      <c r="AI17" s="78">
        <v>0</v>
      </c>
      <c r="AJ17" s="27">
        <v>124</v>
      </c>
      <c r="AK17" s="29">
        <v>0</v>
      </c>
      <c r="AL17" s="78">
        <v>0</v>
      </c>
      <c r="AM17" s="27">
        <v>211</v>
      </c>
      <c r="AN17" s="29">
        <v>0</v>
      </c>
      <c r="AO17" s="78">
        <v>0</v>
      </c>
      <c r="AP17" s="27">
        <v>0</v>
      </c>
      <c r="AQ17" s="29">
        <v>0</v>
      </c>
      <c r="AR17" s="78" t="s">
        <v>158</v>
      </c>
      <c r="AS17" s="27">
        <v>0</v>
      </c>
      <c r="AT17" s="29">
        <v>0</v>
      </c>
      <c r="AU17" s="78" t="s">
        <v>158</v>
      </c>
      <c r="AV17" s="27">
        <v>0</v>
      </c>
      <c r="AW17" s="29">
        <v>0</v>
      </c>
      <c r="AX17" s="78" t="s">
        <v>158</v>
      </c>
      <c r="AY17" s="27">
        <v>0</v>
      </c>
      <c r="AZ17" s="29">
        <v>0</v>
      </c>
      <c r="BA17" s="78" t="s">
        <v>158</v>
      </c>
      <c r="BB17" s="27">
        <v>0</v>
      </c>
      <c r="BC17" s="29">
        <v>0</v>
      </c>
      <c r="BD17" s="78" t="s">
        <v>158</v>
      </c>
      <c r="BE17" s="27">
        <v>119</v>
      </c>
      <c r="BF17" s="29">
        <v>0</v>
      </c>
      <c r="BG17" s="78">
        <v>0</v>
      </c>
      <c r="BH17" s="27">
        <v>6</v>
      </c>
      <c r="BI17" s="29">
        <v>0</v>
      </c>
      <c r="BJ17" s="78" t="s">
        <v>158</v>
      </c>
      <c r="BK17" s="27">
        <f t="shared" si="2"/>
        <v>8872</v>
      </c>
      <c r="BL17" s="29">
        <f t="shared" si="3"/>
        <v>402</v>
      </c>
      <c r="BM17" s="78">
        <f t="shared" si="4"/>
        <v>0.16543209876543208</v>
      </c>
      <c r="BN17" s="27">
        <v>42</v>
      </c>
      <c r="BO17" s="29">
        <v>0</v>
      </c>
      <c r="BP17" s="78">
        <v>0</v>
      </c>
      <c r="BQ17" s="27">
        <v>63</v>
      </c>
      <c r="BR17" s="29">
        <v>-4</v>
      </c>
      <c r="BS17" s="78">
        <v>-5.9701492537313383E-2</v>
      </c>
      <c r="BT17" s="79" t="s">
        <v>87</v>
      </c>
      <c r="BU17">
        <v>2047</v>
      </c>
      <c r="BV17" s="35">
        <v>8872</v>
      </c>
      <c r="BW17" s="79" t="s">
        <v>87</v>
      </c>
      <c r="BX17">
        <v>1958</v>
      </c>
      <c r="BY17" s="35">
        <v>8470</v>
      </c>
    </row>
    <row r="18" spans="1:77" s="4" customFormat="1" x14ac:dyDescent="0.25">
      <c r="B18" s="24" t="s">
        <v>33</v>
      </c>
      <c r="C18" s="25">
        <f t="shared" si="0"/>
        <v>476</v>
      </c>
      <c r="D18" s="29">
        <f t="shared" si="0"/>
        <v>67</v>
      </c>
      <c r="E18" s="78">
        <f t="shared" si="1"/>
        <v>0.16381418092909539</v>
      </c>
      <c r="F18" s="27">
        <v>0</v>
      </c>
      <c r="G18" s="29">
        <v>0</v>
      </c>
      <c r="H18" s="78" t="s">
        <v>158</v>
      </c>
      <c r="I18" s="27">
        <v>0</v>
      </c>
      <c r="J18" s="29">
        <v>0</v>
      </c>
      <c r="K18" s="78" t="s">
        <v>158</v>
      </c>
      <c r="L18" s="27">
        <v>0</v>
      </c>
      <c r="M18" s="29">
        <v>0</v>
      </c>
      <c r="N18" s="78" t="s">
        <v>158</v>
      </c>
      <c r="O18" s="27">
        <v>0</v>
      </c>
      <c r="P18" s="29">
        <v>0</v>
      </c>
      <c r="Q18" s="78" t="s">
        <v>158</v>
      </c>
      <c r="R18" s="27">
        <v>0</v>
      </c>
      <c r="S18" s="29">
        <v>0</v>
      </c>
      <c r="T18" s="78" t="s">
        <v>158</v>
      </c>
      <c r="U18" s="27">
        <v>0</v>
      </c>
      <c r="V18" s="29">
        <v>0</v>
      </c>
      <c r="W18" s="78" t="s">
        <v>158</v>
      </c>
      <c r="X18" s="27">
        <v>0</v>
      </c>
      <c r="Y18" s="29">
        <v>0</v>
      </c>
      <c r="Z18" s="78" t="s">
        <v>158</v>
      </c>
      <c r="AA18" s="27">
        <v>0</v>
      </c>
      <c r="AB18" s="29">
        <v>0</v>
      </c>
      <c r="AC18" s="78" t="s">
        <v>158</v>
      </c>
      <c r="AD18" s="27">
        <v>0</v>
      </c>
      <c r="AE18" s="29">
        <v>0</v>
      </c>
      <c r="AF18" s="78" t="s">
        <v>158</v>
      </c>
      <c r="AG18" s="27">
        <v>0</v>
      </c>
      <c r="AH18" s="29">
        <v>0</v>
      </c>
      <c r="AI18" s="78" t="s">
        <v>158</v>
      </c>
      <c r="AJ18" s="27">
        <v>0</v>
      </c>
      <c r="AK18" s="29">
        <v>0</v>
      </c>
      <c r="AL18" s="78" t="s">
        <v>158</v>
      </c>
      <c r="AM18" s="27">
        <v>0</v>
      </c>
      <c r="AN18" s="29">
        <v>0</v>
      </c>
      <c r="AO18" s="78" t="s">
        <v>158</v>
      </c>
      <c r="AP18" s="27">
        <v>0</v>
      </c>
      <c r="AQ18" s="29">
        <v>0</v>
      </c>
      <c r="AR18" s="78" t="s">
        <v>158</v>
      </c>
      <c r="AS18" s="27">
        <v>0</v>
      </c>
      <c r="AT18" s="29">
        <v>0</v>
      </c>
      <c r="AU18" s="78" t="s">
        <v>158</v>
      </c>
      <c r="AV18" s="27">
        <v>0</v>
      </c>
      <c r="AW18" s="29">
        <v>0</v>
      </c>
      <c r="AX18" s="78" t="s">
        <v>158</v>
      </c>
      <c r="AY18" s="27">
        <v>0</v>
      </c>
      <c r="AZ18" s="29">
        <v>0</v>
      </c>
      <c r="BA18" s="78" t="s">
        <v>158</v>
      </c>
      <c r="BB18" s="27">
        <v>0</v>
      </c>
      <c r="BC18" s="29">
        <v>0</v>
      </c>
      <c r="BD18" s="78" t="s">
        <v>158</v>
      </c>
      <c r="BE18" s="27">
        <v>0</v>
      </c>
      <c r="BF18" s="29">
        <v>0</v>
      </c>
      <c r="BG18" s="78" t="s">
        <v>158</v>
      </c>
      <c r="BH18" s="27">
        <v>0</v>
      </c>
      <c r="BI18" s="29">
        <v>0</v>
      </c>
      <c r="BJ18" s="78" t="s">
        <v>158</v>
      </c>
      <c r="BK18" s="27">
        <f t="shared" si="2"/>
        <v>472</v>
      </c>
      <c r="BL18" s="29">
        <f t="shared" si="3"/>
        <v>67</v>
      </c>
      <c r="BM18" s="78">
        <f t="shared" si="4"/>
        <v>8.1869688385269201E-2</v>
      </c>
      <c r="BN18" s="27">
        <v>0</v>
      </c>
      <c r="BO18" s="29">
        <v>0</v>
      </c>
      <c r="BP18" s="78" t="s">
        <v>158</v>
      </c>
      <c r="BQ18" s="27">
        <v>4</v>
      </c>
      <c r="BR18" s="29">
        <v>0</v>
      </c>
      <c r="BS18" s="78">
        <v>0</v>
      </c>
      <c r="BT18" s="79" t="s">
        <v>33</v>
      </c>
      <c r="BU18">
        <v>101</v>
      </c>
      <c r="BV18" s="35">
        <v>472</v>
      </c>
      <c r="BW18" s="79" t="s">
        <v>33</v>
      </c>
      <c r="BX18">
        <v>89</v>
      </c>
      <c r="BY18" s="35">
        <v>405</v>
      </c>
    </row>
    <row r="19" spans="1:77" s="4" customFormat="1" x14ac:dyDescent="0.25">
      <c r="B19" s="24" t="s">
        <v>34</v>
      </c>
      <c r="C19" s="25">
        <f t="shared" si="0"/>
        <v>7770</v>
      </c>
      <c r="D19" s="29">
        <f t="shared" si="0"/>
        <v>289</v>
      </c>
      <c r="E19" s="78">
        <f t="shared" si="1"/>
        <v>3.8631199037561847E-2</v>
      </c>
      <c r="F19" s="27">
        <v>3177</v>
      </c>
      <c r="G19" s="29">
        <v>0</v>
      </c>
      <c r="H19" s="78">
        <v>0</v>
      </c>
      <c r="I19" s="27">
        <v>81</v>
      </c>
      <c r="J19" s="29">
        <v>0</v>
      </c>
      <c r="K19" s="78">
        <v>0</v>
      </c>
      <c r="L19" s="27">
        <v>6</v>
      </c>
      <c r="M19" s="29">
        <v>0</v>
      </c>
      <c r="N19" s="78">
        <v>0</v>
      </c>
      <c r="O19" s="27">
        <v>286</v>
      </c>
      <c r="P19" s="29">
        <v>0</v>
      </c>
      <c r="Q19" s="78">
        <v>0</v>
      </c>
      <c r="R19" s="27">
        <v>624</v>
      </c>
      <c r="S19" s="29">
        <v>0</v>
      </c>
      <c r="T19" s="78">
        <v>0</v>
      </c>
      <c r="U19" s="27">
        <v>0</v>
      </c>
      <c r="V19" s="29">
        <v>0</v>
      </c>
      <c r="W19" s="78" t="s">
        <v>158</v>
      </c>
      <c r="X19" s="27">
        <v>1218</v>
      </c>
      <c r="Y19" s="29">
        <v>0</v>
      </c>
      <c r="Z19" s="78">
        <v>0</v>
      </c>
      <c r="AA19" s="27">
        <v>962</v>
      </c>
      <c r="AB19" s="29">
        <v>0</v>
      </c>
      <c r="AC19" s="78">
        <v>0</v>
      </c>
      <c r="AD19" s="27">
        <v>0</v>
      </c>
      <c r="AE19" s="29">
        <v>0</v>
      </c>
      <c r="AF19" s="78" t="s">
        <v>158</v>
      </c>
      <c r="AG19" s="27">
        <v>700</v>
      </c>
      <c r="AH19" s="29">
        <v>0</v>
      </c>
      <c r="AI19" s="78">
        <v>0</v>
      </c>
      <c r="AJ19" s="27">
        <v>0</v>
      </c>
      <c r="AK19" s="29">
        <v>0</v>
      </c>
      <c r="AL19" s="78" t="s">
        <v>158</v>
      </c>
      <c r="AM19" s="27">
        <v>0</v>
      </c>
      <c r="AN19" s="29">
        <v>0</v>
      </c>
      <c r="AO19" s="78" t="s">
        <v>158</v>
      </c>
      <c r="AP19" s="27">
        <v>0</v>
      </c>
      <c r="AQ19" s="29">
        <v>0</v>
      </c>
      <c r="AR19" s="78" t="s">
        <v>158</v>
      </c>
      <c r="AS19" s="27">
        <v>0</v>
      </c>
      <c r="AT19" s="29">
        <v>0</v>
      </c>
      <c r="AU19" s="78" t="s">
        <v>158</v>
      </c>
      <c r="AV19" s="27">
        <v>0</v>
      </c>
      <c r="AW19" s="29">
        <v>0</v>
      </c>
      <c r="AX19" s="78" t="s">
        <v>158</v>
      </c>
      <c r="AY19" s="27">
        <v>0</v>
      </c>
      <c r="AZ19" s="29">
        <v>0</v>
      </c>
      <c r="BA19" s="78" t="s">
        <v>158</v>
      </c>
      <c r="BB19" s="27">
        <v>700</v>
      </c>
      <c r="BC19" s="29">
        <v>0</v>
      </c>
      <c r="BD19" s="78">
        <v>0</v>
      </c>
      <c r="BE19" s="27">
        <v>0</v>
      </c>
      <c r="BF19" s="29">
        <v>0</v>
      </c>
      <c r="BG19" s="78" t="s">
        <v>158</v>
      </c>
      <c r="BH19" s="27">
        <v>0</v>
      </c>
      <c r="BI19" s="29">
        <v>0</v>
      </c>
      <c r="BJ19" s="78" t="s">
        <v>158</v>
      </c>
      <c r="BK19" s="27">
        <f t="shared" si="2"/>
        <v>3819</v>
      </c>
      <c r="BL19" s="29">
        <f t="shared" si="3"/>
        <v>289</v>
      </c>
      <c r="BM19" s="78">
        <f t="shared" si="4"/>
        <v>3.0869971936389184E-2</v>
      </c>
      <c r="BN19" s="27">
        <v>15</v>
      </c>
      <c r="BO19" s="29">
        <v>0</v>
      </c>
      <c r="BP19" s="78">
        <v>0</v>
      </c>
      <c r="BQ19" s="27">
        <v>59</v>
      </c>
      <c r="BR19" s="29">
        <v>0</v>
      </c>
      <c r="BS19" s="78">
        <v>0</v>
      </c>
      <c r="BT19" s="79" t="s">
        <v>88</v>
      </c>
      <c r="BU19">
        <v>858</v>
      </c>
      <c r="BV19" s="35">
        <v>3819</v>
      </c>
      <c r="BW19" s="79" t="s">
        <v>88</v>
      </c>
      <c r="BX19">
        <v>797</v>
      </c>
      <c r="BY19" s="35">
        <v>3530</v>
      </c>
    </row>
    <row r="20" spans="1:77" s="4" customFormat="1" x14ac:dyDescent="0.25">
      <c r="B20" s="24" t="s">
        <v>35</v>
      </c>
      <c r="C20" s="25">
        <f t="shared" si="0"/>
        <v>2328</v>
      </c>
      <c r="D20" s="29">
        <f t="shared" si="0"/>
        <v>78</v>
      </c>
      <c r="E20" s="78">
        <f t="shared" si="1"/>
        <v>3.4666666666666623E-2</v>
      </c>
      <c r="F20" s="27">
        <v>8</v>
      </c>
      <c r="G20" s="29">
        <v>0</v>
      </c>
      <c r="H20" s="78">
        <v>0</v>
      </c>
      <c r="I20" s="27">
        <v>0</v>
      </c>
      <c r="J20" s="29">
        <v>0</v>
      </c>
      <c r="K20" s="78" t="s">
        <v>158</v>
      </c>
      <c r="L20" s="27">
        <v>0</v>
      </c>
      <c r="M20" s="29">
        <v>0</v>
      </c>
      <c r="N20" s="78" t="s">
        <v>158</v>
      </c>
      <c r="O20" s="27">
        <v>0</v>
      </c>
      <c r="P20" s="29">
        <v>0</v>
      </c>
      <c r="Q20" s="78" t="s">
        <v>158</v>
      </c>
      <c r="R20" s="27">
        <v>0</v>
      </c>
      <c r="S20" s="29">
        <v>0</v>
      </c>
      <c r="T20" s="78" t="s">
        <v>158</v>
      </c>
      <c r="U20" s="27">
        <v>0</v>
      </c>
      <c r="V20" s="29">
        <v>0</v>
      </c>
      <c r="W20" s="78" t="s">
        <v>158</v>
      </c>
      <c r="X20" s="27">
        <v>0</v>
      </c>
      <c r="Y20" s="29">
        <v>0</v>
      </c>
      <c r="Z20" s="78" t="s">
        <v>158</v>
      </c>
      <c r="AA20" s="27">
        <v>0</v>
      </c>
      <c r="AB20" s="29">
        <v>0</v>
      </c>
      <c r="AC20" s="78" t="s">
        <v>158</v>
      </c>
      <c r="AD20" s="27">
        <v>8</v>
      </c>
      <c r="AE20" s="29">
        <v>0</v>
      </c>
      <c r="AF20" s="78">
        <v>0</v>
      </c>
      <c r="AG20" s="27">
        <v>8</v>
      </c>
      <c r="AH20" s="29">
        <v>0</v>
      </c>
      <c r="AI20" s="78">
        <v>0</v>
      </c>
      <c r="AJ20" s="27">
        <v>0</v>
      </c>
      <c r="AK20" s="29">
        <v>0</v>
      </c>
      <c r="AL20" s="78" t="s">
        <v>158</v>
      </c>
      <c r="AM20" s="27">
        <v>0</v>
      </c>
      <c r="AN20" s="29">
        <v>0</v>
      </c>
      <c r="AO20" s="78" t="s">
        <v>158</v>
      </c>
      <c r="AP20" s="27">
        <v>0</v>
      </c>
      <c r="AQ20" s="29">
        <v>0</v>
      </c>
      <c r="AR20" s="78" t="s">
        <v>158</v>
      </c>
      <c r="AS20" s="27">
        <v>0</v>
      </c>
      <c r="AT20" s="29">
        <v>0</v>
      </c>
      <c r="AU20" s="78" t="s">
        <v>158</v>
      </c>
      <c r="AV20" s="27">
        <v>0</v>
      </c>
      <c r="AW20" s="29">
        <v>0</v>
      </c>
      <c r="AX20" s="78" t="s">
        <v>158</v>
      </c>
      <c r="AY20" s="27">
        <v>0</v>
      </c>
      <c r="AZ20" s="29">
        <v>0</v>
      </c>
      <c r="BA20" s="78" t="s">
        <v>158</v>
      </c>
      <c r="BB20" s="27">
        <v>0</v>
      </c>
      <c r="BC20" s="29">
        <v>0</v>
      </c>
      <c r="BD20" s="78" t="s">
        <v>158</v>
      </c>
      <c r="BE20" s="27">
        <v>8</v>
      </c>
      <c r="BF20" s="29">
        <v>0</v>
      </c>
      <c r="BG20" s="78">
        <v>0</v>
      </c>
      <c r="BH20" s="27">
        <v>0</v>
      </c>
      <c r="BI20" s="29">
        <v>0</v>
      </c>
      <c r="BJ20" s="78" t="s">
        <v>158</v>
      </c>
      <c r="BK20" s="27">
        <f t="shared" si="2"/>
        <v>2204</v>
      </c>
      <c r="BL20" s="29">
        <f t="shared" si="3"/>
        <v>66</v>
      </c>
      <c r="BM20" s="78">
        <f t="shared" si="4"/>
        <v>6.1995479496286698E-2</v>
      </c>
      <c r="BN20" s="27">
        <v>81</v>
      </c>
      <c r="BO20" s="29">
        <v>0</v>
      </c>
      <c r="BP20" s="78">
        <v>0</v>
      </c>
      <c r="BQ20" s="27">
        <v>27</v>
      </c>
      <c r="BR20" s="29">
        <v>12</v>
      </c>
      <c r="BS20" s="78">
        <v>0.8</v>
      </c>
      <c r="BT20" s="79" t="s">
        <v>89</v>
      </c>
      <c r="BU20">
        <v>510</v>
      </c>
      <c r="BV20" s="35">
        <v>2204</v>
      </c>
      <c r="BW20" s="79" t="s">
        <v>89</v>
      </c>
      <c r="BX20">
        <v>490</v>
      </c>
      <c r="BY20" s="35">
        <v>2138</v>
      </c>
    </row>
    <row r="21" spans="1:77" s="4" customFormat="1" x14ac:dyDescent="0.25">
      <c r="B21" s="24" t="s">
        <v>36</v>
      </c>
      <c r="C21" s="25">
        <f t="shared" si="0"/>
        <v>3466</v>
      </c>
      <c r="D21" s="29">
        <f t="shared" si="0"/>
        <v>192</v>
      </c>
      <c r="E21" s="78">
        <f t="shared" si="1"/>
        <v>5.8643860720830832E-2</v>
      </c>
      <c r="F21" s="27">
        <v>36</v>
      </c>
      <c r="G21" s="29">
        <v>0</v>
      </c>
      <c r="H21" s="78">
        <v>0</v>
      </c>
      <c r="I21" s="27">
        <v>0</v>
      </c>
      <c r="J21" s="29">
        <v>0</v>
      </c>
      <c r="K21" s="78" t="s">
        <v>158</v>
      </c>
      <c r="L21" s="27">
        <v>0</v>
      </c>
      <c r="M21" s="29">
        <v>0</v>
      </c>
      <c r="N21" s="78" t="s">
        <v>158</v>
      </c>
      <c r="O21" s="27">
        <v>8</v>
      </c>
      <c r="P21" s="29">
        <v>0</v>
      </c>
      <c r="Q21" s="78">
        <v>0</v>
      </c>
      <c r="R21" s="27">
        <v>0</v>
      </c>
      <c r="S21" s="29">
        <v>0</v>
      </c>
      <c r="T21" s="78" t="s">
        <v>158</v>
      </c>
      <c r="U21" s="27">
        <v>0</v>
      </c>
      <c r="V21" s="29">
        <v>0</v>
      </c>
      <c r="W21" s="78" t="s">
        <v>158</v>
      </c>
      <c r="X21" s="27">
        <v>0</v>
      </c>
      <c r="Y21" s="29">
        <v>0</v>
      </c>
      <c r="Z21" s="78" t="s">
        <v>158</v>
      </c>
      <c r="AA21" s="27">
        <v>0</v>
      </c>
      <c r="AB21" s="29">
        <v>0</v>
      </c>
      <c r="AC21" s="78" t="s">
        <v>158</v>
      </c>
      <c r="AD21" s="27">
        <v>28</v>
      </c>
      <c r="AE21" s="29">
        <v>0</v>
      </c>
      <c r="AF21" s="78">
        <v>0</v>
      </c>
      <c r="AG21" s="27">
        <v>19</v>
      </c>
      <c r="AH21" s="29">
        <v>0</v>
      </c>
      <c r="AI21" s="78">
        <v>0</v>
      </c>
      <c r="AJ21" s="27">
        <v>0</v>
      </c>
      <c r="AK21" s="29">
        <v>0</v>
      </c>
      <c r="AL21" s="78" t="s">
        <v>158</v>
      </c>
      <c r="AM21" s="27">
        <v>0</v>
      </c>
      <c r="AN21" s="29">
        <v>0</v>
      </c>
      <c r="AO21" s="78" t="s">
        <v>158</v>
      </c>
      <c r="AP21" s="27">
        <v>0</v>
      </c>
      <c r="AQ21" s="29">
        <v>0</v>
      </c>
      <c r="AR21" s="78" t="s">
        <v>158</v>
      </c>
      <c r="AS21" s="27">
        <v>0</v>
      </c>
      <c r="AT21" s="29">
        <v>0</v>
      </c>
      <c r="AU21" s="78" t="s">
        <v>158</v>
      </c>
      <c r="AV21" s="27">
        <v>0</v>
      </c>
      <c r="AW21" s="29">
        <v>0</v>
      </c>
      <c r="AX21" s="78" t="s">
        <v>158</v>
      </c>
      <c r="AY21" s="27">
        <v>0</v>
      </c>
      <c r="AZ21" s="29">
        <v>0</v>
      </c>
      <c r="BA21" s="78" t="s">
        <v>158</v>
      </c>
      <c r="BB21" s="27">
        <v>0</v>
      </c>
      <c r="BC21" s="29">
        <v>0</v>
      </c>
      <c r="BD21" s="78" t="s">
        <v>158</v>
      </c>
      <c r="BE21" s="27">
        <v>19</v>
      </c>
      <c r="BF21" s="29">
        <v>0</v>
      </c>
      <c r="BG21" s="78">
        <v>0</v>
      </c>
      <c r="BH21" s="27">
        <v>0</v>
      </c>
      <c r="BI21" s="29">
        <v>0</v>
      </c>
      <c r="BJ21" s="78" t="s">
        <v>158</v>
      </c>
      <c r="BK21" s="27">
        <f t="shared" si="2"/>
        <v>3289</v>
      </c>
      <c r="BL21" s="29">
        <f t="shared" si="3"/>
        <v>192</v>
      </c>
      <c r="BM21" s="78">
        <f t="shared" si="4"/>
        <v>3.5628937649359038E-2</v>
      </c>
      <c r="BN21" s="27">
        <v>0</v>
      </c>
      <c r="BO21" s="29">
        <v>0</v>
      </c>
      <c r="BP21" s="78" t="s">
        <v>158</v>
      </c>
      <c r="BQ21" s="27">
        <v>122</v>
      </c>
      <c r="BR21" s="29">
        <v>0</v>
      </c>
      <c r="BS21" s="78">
        <v>0</v>
      </c>
      <c r="BT21" s="79" t="s">
        <v>90</v>
      </c>
      <c r="BU21">
        <v>754</v>
      </c>
      <c r="BV21" s="35">
        <v>3289</v>
      </c>
      <c r="BW21" s="79" t="s">
        <v>90</v>
      </c>
      <c r="BX21">
        <v>719</v>
      </c>
      <c r="BY21" s="35">
        <v>3097</v>
      </c>
    </row>
    <row r="22" spans="1:77" s="4" customFormat="1" x14ac:dyDescent="0.25">
      <c r="B22" s="24" t="s">
        <v>37</v>
      </c>
      <c r="C22" s="25">
        <f t="shared" si="0"/>
        <v>6334</v>
      </c>
      <c r="D22" s="29">
        <f t="shared" si="0"/>
        <v>232</v>
      </c>
      <c r="E22" s="78">
        <f t="shared" si="1"/>
        <v>3.8020321206161833E-2</v>
      </c>
      <c r="F22" s="27">
        <v>1196</v>
      </c>
      <c r="G22" s="29">
        <v>42</v>
      </c>
      <c r="H22" s="78">
        <v>3.6395147313691423E-2</v>
      </c>
      <c r="I22" s="27">
        <v>164</v>
      </c>
      <c r="J22" s="29">
        <v>0</v>
      </c>
      <c r="K22" s="78">
        <v>0</v>
      </c>
      <c r="L22" s="27">
        <v>46</v>
      </c>
      <c r="M22" s="29">
        <v>0</v>
      </c>
      <c r="N22" s="78">
        <v>0</v>
      </c>
      <c r="O22" s="27">
        <v>322</v>
      </c>
      <c r="P22" s="29">
        <v>0</v>
      </c>
      <c r="Q22" s="78">
        <v>0</v>
      </c>
      <c r="R22" s="27">
        <v>612</v>
      </c>
      <c r="S22" s="29">
        <v>0</v>
      </c>
      <c r="T22" s="78">
        <v>0</v>
      </c>
      <c r="U22" s="27">
        <v>0</v>
      </c>
      <c r="V22" s="29">
        <v>0</v>
      </c>
      <c r="W22" s="78" t="s">
        <v>158</v>
      </c>
      <c r="X22" s="27">
        <v>0</v>
      </c>
      <c r="Y22" s="29">
        <v>0</v>
      </c>
      <c r="Z22" s="78" t="s">
        <v>158</v>
      </c>
      <c r="AA22" s="27">
        <v>0</v>
      </c>
      <c r="AB22" s="29">
        <v>0</v>
      </c>
      <c r="AC22" s="78" t="s">
        <v>158</v>
      </c>
      <c r="AD22" s="27">
        <v>10</v>
      </c>
      <c r="AE22" s="29">
        <v>0</v>
      </c>
      <c r="AF22" s="78">
        <v>0</v>
      </c>
      <c r="AG22" s="27">
        <v>267</v>
      </c>
      <c r="AH22" s="29">
        <v>26</v>
      </c>
      <c r="AI22" s="78">
        <v>0.10788381742738595</v>
      </c>
      <c r="AJ22" s="27">
        <v>197</v>
      </c>
      <c r="AK22" s="29">
        <v>0</v>
      </c>
      <c r="AL22" s="78">
        <v>0</v>
      </c>
      <c r="AM22" s="27">
        <v>0</v>
      </c>
      <c r="AN22" s="29">
        <v>0</v>
      </c>
      <c r="AO22" s="78" t="s">
        <v>158</v>
      </c>
      <c r="AP22" s="27">
        <v>0</v>
      </c>
      <c r="AQ22" s="29">
        <v>0</v>
      </c>
      <c r="AR22" s="78" t="s">
        <v>158</v>
      </c>
      <c r="AS22" s="27">
        <v>0</v>
      </c>
      <c r="AT22" s="29">
        <v>0</v>
      </c>
      <c r="AU22" s="78" t="s">
        <v>158</v>
      </c>
      <c r="AV22" s="27">
        <v>0</v>
      </c>
      <c r="AW22" s="29">
        <v>0</v>
      </c>
      <c r="AX22" s="78" t="s">
        <v>158</v>
      </c>
      <c r="AY22" s="27">
        <v>0</v>
      </c>
      <c r="AZ22" s="29">
        <v>0</v>
      </c>
      <c r="BA22" s="78" t="s">
        <v>158</v>
      </c>
      <c r="BB22" s="27">
        <v>0</v>
      </c>
      <c r="BC22" s="29">
        <v>0</v>
      </c>
      <c r="BD22" s="78" t="s">
        <v>158</v>
      </c>
      <c r="BE22" s="27">
        <v>64</v>
      </c>
      <c r="BF22" s="29">
        <v>26</v>
      </c>
      <c r="BG22" s="78">
        <v>0.68421052631578938</v>
      </c>
      <c r="BH22" s="27">
        <v>6</v>
      </c>
      <c r="BI22" s="29">
        <v>0</v>
      </c>
      <c r="BJ22" s="78" t="s">
        <v>158</v>
      </c>
      <c r="BK22" s="27">
        <f t="shared" si="2"/>
        <v>4767</v>
      </c>
      <c r="BL22" s="29">
        <f t="shared" si="3"/>
        <v>164</v>
      </c>
      <c r="BM22" s="78">
        <f t="shared" si="4"/>
        <v>6.208425720620836E-2</v>
      </c>
      <c r="BN22" s="27">
        <v>22</v>
      </c>
      <c r="BO22" s="29">
        <v>0</v>
      </c>
      <c r="BP22" s="78">
        <v>0</v>
      </c>
      <c r="BQ22" s="27">
        <v>82</v>
      </c>
      <c r="BR22" s="29">
        <v>0</v>
      </c>
      <c r="BS22" s="78">
        <v>0</v>
      </c>
      <c r="BT22" s="79" t="s">
        <v>91</v>
      </c>
      <c r="BU22">
        <v>1135</v>
      </c>
      <c r="BV22" s="35">
        <v>4767</v>
      </c>
      <c r="BW22" s="79" t="s">
        <v>91</v>
      </c>
      <c r="BX22">
        <v>1105</v>
      </c>
      <c r="BY22" s="35">
        <v>4603</v>
      </c>
    </row>
    <row r="23" spans="1:77" s="4" customFormat="1" x14ac:dyDescent="0.25">
      <c r="B23" s="24" t="s">
        <v>38</v>
      </c>
      <c r="C23" s="25">
        <f t="shared" si="0"/>
        <v>984</v>
      </c>
      <c r="D23" s="29">
        <f t="shared" si="0"/>
        <v>56</v>
      </c>
      <c r="E23" s="78">
        <f t="shared" si="1"/>
        <v>6.0344827586206851E-2</v>
      </c>
      <c r="F23" s="27">
        <v>0</v>
      </c>
      <c r="G23" s="29">
        <v>0</v>
      </c>
      <c r="H23" s="78" t="s">
        <v>158</v>
      </c>
      <c r="I23" s="27">
        <v>0</v>
      </c>
      <c r="J23" s="29">
        <v>0</v>
      </c>
      <c r="K23" s="78" t="s">
        <v>158</v>
      </c>
      <c r="L23" s="27">
        <v>0</v>
      </c>
      <c r="M23" s="29">
        <v>0</v>
      </c>
      <c r="N23" s="78" t="s">
        <v>158</v>
      </c>
      <c r="O23" s="27">
        <v>0</v>
      </c>
      <c r="P23" s="29">
        <v>0</v>
      </c>
      <c r="Q23" s="78" t="s">
        <v>158</v>
      </c>
      <c r="R23" s="27">
        <v>0</v>
      </c>
      <c r="S23" s="29">
        <v>0</v>
      </c>
      <c r="T23" s="78" t="s">
        <v>158</v>
      </c>
      <c r="U23" s="27">
        <v>0</v>
      </c>
      <c r="V23" s="29">
        <v>0</v>
      </c>
      <c r="W23" s="78" t="s">
        <v>158</v>
      </c>
      <c r="X23" s="27">
        <v>0</v>
      </c>
      <c r="Y23" s="29">
        <v>0</v>
      </c>
      <c r="Z23" s="78" t="s">
        <v>158</v>
      </c>
      <c r="AA23" s="27">
        <v>0</v>
      </c>
      <c r="AB23" s="29">
        <v>0</v>
      </c>
      <c r="AC23" s="78" t="s">
        <v>158</v>
      </c>
      <c r="AD23" s="27">
        <v>0</v>
      </c>
      <c r="AE23" s="29">
        <v>0</v>
      </c>
      <c r="AF23" s="78" t="s">
        <v>158</v>
      </c>
      <c r="AG23" s="27">
        <v>0</v>
      </c>
      <c r="AH23" s="29">
        <v>0</v>
      </c>
      <c r="AI23" s="78" t="s">
        <v>158</v>
      </c>
      <c r="AJ23" s="27">
        <v>0</v>
      </c>
      <c r="AK23" s="29">
        <v>0</v>
      </c>
      <c r="AL23" s="78" t="s">
        <v>158</v>
      </c>
      <c r="AM23" s="27">
        <v>0</v>
      </c>
      <c r="AN23" s="29">
        <v>0</v>
      </c>
      <c r="AO23" s="78" t="s">
        <v>158</v>
      </c>
      <c r="AP23" s="27">
        <v>0</v>
      </c>
      <c r="AQ23" s="29">
        <v>0</v>
      </c>
      <c r="AR23" s="78" t="s">
        <v>158</v>
      </c>
      <c r="AS23" s="27">
        <v>0</v>
      </c>
      <c r="AT23" s="29">
        <v>0</v>
      </c>
      <c r="AU23" s="78" t="s">
        <v>158</v>
      </c>
      <c r="AV23" s="27">
        <v>0</v>
      </c>
      <c r="AW23" s="29">
        <v>0</v>
      </c>
      <c r="AX23" s="78" t="s">
        <v>158</v>
      </c>
      <c r="AY23" s="27">
        <v>0</v>
      </c>
      <c r="AZ23" s="29">
        <v>0</v>
      </c>
      <c r="BA23" s="78" t="s">
        <v>158</v>
      </c>
      <c r="BB23" s="27">
        <v>0</v>
      </c>
      <c r="BC23" s="29">
        <v>0</v>
      </c>
      <c r="BD23" s="78" t="s">
        <v>158</v>
      </c>
      <c r="BE23" s="27">
        <v>0</v>
      </c>
      <c r="BF23" s="29">
        <v>0</v>
      </c>
      <c r="BG23" s="78" t="s">
        <v>158</v>
      </c>
      <c r="BH23" s="27">
        <v>0</v>
      </c>
      <c r="BI23" s="29">
        <v>0</v>
      </c>
      <c r="BJ23" s="78" t="s">
        <v>158</v>
      </c>
      <c r="BK23" s="27">
        <f t="shared" si="2"/>
        <v>958</v>
      </c>
      <c r="BL23" s="29">
        <f t="shared" si="3"/>
        <v>56</v>
      </c>
      <c r="BM23" s="78">
        <f t="shared" si="4"/>
        <v>6.8144943212547382E-2</v>
      </c>
      <c r="BN23" s="27">
        <v>0</v>
      </c>
      <c r="BO23" s="29">
        <v>0</v>
      </c>
      <c r="BP23" s="78" t="s">
        <v>158</v>
      </c>
      <c r="BQ23" s="27">
        <v>26</v>
      </c>
      <c r="BR23" s="29">
        <v>0</v>
      </c>
      <c r="BS23" s="78">
        <v>0</v>
      </c>
      <c r="BT23" s="79" t="s">
        <v>92</v>
      </c>
      <c r="BU23">
        <v>212</v>
      </c>
      <c r="BV23" s="35">
        <v>958</v>
      </c>
      <c r="BW23" s="79" t="s">
        <v>92</v>
      </c>
      <c r="BX23">
        <v>208</v>
      </c>
      <c r="BY23" s="35">
        <v>902</v>
      </c>
    </row>
    <row r="24" spans="1:77" s="4" customFormat="1" x14ac:dyDescent="0.25">
      <c r="B24" s="24" t="s">
        <v>39</v>
      </c>
      <c r="C24" s="25">
        <f t="shared" si="0"/>
        <v>2228</v>
      </c>
      <c r="D24" s="29">
        <f t="shared" si="0"/>
        <v>126</v>
      </c>
      <c r="E24" s="78">
        <f t="shared" si="1"/>
        <v>5.9942911512844921E-2</v>
      </c>
      <c r="F24" s="27">
        <v>111</v>
      </c>
      <c r="G24" s="29">
        <v>0</v>
      </c>
      <c r="H24" s="78">
        <v>0</v>
      </c>
      <c r="I24" s="27">
        <v>8</v>
      </c>
      <c r="J24" s="29">
        <v>0</v>
      </c>
      <c r="K24" s="78">
        <v>0</v>
      </c>
      <c r="L24" s="27">
        <v>15</v>
      </c>
      <c r="M24" s="29">
        <v>0</v>
      </c>
      <c r="N24" s="78">
        <v>0</v>
      </c>
      <c r="O24" s="27">
        <v>74</v>
      </c>
      <c r="P24" s="29">
        <v>0</v>
      </c>
      <c r="Q24" s="78">
        <v>0</v>
      </c>
      <c r="R24" s="27">
        <v>0</v>
      </c>
      <c r="S24" s="29">
        <v>0</v>
      </c>
      <c r="T24" s="78" t="s">
        <v>158</v>
      </c>
      <c r="U24" s="27">
        <v>0</v>
      </c>
      <c r="V24" s="29">
        <v>0</v>
      </c>
      <c r="W24" s="78" t="s">
        <v>158</v>
      </c>
      <c r="X24" s="27">
        <v>0</v>
      </c>
      <c r="Y24" s="29">
        <v>0</v>
      </c>
      <c r="Z24" s="78" t="s">
        <v>158</v>
      </c>
      <c r="AA24" s="27">
        <v>0</v>
      </c>
      <c r="AB24" s="29">
        <v>0</v>
      </c>
      <c r="AC24" s="78" t="s">
        <v>158</v>
      </c>
      <c r="AD24" s="27">
        <v>14</v>
      </c>
      <c r="AE24" s="29">
        <v>0</v>
      </c>
      <c r="AF24" s="78">
        <v>0</v>
      </c>
      <c r="AG24" s="27">
        <v>48</v>
      </c>
      <c r="AH24" s="29">
        <v>0</v>
      </c>
      <c r="AI24" s="78">
        <v>0</v>
      </c>
      <c r="AJ24" s="27">
        <v>30</v>
      </c>
      <c r="AK24" s="29">
        <v>0</v>
      </c>
      <c r="AL24" s="78">
        <v>0</v>
      </c>
      <c r="AM24" s="27">
        <v>0</v>
      </c>
      <c r="AN24" s="29">
        <v>0</v>
      </c>
      <c r="AO24" s="78" t="s">
        <v>158</v>
      </c>
      <c r="AP24" s="27">
        <v>0</v>
      </c>
      <c r="AQ24" s="29">
        <v>0</v>
      </c>
      <c r="AR24" s="78" t="s">
        <v>158</v>
      </c>
      <c r="AS24" s="27">
        <v>0</v>
      </c>
      <c r="AT24" s="29">
        <v>0</v>
      </c>
      <c r="AU24" s="78" t="s">
        <v>158</v>
      </c>
      <c r="AV24" s="27">
        <v>0</v>
      </c>
      <c r="AW24" s="29">
        <v>0</v>
      </c>
      <c r="AX24" s="78" t="s">
        <v>158</v>
      </c>
      <c r="AY24" s="27">
        <v>0</v>
      </c>
      <c r="AZ24" s="29">
        <v>0</v>
      </c>
      <c r="BA24" s="78" t="s">
        <v>158</v>
      </c>
      <c r="BB24" s="27">
        <v>0</v>
      </c>
      <c r="BC24" s="29">
        <v>0</v>
      </c>
      <c r="BD24" s="78" t="s">
        <v>158</v>
      </c>
      <c r="BE24" s="27">
        <v>14</v>
      </c>
      <c r="BF24" s="29">
        <v>0</v>
      </c>
      <c r="BG24" s="78">
        <v>0</v>
      </c>
      <c r="BH24" s="27">
        <v>4</v>
      </c>
      <c r="BI24" s="29">
        <v>0</v>
      </c>
      <c r="BJ24" s="78" t="s">
        <v>158</v>
      </c>
      <c r="BK24" s="27">
        <f t="shared" si="2"/>
        <v>1975</v>
      </c>
      <c r="BL24" s="29">
        <f t="shared" si="3"/>
        <v>126</v>
      </c>
      <c r="BM24" s="78">
        <f t="shared" si="4"/>
        <v>6.0446373217607041E-2</v>
      </c>
      <c r="BN24" s="27">
        <v>28</v>
      </c>
      <c r="BO24" s="29">
        <v>0</v>
      </c>
      <c r="BP24" s="78">
        <v>0</v>
      </c>
      <c r="BQ24" s="27">
        <v>66</v>
      </c>
      <c r="BR24" s="29">
        <v>0</v>
      </c>
      <c r="BS24" s="78">
        <v>0</v>
      </c>
      <c r="BT24" s="79" t="s">
        <v>39</v>
      </c>
      <c r="BU24">
        <v>403</v>
      </c>
      <c r="BV24" s="35">
        <v>1975</v>
      </c>
      <c r="BW24" s="79" t="s">
        <v>39</v>
      </c>
      <c r="BX24">
        <v>375</v>
      </c>
      <c r="BY24" s="35">
        <v>1849</v>
      </c>
    </row>
    <row r="25" spans="1:77" s="4" customFormat="1" x14ac:dyDescent="0.25">
      <c r="B25" s="24" t="s">
        <v>40</v>
      </c>
      <c r="C25" s="25">
        <f t="shared" si="0"/>
        <v>28001</v>
      </c>
      <c r="D25" s="29">
        <f t="shared" si="0"/>
        <v>590</v>
      </c>
      <c r="E25" s="78">
        <f t="shared" si="1"/>
        <v>2.1524205610886193E-2</v>
      </c>
      <c r="F25" s="27">
        <v>16881</v>
      </c>
      <c r="G25" s="29">
        <v>762</v>
      </c>
      <c r="H25" s="78">
        <v>4.727340405732372E-2</v>
      </c>
      <c r="I25" s="27">
        <v>131</v>
      </c>
      <c r="J25" s="29">
        <v>0</v>
      </c>
      <c r="K25" s="78">
        <v>0</v>
      </c>
      <c r="L25" s="27">
        <v>317</v>
      </c>
      <c r="M25" s="29">
        <v>0</v>
      </c>
      <c r="N25" s="78">
        <v>0</v>
      </c>
      <c r="O25" s="27">
        <v>2530</v>
      </c>
      <c r="P25" s="29">
        <v>244</v>
      </c>
      <c r="Q25" s="78">
        <v>0.10673665791776021</v>
      </c>
      <c r="R25" s="27">
        <v>12977</v>
      </c>
      <c r="S25" s="29">
        <v>134</v>
      </c>
      <c r="T25" s="78">
        <v>1.0433699291442888E-2</v>
      </c>
      <c r="U25" s="27">
        <v>384</v>
      </c>
      <c r="V25" s="29">
        <v>384</v>
      </c>
      <c r="W25" s="78" t="s">
        <v>158</v>
      </c>
      <c r="X25" s="27">
        <v>542</v>
      </c>
      <c r="Y25" s="29">
        <v>0</v>
      </c>
      <c r="Z25" s="78">
        <v>0</v>
      </c>
      <c r="AA25" s="27">
        <v>0</v>
      </c>
      <c r="AB25" s="29">
        <v>0</v>
      </c>
      <c r="AC25" s="78" t="s">
        <v>158</v>
      </c>
      <c r="AD25" s="27">
        <v>0</v>
      </c>
      <c r="AE25" s="29">
        <v>0</v>
      </c>
      <c r="AF25" s="78" t="s">
        <v>158</v>
      </c>
      <c r="AG25" s="27">
        <v>4278</v>
      </c>
      <c r="AH25" s="29">
        <v>-562</v>
      </c>
      <c r="AI25" s="78">
        <v>-0.11611570247933889</v>
      </c>
      <c r="AJ25" s="27">
        <v>182</v>
      </c>
      <c r="AK25" s="29">
        <v>0</v>
      </c>
      <c r="AL25" s="78">
        <v>0</v>
      </c>
      <c r="AM25" s="27">
        <v>413</v>
      </c>
      <c r="AN25" s="29">
        <v>-244</v>
      </c>
      <c r="AO25" s="78">
        <v>-0.37138508371385082</v>
      </c>
      <c r="AP25" s="27">
        <v>2592</v>
      </c>
      <c r="AQ25" s="29">
        <v>-582</v>
      </c>
      <c r="AR25" s="78">
        <v>-0.18336483931947067</v>
      </c>
      <c r="AS25" s="27">
        <v>0</v>
      </c>
      <c r="AT25" s="29">
        <v>0</v>
      </c>
      <c r="AU25" s="78" t="s">
        <v>158</v>
      </c>
      <c r="AV25" s="27">
        <v>559</v>
      </c>
      <c r="AW25" s="29">
        <v>244</v>
      </c>
      <c r="AX25" s="78">
        <v>0.77460317460317452</v>
      </c>
      <c r="AY25" s="27">
        <v>512</v>
      </c>
      <c r="AZ25" s="29">
        <v>0</v>
      </c>
      <c r="BA25" s="78">
        <v>0</v>
      </c>
      <c r="BB25" s="27">
        <v>0</v>
      </c>
      <c r="BC25" s="29">
        <v>0</v>
      </c>
      <c r="BD25" s="78" t="s">
        <v>158</v>
      </c>
      <c r="BE25" s="27">
        <v>20</v>
      </c>
      <c r="BF25" s="29">
        <v>20</v>
      </c>
      <c r="BG25" s="78" t="s">
        <v>158</v>
      </c>
      <c r="BH25" s="27">
        <v>0</v>
      </c>
      <c r="BI25" s="29">
        <v>0</v>
      </c>
      <c r="BJ25" s="78" t="s">
        <v>158</v>
      </c>
      <c r="BK25" s="27">
        <f t="shared" si="2"/>
        <v>6842</v>
      </c>
      <c r="BL25" s="29">
        <f t="shared" si="3"/>
        <v>390</v>
      </c>
      <c r="BM25" s="78">
        <f t="shared" si="4"/>
        <v>0.11193476649369893</v>
      </c>
      <c r="BN25" s="27">
        <v>0</v>
      </c>
      <c r="BO25" s="29">
        <v>0</v>
      </c>
      <c r="BP25" s="78" t="s">
        <v>158</v>
      </c>
      <c r="BQ25" s="27">
        <v>0</v>
      </c>
      <c r="BR25" s="29">
        <v>0</v>
      </c>
      <c r="BS25" s="78" t="s">
        <v>158</v>
      </c>
      <c r="BT25" s="79" t="s">
        <v>93</v>
      </c>
      <c r="BU25">
        <v>1950</v>
      </c>
      <c r="BV25" s="35">
        <v>6842</v>
      </c>
      <c r="BW25" s="79" t="s">
        <v>93</v>
      </c>
      <c r="BX25">
        <v>1837</v>
      </c>
      <c r="BY25" s="35">
        <v>6452</v>
      </c>
    </row>
    <row r="26" spans="1:77" s="4" customFormat="1" x14ac:dyDescent="0.25">
      <c r="B26" s="24" t="s">
        <v>41</v>
      </c>
      <c r="C26" s="25">
        <f t="shared" si="0"/>
        <v>3455</v>
      </c>
      <c r="D26" s="29">
        <f t="shared" si="0"/>
        <v>151</v>
      </c>
      <c r="E26" s="78">
        <f t="shared" si="1"/>
        <v>4.5702179176755342E-2</v>
      </c>
      <c r="F26" s="27">
        <v>1355</v>
      </c>
      <c r="G26" s="29">
        <v>0</v>
      </c>
      <c r="H26" s="78">
        <v>0</v>
      </c>
      <c r="I26" s="27">
        <v>0</v>
      </c>
      <c r="J26" s="29">
        <v>0</v>
      </c>
      <c r="K26" s="78" t="s">
        <v>158</v>
      </c>
      <c r="L26" s="27">
        <v>0</v>
      </c>
      <c r="M26" s="29">
        <v>0</v>
      </c>
      <c r="N26" s="78" t="s">
        <v>158</v>
      </c>
      <c r="O26" s="27">
        <v>496</v>
      </c>
      <c r="P26" s="29">
        <v>0</v>
      </c>
      <c r="Q26" s="78">
        <v>0</v>
      </c>
      <c r="R26" s="27">
        <v>859</v>
      </c>
      <c r="S26" s="29">
        <v>0</v>
      </c>
      <c r="T26" s="78">
        <v>0</v>
      </c>
      <c r="U26" s="27">
        <v>0</v>
      </c>
      <c r="V26" s="29">
        <v>0</v>
      </c>
      <c r="W26" s="78" t="s">
        <v>158</v>
      </c>
      <c r="X26" s="27">
        <v>0</v>
      </c>
      <c r="Y26" s="29">
        <v>0</v>
      </c>
      <c r="Z26" s="78" t="s">
        <v>158</v>
      </c>
      <c r="AA26" s="27">
        <v>0</v>
      </c>
      <c r="AB26" s="29">
        <v>0</v>
      </c>
      <c r="AC26" s="78" t="s">
        <v>158</v>
      </c>
      <c r="AD26" s="27">
        <v>0</v>
      </c>
      <c r="AE26" s="29">
        <v>0</v>
      </c>
      <c r="AF26" s="78" t="s">
        <v>158</v>
      </c>
      <c r="AG26" s="27">
        <v>355</v>
      </c>
      <c r="AH26" s="29">
        <v>0</v>
      </c>
      <c r="AI26" s="78">
        <v>0</v>
      </c>
      <c r="AJ26" s="27">
        <v>160</v>
      </c>
      <c r="AK26" s="29">
        <v>0</v>
      </c>
      <c r="AL26" s="78">
        <v>0</v>
      </c>
      <c r="AM26" s="27">
        <v>0</v>
      </c>
      <c r="AN26" s="29">
        <v>0</v>
      </c>
      <c r="AO26" s="78" t="s">
        <v>158</v>
      </c>
      <c r="AP26" s="27">
        <v>178</v>
      </c>
      <c r="AQ26" s="29">
        <v>0</v>
      </c>
      <c r="AR26" s="78">
        <v>0</v>
      </c>
      <c r="AS26" s="27">
        <v>0</v>
      </c>
      <c r="AT26" s="29">
        <v>0</v>
      </c>
      <c r="AU26" s="78" t="s">
        <v>158</v>
      </c>
      <c r="AV26" s="27">
        <v>0</v>
      </c>
      <c r="AW26" s="29">
        <v>0</v>
      </c>
      <c r="AX26" s="78" t="s">
        <v>158</v>
      </c>
      <c r="AY26" s="27">
        <v>0</v>
      </c>
      <c r="AZ26" s="29">
        <v>0</v>
      </c>
      <c r="BA26" s="78" t="s">
        <v>158</v>
      </c>
      <c r="BB26" s="27">
        <v>0</v>
      </c>
      <c r="BC26" s="29">
        <v>0</v>
      </c>
      <c r="BD26" s="78" t="s">
        <v>158</v>
      </c>
      <c r="BE26" s="27">
        <v>17</v>
      </c>
      <c r="BF26" s="29">
        <v>0</v>
      </c>
      <c r="BG26" s="78">
        <v>0</v>
      </c>
      <c r="BH26" s="27">
        <v>0</v>
      </c>
      <c r="BI26" s="29">
        <v>0</v>
      </c>
      <c r="BJ26" s="78" t="s">
        <v>158</v>
      </c>
      <c r="BK26" s="27">
        <f t="shared" si="2"/>
        <v>1500</v>
      </c>
      <c r="BL26" s="29">
        <f t="shared" si="3"/>
        <v>151</v>
      </c>
      <c r="BM26" s="78">
        <f t="shared" si="4"/>
        <v>0.1102060373742213</v>
      </c>
      <c r="BN26" s="27">
        <v>90</v>
      </c>
      <c r="BO26" s="29">
        <v>0</v>
      </c>
      <c r="BP26" s="78">
        <v>0</v>
      </c>
      <c r="BQ26" s="27">
        <v>155</v>
      </c>
      <c r="BR26" s="29">
        <v>0</v>
      </c>
      <c r="BS26" s="78">
        <v>0</v>
      </c>
      <c r="BT26" s="79" t="s">
        <v>41</v>
      </c>
      <c r="BU26">
        <v>333</v>
      </c>
      <c r="BV26" s="35">
        <v>1500</v>
      </c>
      <c r="BW26" s="79" t="s">
        <v>41</v>
      </c>
      <c r="BX26">
        <v>301</v>
      </c>
      <c r="BY26" s="35">
        <v>1349</v>
      </c>
    </row>
    <row r="27" spans="1:77" s="4" customFormat="1" x14ac:dyDescent="0.25">
      <c r="B27" s="24" t="s">
        <v>42</v>
      </c>
      <c r="C27" s="25">
        <f t="shared" si="0"/>
        <v>2394</v>
      </c>
      <c r="D27" s="29">
        <f t="shared" si="0"/>
        <v>230</v>
      </c>
      <c r="E27" s="78">
        <f t="shared" si="1"/>
        <v>0.10628465804066534</v>
      </c>
      <c r="F27" s="27">
        <v>21</v>
      </c>
      <c r="G27" s="29">
        <v>0</v>
      </c>
      <c r="H27" s="78">
        <v>0</v>
      </c>
      <c r="I27" s="27">
        <v>14</v>
      </c>
      <c r="J27" s="29">
        <v>0</v>
      </c>
      <c r="K27" s="78">
        <v>0</v>
      </c>
      <c r="L27" s="27">
        <v>7</v>
      </c>
      <c r="M27" s="29">
        <v>0</v>
      </c>
      <c r="N27" s="78">
        <v>0</v>
      </c>
      <c r="O27" s="27">
        <v>0</v>
      </c>
      <c r="P27" s="29">
        <v>0</v>
      </c>
      <c r="Q27" s="78" t="s">
        <v>158</v>
      </c>
      <c r="R27" s="27">
        <v>0</v>
      </c>
      <c r="S27" s="29">
        <v>0</v>
      </c>
      <c r="T27" s="78" t="s">
        <v>158</v>
      </c>
      <c r="U27" s="27">
        <v>0</v>
      </c>
      <c r="V27" s="29">
        <v>0</v>
      </c>
      <c r="W27" s="78" t="s">
        <v>158</v>
      </c>
      <c r="X27" s="27">
        <v>0</v>
      </c>
      <c r="Y27" s="29">
        <v>0</v>
      </c>
      <c r="Z27" s="78" t="s">
        <v>158</v>
      </c>
      <c r="AA27" s="27">
        <v>0</v>
      </c>
      <c r="AB27" s="29">
        <v>0</v>
      </c>
      <c r="AC27" s="78" t="s">
        <v>158</v>
      </c>
      <c r="AD27" s="27">
        <v>0</v>
      </c>
      <c r="AE27" s="29">
        <v>0</v>
      </c>
      <c r="AF27" s="78" t="s">
        <v>158</v>
      </c>
      <c r="AG27" s="27">
        <v>7</v>
      </c>
      <c r="AH27" s="29">
        <v>0</v>
      </c>
      <c r="AI27" s="78">
        <v>0</v>
      </c>
      <c r="AJ27" s="27">
        <v>0</v>
      </c>
      <c r="AK27" s="29">
        <v>0</v>
      </c>
      <c r="AL27" s="78" t="s">
        <v>158</v>
      </c>
      <c r="AM27" s="27">
        <v>0</v>
      </c>
      <c r="AN27" s="29">
        <v>0</v>
      </c>
      <c r="AO27" s="78" t="s">
        <v>158</v>
      </c>
      <c r="AP27" s="27">
        <v>0</v>
      </c>
      <c r="AQ27" s="29">
        <v>0</v>
      </c>
      <c r="AR27" s="78" t="s">
        <v>158</v>
      </c>
      <c r="AS27" s="27">
        <v>0</v>
      </c>
      <c r="AT27" s="29">
        <v>0</v>
      </c>
      <c r="AU27" s="78" t="s">
        <v>158</v>
      </c>
      <c r="AV27" s="27">
        <v>0</v>
      </c>
      <c r="AW27" s="29">
        <v>0</v>
      </c>
      <c r="AX27" s="78" t="s">
        <v>158</v>
      </c>
      <c r="AY27" s="27">
        <v>0</v>
      </c>
      <c r="AZ27" s="29">
        <v>0</v>
      </c>
      <c r="BA27" s="78" t="s">
        <v>158</v>
      </c>
      <c r="BB27" s="27">
        <v>0</v>
      </c>
      <c r="BC27" s="29">
        <v>0</v>
      </c>
      <c r="BD27" s="78" t="s">
        <v>158</v>
      </c>
      <c r="BE27" s="27">
        <v>0</v>
      </c>
      <c r="BF27" s="29">
        <v>0</v>
      </c>
      <c r="BG27" s="78" t="s">
        <v>158</v>
      </c>
      <c r="BH27" s="27">
        <v>7</v>
      </c>
      <c r="BI27" s="29">
        <v>0</v>
      </c>
      <c r="BJ27" s="78" t="s">
        <v>158</v>
      </c>
      <c r="BK27" s="27">
        <f t="shared" si="2"/>
        <v>2317</v>
      </c>
      <c r="BL27" s="29">
        <f t="shared" si="3"/>
        <v>230</v>
      </c>
      <c r="BM27" s="78">
        <f t="shared" si="4"/>
        <v>0.24901185770750978</v>
      </c>
      <c r="BN27" s="27">
        <v>20</v>
      </c>
      <c r="BO27" s="29">
        <v>0</v>
      </c>
      <c r="BP27" s="78">
        <v>0</v>
      </c>
      <c r="BQ27" s="27">
        <v>29</v>
      </c>
      <c r="BR27" s="29">
        <v>0</v>
      </c>
      <c r="BS27" s="78">
        <v>0</v>
      </c>
      <c r="BT27" s="79" t="s">
        <v>42</v>
      </c>
      <c r="BU27">
        <v>442</v>
      </c>
      <c r="BV27" s="35">
        <v>2317</v>
      </c>
      <c r="BW27" s="79" t="s">
        <v>42</v>
      </c>
      <c r="BX27">
        <v>409</v>
      </c>
      <c r="BY27" s="35">
        <v>2087</v>
      </c>
    </row>
    <row r="28" spans="1:77" s="4" customFormat="1" x14ac:dyDescent="0.25">
      <c r="B28" s="24" t="s">
        <v>43</v>
      </c>
      <c r="C28" s="25">
        <f t="shared" si="0"/>
        <v>356</v>
      </c>
      <c r="D28" s="29">
        <f t="shared" si="0"/>
        <v>63</v>
      </c>
      <c r="E28" s="78">
        <f t="shared" si="1"/>
        <v>0.21501706484641647</v>
      </c>
      <c r="F28" s="27">
        <v>0</v>
      </c>
      <c r="G28" s="29">
        <v>0</v>
      </c>
      <c r="H28" s="78">
        <f>(D28/(D28-G28))-1</f>
        <v>0</v>
      </c>
      <c r="I28" s="27"/>
      <c r="J28" s="29">
        <v>0</v>
      </c>
      <c r="K28" s="78" t="s">
        <v>158</v>
      </c>
      <c r="L28" s="27">
        <v>0</v>
      </c>
      <c r="M28" s="29">
        <v>0</v>
      </c>
      <c r="N28" s="78" t="s">
        <v>158</v>
      </c>
      <c r="O28" s="27">
        <v>0</v>
      </c>
      <c r="P28" s="29">
        <v>0</v>
      </c>
      <c r="Q28" s="78" t="s">
        <v>158</v>
      </c>
      <c r="R28" s="27">
        <v>0</v>
      </c>
      <c r="S28" s="29">
        <v>0</v>
      </c>
      <c r="T28" s="78" t="s">
        <v>158</v>
      </c>
      <c r="U28" s="27">
        <v>0</v>
      </c>
      <c r="V28" s="29">
        <v>0</v>
      </c>
      <c r="W28" s="78" t="s">
        <v>158</v>
      </c>
      <c r="X28" s="27">
        <v>0</v>
      </c>
      <c r="Y28" s="29">
        <v>0</v>
      </c>
      <c r="Z28" s="78" t="s">
        <v>158</v>
      </c>
      <c r="AA28" s="27">
        <v>0</v>
      </c>
      <c r="AB28" s="29">
        <v>0</v>
      </c>
      <c r="AC28" s="78" t="s">
        <v>158</v>
      </c>
      <c r="AD28" s="27">
        <v>0</v>
      </c>
      <c r="AE28" s="29">
        <v>0</v>
      </c>
      <c r="AF28" s="78" t="s">
        <v>158</v>
      </c>
      <c r="AG28" s="27">
        <v>11</v>
      </c>
      <c r="AH28" s="29">
        <v>0</v>
      </c>
      <c r="AI28" s="78">
        <v>0</v>
      </c>
      <c r="AJ28" s="27">
        <v>0</v>
      </c>
      <c r="AK28" s="29">
        <v>0</v>
      </c>
      <c r="AL28" s="78" t="s">
        <v>158</v>
      </c>
      <c r="AM28" s="27">
        <v>0</v>
      </c>
      <c r="AN28" s="29">
        <v>0</v>
      </c>
      <c r="AO28" s="78" t="s">
        <v>158</v>
      </c>
      <c r="AP28" s="27">
        <v>0</v>
      </c>
      <c r="AQ28" s="29">
        <v>0</v>
      </c>
      <c r="AR28" s="78" t="s">
        <v>158</v>
      </c>
      <c r="AS28" s="27">
        <v>0</v>
      </c>
      <c r="AT28" s="29">
        <v>0</v>
      </c>
      <c r="AU28" s="78" t="s">
        <v>158</v>
      </c>
      <c r="AV28" s="27">
        <v>0</v>
      </c>
      <c r="AW28" s="29">
        <v>0</v>
      </c>
      <c r="AX28" s="78" t="s">
        <v>158</v>
      </c>
      <c r="AY28" s="27">
        <v>0</v>
      </c>
      <c r="AZ28" s="29">
        <v>0</v>
      </c>
      <c r="BA28" s="78" t="s">
        <v>158</v>
      </c>
      <c r="BB28" s="27">
        <v>0</v>
      </c>
      <c r="BC28" s="29">
        <v>0</v>
      </c>
      <c r="BD28" s="78" t="s">
        <v>158</v>
      </c>
      <c r="BE28" s="27">
        <v>11</v>
      </c>
      <c r="BF28" s="29">
        <v>0</v>
      </c>
      <c r="BG28" s="78">
        <v>0</v>
      </c>
      <c r="BH28" s="27">
        <v>0</v>
      </c>
      <c r="BI28" s="29">
        <v>0</v>
      </c>
      <c r="BJ28" s="78" t="s">
        <v>158</v>
      </c>
      <c r="BK28" s="27">
        <f t="shared" si="2"/>
        <v>316</v>
      </c>
      <c r="BL28" s="29">
        <f t="shared" si="3"/>
        <v>63</v>
      </c>
      <c r="BM28" s="78">
        <f t="shared" si="4"/>
        <v>0.1011701170117012</v>
      </c>
      <c r="BN28" s="27">
        <v>16</v>
      </c>
      <c r="BO28" s="29">
        <v>0</v>
      </c>
      <c r="BP28" s="78">
        <v>0</v>
      </c>
      <c r="BQ28" s="27">
        <v>13</v>
      </c>
      <c r="BR28" s="29">
        <v>0</v>
      </c>
      <c r="BS28" s="78">
        <v>0</v>
      </c>
      <c r="BT28" s="79" t="s">
        <v>94</v>
      </c>
      <c r="BU28">
        <v>72</v>
      </c>
      <c r="BV28" s="35">
        <v>316</v>
      </c>
      <c r="BW28" s="79" t="s">
        <v>94</v>
      </c>
      <c r="BX28">
        <v>58</v>
      </c>
      <c r="BY28" s="35">
        <v>253</v>
      </c>
    </row>
    <row r="29" spans="1:77" s="4" customFormat="1" x14ac:dyDescent="0.25">
      <c r="B29" s="24" t="s">
        <v>44</v>
      </c>
      <c r="C29" s="25">
        <f t="shared" si="0"/>
        <v>12678</v>
      </c>
      <c r="D29" s="29">
        <f t="shared" si="0"/>
        <v>562</v>
      </c>
      <c r="E29" s="78">
        <f t="shared" si="1"/>
        <v>4.6384945526576349E-2</v>
      </c>
      <c r="F29" s="27">
        <v>3368</v>
      </c>
      <c r="G29" s="29">
        <v>0</v>
      </c>
      <c r="H29" s="78" t="e">
        <f>VLOOKUP($D$1,'estab aut municipio x tip y cat'!$B$8:$BU$39,62+2,FALSE)</f>
        <v>#N/A</v>
      </c>
      <c r="I29" s="27">
        <v>0</v>
      </c>
      <c r="J29" s="29">
        <v>0</v>
      </c>
      <c r="K29" s="78" t="s">
        <v>158</v>
      </c>
      <c r="L29" s="27">
        <v>0</v>
      </c>
      <c r="M29" s="29">
        <v>0</v>
      </c>
      <c r="N29" s="78" t="s">
        <v>158</v>
      </c>
      <c r="O29" s="27">
        <v>722</v>
      </c>
      <c r="P29" s="29">
        <v>0</v>
      </c>
      <c r="Q29" s="78">
        <v>0</v>
      </c>
      <c r="R29" s="27">
        <v>848</v>
      </c>
      <c r="S29" s="29">
        <v>0</v>
      </c>
      <c r="T29" s="78">
        <v>0</v>
      </c>
      <c r="U29" s="27">
        <v>1784</v>
      </c>
      <c r="V29" s="29">
        <v>0</v>
      </c>
      <c r="W29" s="78">
        <v>0</v>
      </c>
      <c r="X29" s="27">
        <v>0</v>
      </c>
      <c r="Y29" s="29">
        <v>0</v>
      </c>
      <c r="Z29" s="78" t="s">
        <v>158</v>
      </c>
      <c r="AA29" s="27">
        <v>0</v>
      </c>
      <c r="AB29" s="29">
        <v>0</v>
      </c>
      <c r="AC29" s="78" t="s">
        <v>158</v>
      </c>
      <c r="AD29" s="27">
        <v>14</v>
      </c>
      <c r="AE29" s="29">
        <v>0</v>
      </c>
      <c r="AF29" s="78">
        <v>0</v>
      </c>
      <c r="AG29" s="27">
        <v>3133</v>
      </c>
      <c r="AH29" s="29">
        <v>0</v>
      </c>
      <c r="AI29" s="78">
        <v>0</v>
      </c>
      <c r="AJ29" s="27">
        <v>382</v>
      </c>
      <c r="AK29" s="29">
        <v>0</v>
      </c>
      <c r="AL29" s="78">
        <v>0</v>
      </c>
      <c r="AM29" s="27">
        <v>588</v>
      </c>
      <c r="AN29" s="29">
        <v>0</v>
      </c>
      <c r="AO29" s="78">
        <v>0</v>
      </c>
      <c r="AP29" s="27">
        <v>1135</v>
      </c>
      <c r="AQ29" s="29">
        <v>0</v>
      </c>
      <c r="AR29" s="78">
        <v>0</v>
      </c>
      <c r="AS29" s="27">
        <v>0</v>
      </c>
      <c r="AT29" s="29">
        <v>0</v>
      </c>
      <c r="AU29" s="78" t="s">
        <v>158</v>
      </c>
      <c r="AV29" s="27">
        <v>861</v>
      </c>
      <c r="AW29" s="29">
        <v>0</v>
      </c>
      <c r="AX29" s="78">
        <v>0</v>
      </c>
      <c r="AY29" s="27">
        <v>0</v>
      </c>
      <c r="AZ29" s="29">
        <v>0</v>
      </c>
      <c r="BA29" s="78" t="s">
        <v>158</v>
      </c>
      <c r="BB29" s="27">
        <v>155</v>
      </c>
      <c r="BC29" s="29">
        <v>0</v>
      </c>
      <c r="BD29" s="78">
        <v>0</v>
      </c>
      <c r="BE29" s="27">
        <v>12</v>
      </c>
      <c r="BF29" s="29">
        <v>0</v>
      </c>
      <c r="BG29" s="78">
        <v>0</v>
      </c>
      <c r="BH29" s="27">
        <v>0</v>
      </c>
      <c r="BI29" s="29">
        <v>0</v>
      </c>
      <c r="BJ29" s="78" t="s">
        <v>158</v>
      </c>
      <c r="BK29" s="27">
        <f t="shared" si="2"/>
        <v>6117</v>
      </c>
      <c r="BL29" s="29">
        <f t="shared" si="3"/>
        <v>562</v>
      </c>
      <c r="BM29" s="78">
        <f t="shared" si="4"/>
        <v>9.3943933233468835E-2</v>
      </c>
      <c r="BN29" s="27">
        <v>32</v>
      </c>
      <c r="BO29" s="29">
        <v>0</v>
      </c>
      <c r="BP29" s="78">
        <v>0</v>
      </c>
      <c r="BQ29" s="27">
        <v>28</v>
      </c>
      <c r="BR29" s="29">
        <v>0</v>
      </c>
      <c r="BS29" s="78">
        <v>0</v>
      </c>
      <c r="BT29" s="79" t="s">
        <v>95</v>
      </c>
      <c r="BU29">
        <v>1498</v>
      </c>
      <c r="BV29" s="35">
        <v>6117</v>
      </c>
      <c r="BW29" s="79" t="s">
        <v>95</v>
      </c>
      <c r="BX29">
        <v>1381</v>
      </c>
      <c r="BY29" s="35">
        <v>5555</v>
      </c>
    </row>
    <row r="30" spans="1:77" s="4" customFormat="1" x14ac:dyDescent="0.25">
      <c r="A30" s="4">
        <v>26</v>
      </c>
      <c r="B30" s="24" t="s">
        <v>45</v>
      </c>
      <c r="C30" s="25">
        <f t="shared" si="0"/>
        <v>13233</v>
      </c>
      <c r="D30" s="29">
        <f t="shared" si="0"/>
        <v>785</v>
      </c>
      <c r="E30" s="78">
        <f t="shared" si="1"/>
        <v>6.3062339331619643E-2</v>
      </c>
      <c r="F30" s="27">
        <v>2944</v>
      </c>
      <c r="G30" s="29">
        <v>-115</v>
      </c>
      <c r="H30" s="78">
        <v>-3.7593984962406068E-2</v>
      </c>
      <c r="I30" s="27">
        <v>218</v>
      </c>
      <c r="J30" s="29">
        <v>0</v>
      </c>
      <c r="K30" s="78">
        <v>0</v>
      </c>
      <c r="L30" s="27">
        <v>482</v>
      </c>
      <c r="M30" s="29">
        <v>127</v>
      </c>
      <c r="N30" s="78">
        <v>0.3577464788732394</v>
      </c>
      <c r="O30" s="27">
        <v>408</v>
      </c>
      <c r="P30" s="29">
        <v>-266</v>
      </c>
      <c r="Q30" s="78">
        <v>-0.39465875370919878</v>
      </c>
      <c r="R30" s="27">
        <v>1261</v>
      </c>
      <c r="S30" s="29">
        <v>0</v>
      </c>
      <c r="T30" s="78">
        <v>0</v>
      </c>
      <c r="U30" s="27">
        <v>507</v>
      </c>
      <c r="V30" s="29">
        <v>0</v>
      </c>
      <c r="W30" s="78">
        <v>0</v>
      </c>
      <c r="X30" s="27">
        <v>0</v>
      </c>
      <c r="Y30" s="29">
        <v>0</v>
      </c>
      <c r="Z30" s="78" t="s">
        <v>158</v>
      </c>
      <c r="AA30" s="27">
        <v>0</v>
      </c>
      <c r="AB30" s="29">
        <v>0</v>
      </c>
      <c r="AC30" s="78" t="s">
        <v>158</v>
      </c>
      <c r="AD30" s="27">
        <v>18</v>
      </c>
      <c r="AE30" s="29">
        <v>0</v>
      </c>
      <c r="AF30" s="78">
        <v>0</v>
      </c>
      <c r="AG30" s="27">
        <v>50</v>
      </c>
      <c r="AH30" s="29">
        <v>22</v>
      </c>
      <c r="AI30" s="78">
        <v>0.78571428571428581</v>
      </c>
      <c r="AJ30" s="27">
        <v>0</v>
      </c>
      <c r="AK30" s="29">
        <v>0</v>
      </c>
      <c r="AL30" s="78" t="s">
        <v>158</v>
      </c>
      <c r="AM30" s="27">
        <v>0</v>
      </c>
      <c r="AN30" s="29">
        <v>0</v>
      </c>
      <c r="AO30" s="78" t="s">
        <v>158</v>
      </c>
      <c r="AP30" s="27">
        <v>0</v>
      </c>
      <c r="AQ30" s="29">
        <v>0</v>
      </c>
      <c r="AR30" s="78" t="s">
        <v>158</v>
      </c>
      <c r="AS30" s="27">
        <v>0</v>
      </c>
      <c r="AT30" s="29">
        <v>0</v>
      </c>
      <c r="AU30" s="78" t="s">
        <v>158</v>
      </c>
      <c r="AV30" s="27">
        <v>0</v>
      </c>
      <c r="AW30" s="29">
        <v>0</v>
      </c>
      <c r="AX30" s="78" t="s">
        <v>158</v>
      </c>
      <c r="AY30" s="27">
        <v>0</v>
      </c>
      <c r="AZ30" s="29">
        <v>0</v>
      </c>
      <c r="BA30" s="78" t="s">
        <v>158</v>
      </c>
      <c r="BB30" s="27">
        <v>0</v>
      </c>
      <c r="BC30" s="29">
        <v>0</v>
      </c>
      <c r="BD30" s="78" t="s">
        <v>158</v>
      </c>
      <c r="BE30" s="27">
        <v>44</v>
      </c>
      <c r="BF30" s="29">
        <v>22</v>
      </c>
      <c r="BG30" s="78">
        <v>1</v>
      </c>
      <c r="BH30" s="27">
        <v>6</v>
      </c>
      <c r="BI30" s="29">
        <v>0</v>
      </c>
      <c r="BJ30" s="78" t="s">
        <v>158</v>
      </c>
      <c r="BK30" s="27">
        <f t="shared" si="2"/>
        <v>10224</v>
      </c>
      <c r="BL30" s="29">
        <f t="shared" si="3"/>
        <v>878</v>
      </c>
      <c r="BM30" s="78">
        <f t="shared" si="4"/>
        <v>0.165991902834008</v>
      </c>
      <c r="BN30" s="27">
        <v>0</v>
      </c>
      <c r="BO30" s="29">
        <v>0</v>
      </c>
      <c r="BP30" s="78" t="s">
        <v>158</v>
      </c>
      <c r="BQ30" s="27">
        <v>15</v>
      </c>
      <c r="BR30" s="29">
        <v>0</v>
      </c>
      <c r="BS30" s="78">
        <v>0</v>
      </c>
      <c r="BT30" s="79" t="s">
        <v>96</v>
      </c>
      <c r="BU30">
        <v>2263</v>
      </c>
      <c r="BV30" s="35">
        <v>10224</v>
      </c>
      <c r="BW30" s="79" t="s">
        <v>96</v>
      </c>
      <c r="BX30">
        <v>2125</v>
      </c>
      <c r="BY30" s="35">
        <v>9346</v>
      </c>
    </row>
    <row r="31" spans="1:77" s="4" customFormat="1" x14ac:dyDescent="0.25">
      <c r="B31" s="24" t="s">
        <v>46</v>
      </c>
      <c r="C31" s="25">
        <f t="shared" si="0"/>
        <v>2016</v>
      </c>
      <c r="D31" s="29">
        <f t="shared" si="0"/>
        <v>287</v>
      </c>
      <c r="E31" s="78">
        <f t="shared" si="1"/>
        <v>0.165991902834008</v>
      </c>
      <c r="F31" s="27">
        <v>0</v>
      </c>
      <c r="G31" s="29">
        <v>0</v>
      </c>
      <c r="H31" s="78" t="s">
        <v>158</v>
      </c>
      <c r="I31" s="27">
        <v>0</v>
      </c>
      <c r="J31" s="29">
        <v>0</v>
      </c>
      <c r="K31" s="78" t="s">
        <v>158</v>
      </c>
      <c r="L31" s="27">
        <v>0</v>
      </c>
      <c r="M31" s="29">
        <v>0</v>
      </c>
      <c r="N31" s="78" t="s">
        <v>158</v>
      </c>
      <c r="O31" s="27">
        <v>0</v>
      </c>
      <c r="P31" s="29">
        <v>0</v>
      </c>
      <c r="Q31" s="78" t="s">
        <v>158</v>
      </c>
      <c r="R31" s="27">
        <v>0</v>
      </c>
      <c r="S31" s="29">
        <v>0</v>
      </c>
      <c r="T31" s="78" t="s">
        <v>158</v>
      </c>
      <c r="U31" s="27">
        <v>0</v>
      </c>
      <c r="V31" s="29">
        <v>0</v>
      </c>
      <c r="W31" s="78" t="s">
        <v>158</v>
      </c>
      <c r="X31" s="27">
        <v>0</v>
      </c>
      <c r="Y31" s="29">
        <v>0</v>
      </c>
      <c r="Z31" s="78" t="s">
        <v>158</v>
      </c>
      <c r="AA31" s="27">
        <v>0</v>
      </c>
      <c r="AB31" s="29">
        <v>0</v>
      </c>
      <c r="AC31" s="78" t="s">
        <v>158</v>
      </c>
      <c r="AD31" s="27">
        <v>0</v>
      </c>
      <c r="AE31" s="29">
        <v>0</v>
      </c>
      <c r="AF31" s="78" t="s">
        <v>158</v>
      </c>
      <c r="AG31" s="27">
        <v>0</v>
      </c>
      <c r="AH31" s="29">
        <v>0</v>
      </c>
      <c r="AI31" s="78" t="s">
        <v>158</v>
      </c>
      <c r="AJ31" s="27">
        <v>0</v>
      </c>
      <c r="AK31" s="29">
        <v>0</v>
      </c>
      <c r="AL31" s="78" t="s">
        <v>158</v>
      </c>
      <c r="AM31" s="27">
        <v>0</v>
      </c>
      <c r="AN31" s="29">
        <v>0</v>
      </c>
      <c r="AO31" s="78" t="s">
        <v>158</v>
      </c>
      <c r="AP31" s="27">
        <v>0</v>
      </c>
      <c r="AQ31" s="29">
        <v>0</v>
      </c>
      <c r="AR31" s="78" t="s">
        <v>158</v>
      </c>
      <c r="AS31" s="27">
        <v>0</v>
      </c>
      <c r="AT31" s="29">
        <v>0</v>
      </c>
      <c r="AU31" s="78" t="s">
        <v>158</v>
      </c>
      <c r="AV31" s="27">
        <v>0</v>
      </c>
      <c r="AW31" s="29">
        <v>0</v>
      </c>
      <c r="AX31" s="78" t="s">
        <v>158</v>
      </c>
      <c r="AY31" s="27">
        <v>0</v>
      </c>
      <c r="AZ31" s="29">
        <v>0</v>
      </c>
      <c r="BA31" s="78" t="s">
        <v>158</v>
      </c>
      <c r="BB31" s="27">
        <v>0</v>
      </c>
      <c r="BC31" s="29">
        <v>0</v>
      </c>
      <c r="BD31" s="78" t="s">
        <v>158</v>
      </c>
      <c r="BE31" s="27">
        <v>0</v>
      </c>
      <c r="BF31" s="29">
        <v>0</v>
      </c>
      <c r="BG31" s="78" t="s">
        <v>158</v>
      </c>
      <c r="BH31" s="27">
        <v>0</v>
      </c>
      <c r="BI31" s="29">
        <v>0</v>
      </c>
      <c r="BJ31" s="78" t="s">
        <v>158</v>
      </c>
      <c r="BK31" s="27">
        <f t="shared" si="2"/>
        <v>2016</v>
      </c>
      <c r="BL31" s="29">
        <f t="shared" si="3"/>
        <v>287</v>
      </c>
      <c r="BM31" s="78">
        <f t="shared" si="4"/>
        <v>6.5165659893831274E-2</v>
      </c>
      <c r="BN31" s="27">
        <v>0</v>
      </c>
      <c r="BO31" s="29">
        <v>0</v>
      </c>
      <c r="BP31" s="78" t="s">
        <v>158</v>
      </c>
      <c r="BQ31" s="27">
        <v>0</v>
      </c>
      <c r="BR31" s="29">
        <v>0</v>
      </c>
      <c r="BS31" s="78" t="s">
        <v>158</v>
      </c>
      <c r="BT31" s="79" t="s">
        <v>46</v>
      </c>
      <c r="BU31">
        <v>392</v>
      </c>
      <c r="BV31" s="35">
        <v>2016</v>
      </c>
      <c r="BW31" s="79" t="s">
        <v>46</v>
      </c>
      <c r="BX31">
        <v>368</v>
      </c>
      <c r="BY31" s="35">
        <v>1729</v>
      </c>
    </row>
    <row r="32" spans="1:77" s="4" customFormat="1" x14ac:dyDescent="0.25">
      <c r="B32" s="24" t="s">
        <v>47</v>
      </c>
      <c r="C32" s="25">
        <f t="shared" si="0"/>
        <v>13288</v>
      </c>
      <c r="D32" s="29">
        <f t="shared" si="0"/>
        <v>356</v>
      </c>
      <c r="E32" s="78">
        <f t="shared" si="1"/>
        <v>2.7528611197030539E-2</v>
      </c>
      <c r="F32" s="27">
        <v>4459</v>
      </c>
      <c r="G32" s="29">
        <v>0</v>
      </c>
      <c r="H32" s="78">
        <v>0</v>
      </c>
      <c r="I32" s="27">
        <v>0</v>
      </c>
      <c r="J32" s="29">
        <v>0</v>
      </c>
      <c r="K32" s="78" t="s">
        <v>158</v>
      </c>
      <c r="L32" s="27">
        <v>0</v>
      </c>
      <c r="M32" s="29">
        <v>0</v>
      </c>
      <c r="N32" s="78" t="s">
        <v>158</v>
      </c>
      <c r="O32" s="27">
        <v>1058</v>
      </c>
      <c r="P32" s="29">
        <v>0</v>
      </c>
      <c r="Q32" s="78">
        <v>0</v>
      </c>
      <c r="R32" s="27">
        <v>3401</v>
      </c>
      <c r="S32" s="29">
        <v>0</v>
      </c>
      <c r="T32" s="78">
        <v>0</v>
      </c>
      <c r="U32" s="27">
        <v>0</v>
      </c>
      <c r="V32" s="29">
        <v>0</v>
      </c>
      <c r="W32" s="78" t="s">
        <v>158</v>
      </c>
      <c r="X32" s="27">
        <v>0</v>
      </c>
      <c r="Y32" s="29">
        <v>0</v>
      </c>
      <c r="Z32" s="78" t="s">
        <v>158</v>
      </c>
      <c r="AA32" s="27">
        <v>0</v>
      </c>
      <c r="AB32" s="29">
        <v>0</v>
      </c>
      <c r="AC32" s="78" t="s">
        <v>158</v>
      </c>
      <c r="AD32" s="27">
        <v>0</v>
      </c>
      <c r="AE32" s="29">
        <v>0</v>
      </c>
      <c r="AF32" s="78" t="s">
        <v>158</v>
      </c>
      <c r="AG32" s="27">
        <v>3010</v>
      </c>
      <c r="AH32" s="29">
        <v>0</v>
      </c>
      <c r="AI32" s="78">
        <v>0</v>
      </c>
      <c r="AJ32" s="27">
        <v>1513</v>
      </c>
      <c r="AK32" s="29">
        <v>0</v>
      </c>
      <c r="AL32" s="78">
        <v>0</v>
      </c>
      <c r="AM32" s="27">
        <v>869</v>
      </c>
      <c r="AN32" s="29">
        <v>0</v>
      </c>
      <c r="AO32" s="78">
        <v>0</v>
      </c>
      <c r="AP32" s="27">
        <v>0</v>
      </c>
      <c r="AQ32" s="29">
        <v>0</v>
      </c>
      <c r="AR32" s="78" t="s">
        <v>158</v>
      </c>
      <c r="AS32" s="27">
        <v>0</v>
      </c>
      <c r="AT32" s="29">
        <v>0</v>
      </c>
      <c r="AU32" s="78" t="s">
        <v>158</v>
      </c>
      <c r="AV32" s="27">
        <v>0</v>
      </c>
      <c r="AW32" s="29">
        <v>0</v>
      </c>
      <c r="AX32" s="78" t="s">
        <v>158</v>
      </c>
      <c r="AY32" s="27">
        <v>234</v>
      </c>
      <c r="AZ32" s="29">
        <v>0</v>
      </c>
      <c r="BA32" s="78">
        <v>0</v>
      </c>
      <c r="BB32" s="27">
        <v>394</v>
      </c>
      <c r="BC32" s="29">
        <v>0</v>
      </c>
      <c r="BD32" s="78">
        <v>0</v>
      </c>
      <c r="BE32" s="27">
        <v>0</v>
      </c>
      <c r="BF32" s="29">
        <v>0</v>
      </c>
      <c r="BG32" s="78" t="s">
        <v>158</v>
      </c>
      <c r="BH32" s="27">
        <v>0</v>
      </c>
      <c r="BI32" s="29">
        <v>0</v>
      </c>
      <c r="BJ32" s="78" t="s">
        <v>158</v>
      </c>
      <c r="BK32" s="27">
        <f t="shared" si="2"/>
        <v>5819</v>
      </c>
      <c r="BL32" s="29">
        <f t="shared" si="3"/>
        <v>356</v>
      </c>
      <c r="BM32" s="78">
        <f t="shared" si="4"/>
        <v>5.7771664374140386E-2</v>
      </c>
      <c r="BN32" s="27">
        <v>0</v>
      </c>
      <c r="BO32" s="29">
        <v>0</v>
      </c>
      <c r="BP32" s="78" t="s">
        <v>158</v>
      </c>
      <c r="BQ32" s="27">
        <v>0</v>
      </c>
      <c r="BR32" s="29">
        <v>0</v>
      </c>
      <c r="BS32" s="78" t="s">
        <v>158</v>
      </c>
      <c r="BT32" s="79" t="s">
        <v>97</v>
      </c>
      <c r="BU32">
        <v>1484</v>
      </c>
      <c r="BV32" s="35">
        <v>5819</v>
      </c>
      <c r="BW32" s="79" t="s">
        <v>97</v>
      </c>
      <c r="BX32">
        <v>1394</v>
      </c>
      <c r="BY32" s="35">
        <v>5463</v>
      </c>
    </row>
    <row r="33" spans="2:77" s="4" customFormat="1" x14ac:dyDescent="0.25">
      <c r="B33" s="24" t="s">
        <v>48</v>
      </c>
      <c r="C33" s="25">
        <f t="shared" si="0"/>
        <v>801</v>
      </c>
      <c r="D33" s="29">
        <f t="shared" si="0"/>
        <v>56</v>
      </c>
      <c r="E33" s="78">
        <f t="shared" si="1"/>
        <v>7.5167785234899309E-2</v>
      </c>
      <c r="F33" s="27">
        <v>14</v>
      </c>
      <c r="G33" s="29">
        <v>0</v>
      </c>
      <c r="H33" s="78">
        <v>0</v>
      </c>
      <c r="I33" s="27">
        <v>0</v>
      </c>
      <c r="J33" s="29">
        <v>0</v>
      </c>
      <c r="K33" s="78" t="s">
        <v>158</v>
      </c>
      <c r="L33" s="27">
        <v>14</v>
      </c>
      <c r="M33" s="29">
        <v>0</v>
      </c>
      <c r="N33" s="78">
        <v>0</v>
      </c>
      <c r="O33" s="27">
        <v>0</v>
      </c>
      <c r="P33" s="29">
        <v>0</v>
      </c>
      <c r="Q33" s="78" t="s">
        <v>158</v>
      </c>
      <c r="R33" s="27">
        <v>0</v>
      </c>
      <c r="S33" s="29">
        <v>0</v>
      </c>
      <c r="T33" s="78" t="s">
        <v>158</v>
      </c>
      <c r="U33" s="27">
        <v>0</v>
      </c>
      <c r="V33" s="29">
        <v>0</v>
      </c>
      <c r="W33" s="78" t="s">
        <v>158</v>
      </c>
      <c r="X33" s="27">
        <v>0</v>
      </c>
      <c r="Y33" s="29">
        <v>0</v>
      </c>
      <c r="Z33" s="78" t="s">
        <v>158</v>
      </c>
      <c r="AA33" s="27">
        <v>0</v>
      </c>
      <c r="AB33" s="29">
        <v>0</v>
      </c>
      <c r="AC33" s="78" t="s">
        <v>158</v>
      </c>
      <c r="AD33" s="27">
        <v>0</v>
      </c>
      <c r="AE33" s="29">
        <v>0</v>
      </c>
      <c r="AF33" s="78" t="s">
        <v>158</v>
      </c>
      <c r="AG33" s="27">
        <v>0</v>
      </c>
      <c r="AH33" s="29">
        <v>0</v>
      </c>
      <c r="AI33" s="78" t="s">
        <v>158</v>
      </c>
      <c r="AJ33" s="27">
        <v>0</v>
      </c>
      <c r="AK33" s="29">
        <v>0</v>
      </c>
      <c r="AL33" s="78" t="s">
        <v>158</v>
      </c>
      <c r="AM33" s="27">
        <v>0</v>
      </c>
      <c r="AN33" s="29">
        <v>0</v>
      </c>
      <c r="AO33" s="78" t="s">
        <v>158</v>
      </c>
      <c r="AP33" s="27">
        <v>0</v>
      </c>
      <c r="AQ33" s="29">
        <v>0</v>
      </c>
      <c r="AR33" s="78" t="s">
        <v>158</v>
      </c>
      <c r="AS33" s="27">
        <v>0</v>
      </c>
      <c r="AT33" s="29">
        <v>0</v>
      </c>
      <c r="AU33" s="78" t="s">
        <v>158</v>
      </c>
      <c r="AV33" s="27">
        <v>0</v>
      </c>
      <c r="AW33" s="29">
        <v>0</v>
      </c>
      <c r="AX33" s="78" t="s">
        <v>158</v>
      </c>
      <c r="AY33" s="27">
        <v>0</v>
      </c>
      <c r="AZ33" s="29">
        <v>0</v>
      </c>
      <c r="BA33" s="78" t="s">
        <v>158</v>
      </c>
      <c r="BB33" s="27">
        <v>0</v>
      </c>
      <c r="BC33" s="29">
        <v>0</v>
      </c>
      <c r="BD33" s="78" t="s">
        <v>158</v>
      </c>
      <c r="BE33" s="27">
        <v>0</v>
      </c>
      <c r="BF33" s="29">
        <v>0</v>
      </c>
      <c r="BG33" s="78" t="s">
        <v>158</v>
      </c>
      <c r="BH33" s="27">
        <v>0</v>
      </c>
      <c r="BI33" s="29">
        <v>0</v>
      </c>
      <c r="BJ33" s="78" t="s">
        <v>158</v>
      </c>
      <c r="BK33" s="27">
        <f t="shared" si="2"/>
        <v>769</v>
      </c>
      <c r="BL33" s="29">
        <f t="shared" si="3"/>
        <v>42</v>
      </c>
      <c r="BM33" s="78">
        <f t="shared" si="4"/>
        <v>-3.5058430717863076E-2</v>
      </c>
      <c r="BN33" s="27">
        <v>14</v>
      </c>
      <c r="BO33" s="29">
        <v>14</v>
      </c>
      <c r="BP33" s="78" t="s">
        <v>158</v>
      </c>
      <c r="BQ33" s="27">
        <v>4</v>
      </c>
      <c r="BR33" s="29">
        <v>0</v>
      </c>
      <c r="BS33" s="78">
        <v>0</v>
      </c>
      <c r="BT33" s="79" t="s">
        <v>48</v>
      </c>
      <c r="BU33">
        <v>145</v>
      </c>
      <c r="BV33" s="35">
        <v>769</v>
      </c>
      <c r="BW33" s="79" t="s">
        <v>48</v>
      </c>
      <c r="BX33">
        <v>139</v>
      </c>
      <c r="BY33" s="35">
        <v>727</v>
      </c>
    </row>
    <row r="34" spans="2:77" s="4" customFormat="1" x14ac:dyDescent="0.25">
      <c r="B34" s="24" t="s">
        <v>49</v>
      </c>
      <c r="C34" s="25">
        <f t="shared" si="0"/>
        <v>735</v>
      </c>
      <c r="D34" s="29">
        <f t="shared" si="0"/>
        <v>-21</v>
      </c>
      <c r="E34" s="78">
        <f t="shared" si="1"/>
        <v>-2.777777777777779E-2</v>
      </c>
      <c r="F34" s="27">
        <v>98</v>
      </c>
      <c r="G34" s="29">
        <v>0</v>
      </c>
      <c r="H34" s="78">
        <v>0</v>
      </c>
      <c r="I34" s="27">
        <v>0</v>
      </c>
      <c r="J34" s="29">
        <v>0</v>
      </c>
      <c r="K34" s="78" t="s">
        <v>158</v>
      </c>
      <c r="L34" s="27">
        <v>0</v>
      </c>
      <c r="M34" s="29">
        <v>0</v>
      </c>
      <c r="N34" s="78" t="s">
        <v>158</v>
      </c>
      <c r="O34" s="27">
        <v>0</v>
      </c>
      <c r="P34" s="29">
        <v>0</v>
      </c>
      <c r="Q34" s="78" t="s">
        <v>158</v>
      </c>
      <c r="R34" s="27">
        <v>98</v>
      </c>
      <c r="S34" s="29">
        <v>0</v>
      </c>
      <c r="T34" s="78">
        <v>0</v>
      </c>
      <c r="U34" s="27">
        <v>0</v>
      </c>
      <c r="V34" s="29">
        <v>0</v>
      </c>
      <c r="W34" s="78" t="s">
        <v>158</v>
      </c>
      <c r="X34" s="27">
        <v>0</v>
      </c>
      <c r="Y34" s="29">
        <v>0</v>
      </c>
      <c r="Z34" s="78" t="s">
        <v>158</v>
      </c>
      <c r="AA34" s="27">
        <v>0</v>
      </c>
      <c r="AB34" s="29">
        <v>0</v>
      </c>
      <c r="AC34" s="78" t="s">
        <v>158</v>
      </c>
      <c r="AD34" s="27">
        <v>0</v>
      </c>
      <c r="AE34" s="29">
        <v>0</v>
      </c>
      <c r="AF34" s="78" t="s">
        <v>158</v>
      </c>
      <c r="AG34" s="27">
        <v>14</v>
      </c>
      <c r="AH34" s="29">
        <v>0</v>
      </c>
      <c r="AI34" s="78">
        <v>0</v>
      </c>
      <c r="AJ34" s="27">
        <v>0</v>
      </c>
      <c r="AK34" s="29">
        <v>0</v>
      </c>
      <c r="AL34" s="78" t="s">
        <v>158</v>
      </c>
      <c r="AM34" s="27">
        <v>0</v>
      </c>
      <c r="AN34" s="29">
        <v>0</v>
      </c>
      <c r="AO34" s="78" t="s">
        <v>158</v>
      </c>
      <c r="AP34" s="27">
        <v>0</v>
      </c>
      <c r="AQ34" s="29">
        <v>0</v>
      </c>
      <c r="AR34" s="78" t="s">
        <v>158</v>
      </c>
      <c r="AS34" s="27">
        <v>0</v>
      </c>
      <c r="AT34" s="29">
        <v>0</v>
      </c>
      <c r="AU34" s="78" t="s">
        <v>158</v>
      </c>
      <c r="AV34" s="27">
        <v>0</v>
      </c>
      <c r="AW34" s="29">
        <v>0</v>
      </c>
      <c r="AX34" s="78" t="s">
        <v>158</v>
      </c>
      <c r="AY34" s="27">
        <v>0</v>
      </c>
      <c r="AZ34" s="29">
        <v>0</v>
      </c>
      <c r="BA34" s="78" t="s">
        <v>158</v>
      </c>
      <c r="BB34" s="27">
        <v>0</v>
      </c>
      <c r="BC34" s="29">
        <v>0</v>
      </c>
      <c r="BD34" s="78" t="s">
        <v>158</v>
      </c>
      <c r="BE34" s="27">
        <v>4</v>
      </c>
      <c r="BF34" s="29">
        <v>0</v>
      </c>
      <c r="BG34" s="78">
        <v>0</v>
      </c>
      <c r="BH34" s="27">
        <v>10</v>
      </c>
      <c r="BI34" s="29">
        <v>0</v>
      </c>
      <c r="BJ34" s="78" t="s">
        <v>158</v>
      </c>
      <c r="BK34" s="27">
        <f t="shared" si="2"/>
        <v>578</v>
      </c>
      <c r="BL34" s="29">
        <f t="shared" si="3"/>
        <v>-21</v>
      </c>
      <c r="BM34" s="78">
        <f t="shared" si="4"/>
        <v>0.10474631751227492</v>
      </c>
      <c r="BN34" s="27">
        <v>24</v>
      </c>
      <c r="BO34" s="29">
        <v>0</v>
      </c>
      <c r="BP34" s="78">
        <v>0</v>
      </c>
      <c r="BQ34" s="27">
        <v>21</v>
      </c>
      <c r="BR34" s="29">
        <v>0</v>
      </c>
      <c r="BS34" s="78">
        <v>0</v>
      </c>
      <c r="BT34" s="79" t="s">
        <v>49</v>
      </c>
      <c r="BU34">
        <v>133</v>
      </c>
      <c r="BV34" s="35">
        <v>578</v>
      </c>
      <c r="BW34" s="79" t="s">
        <v>49</v>
      </c>
      <c r="BX34">
        <v>138</v>
      </c>
      <c r="BY34" s="35">
        <v>599</v>
      </c>
    </row>
    <row r="35" spans="2:77" s="4" customFormat="1" x14ac:dyDescent="0.25">
      <c r="B35" s="24" t="s">
        <v>50</v>
      </c>
      <c r="C35" s="25">
        <f t="shared" si="0"/>
        <v>2344</v>
      </c>
      <c r="D35" s="29">
        <f t="shared" si="0"/>
        <v>192</v>
      </c>
      <c r="E35" s="78">
        <f t="shared" si="1"/>
        <v>8.9219330855018653E-2</v>
      </c>
      <c r="F35" s="27">
        <v>12</v>
      </c>
      <c r="G35" s="29">
        <v>0</v>
      </c>
      <c r="H35" s="78">
        <v>0</v>
      </c>
      <c r="I35" s="27">
        <v>0</v>
      </c>
      <c r="J35" s="29">
        <v>0</v>
      </c>
      <c r="K35" s="78" t="s">
        <v>158</v>
      </c>
      <c r="L35" s="27">
        <v>0</v>
      </c>
      <c r="M35" s="29">
        <v>0</v>
      </c>
      <c r="N35" s="78" t="s">
        <v>158</v>
      </c>
      <c r="O35" s="27">
        <v>0</v>
      </c>
      <c r="P35" s="29">
        <v>0</v>
      </c>
      <c r="Q35" s="78" t="s">
        <v>158</v>
      </c>
      <c r="R35" s="27">
        <v>0</v>
      </c>
      <c r="S35" s="29">
        <v>0</v>
      </c>
      <c r="T35" s="78" t="s">
        <v>158</v>
      </c>
      <c r="U35" s="27">
        <v>0</v>
      </c>
      <c r="V35" s="29">
        <v>0</v>
      </c>
      <c r="W35" s="78" t="s">
        <v>158</v>
      </c>
      <c r="X35" s="27">
        <v>0</v>
      </c>
      <c r="Y35" s="29">
        <v>0</v>
      </c>
      <c r="Z35" s="78" t="s">
        <v>158</v>
      </c>
      <c r="AA35" s="27">
        <v>0</v>
      </c>
      <c r="AB35" s="29">
        <v>0</v>
      </c>
      <c r="AC35" s="78" t="s">
        <v>158</v>
      </c>
      <c r="AD35" s="27">
        <v>12</v>
      </c>
      <c r="AE35" s="29">
        <v>0</v>
      </c>
      <c r="AF35" s="78">
        <v>0</v>
      </c>
      <c r="AG35" s="27">
        <v>272</v>
      </c>
      <c r="AH35" s="29">
        <v>0</v>
      </c>
      <c r="AI35" s="78">
        <v>0</v>
      </c>
      <c r="AJ35" s="27">
        <v>0</v>
      </c>
      <c r="AK35" s="29">
        <v>0</v>
      </c>
      <c r="AL35" s="78" t="s">
        <v>158</v>
      </c>
      <c r="AM35" s="27">
        <v>0</v>
      </c>
      <c r="AN35" s="29">
        <v>0</v>
      </c>
      <c r="AO35" s="78" t="s">
        <v>158</v>
      </c>
      <c r="AP35" s="27">
        <v>272</v>
      </c>
      <c r="AQ35" s="29">
        <v>0</v>
      </c>
      <c r="AR35" s="78">
        <v>0</v>
      </c>
      <c r="AS35" s="27">
        <v>0</v>
      </c>
      <c r="AT35" s="29">
        <v>0</v>
      </c>
      <c r="AU35" s="78" t="s">
        <v>158</v>
      </c>
      <c r="AV35" s="27">
        <v>0</v>
      </c>
      <c r="AW35" s="29">
        <v>0</v>
      </c>
      <c r="AX35" s="78" t="s">
        <v>158</v>
      </c>
      <c r="AY35" s="27">
        <v>0</v>
      </c>
      <c r="AZ35" s="29">
        <v>0</v>
      </c>
      <c r="BA35" s="78" t="s">
        <v>158</v>
      </c>
      <c r="BB35" s="27">
        <v>0</v>
      </c>
      <c r="BC35" s="29">
        <v>0</v>
      </c>
      <c r="BD35" s="78" t="s">
        <v>158</v>
      </c>
      <c r="BE35" s="27">
        <v>0</v>
      </c>
      <c r="BF35" s="29">
        <v>0</v>
      </c>
      <c r="BG35" s="78" t="s">
        <v>158</v>
      </c>
      <c r="BH35" s="27">
        <v>0</v>
      </c>
      <c r="BI35" s="29">
        <v>0</v>
      </c>
      <c r="BJ35" s="78" t="s">
        <v>158</v>
      </c>
      <c r="BK35" s="27">
        <f>BV35</f>
        <v>2025</v>
      </c>
      <c r="BL35" s="29">
        <f t="shared" si="3"/>
        <v>192</v>
      </c>
      <c r="BM35" s="78">
        <f t="shared" si="4"/>
        <v>0.11552346570397121</v>
      </c>
      <c r="BN35" s="27">
        <v>0</v>
      </c>
      <c r="BO35" s="29">
        <v>0</v>
      </c>
      <c r="BP35" s="78" t="s">
        <v>158</v>
      </c>
      <c r="BQ35" s="27">
        <v>35</v>
      </c>
      <c r="BR35" s="29">
        <v>0</v>
      </c>
      <c r="BS35" s="78">
        <v>0</v>
      </c>
      <c r="BT35" s="79" t="s">
        <v>50</v>
      </c>
      <c r="BU35">
        <v>439</v>
      </c>
      <c r="BV35" s="35">
        <v>2025</v>
      </c>
      <c r="BW35" s="79" t="s">
        <v>50</v>
      </c>
      <c r="BX35">
        <v>409</v>
      </c>
      <c r="BY35" s="35">
        <v>1833</v>
      </c>
    </row>
    <row r="36" spans="2:77" s="4" customFormat="1" x14ac:dyDescent="0.25">
      <c r="B36" s="24" t="s">
        <v>51</v>
      </c>
      <c r="C36" s="25">
        <f t="shared" si="0"/>
        <v>356</v>
      </c>
      <c r="D36" s="29">
        <f t="shared" si="0"/>
        <v>32</v>
      </c>
      <c r="E36" s="78">
        <f t="shared" si="1"/>
        <v>9.8765432098765427E-2</v>
      </c>
      <c r="F36" s="27">
        <v>0</v>
      </c>
      <c r="G36" s="29">
        <v>0</v>
      </c>
      <c r="H36" s="78" t="s">
        <v>158</v>
      </c>
      <c r="I36" s="27">
        <v>0</v>
      </c>
      <c r="J36" s="29">
        <v>0</v>
      </c>
      <c r="K36" s="78" t="s">
        <v>158</v>
      </c>
      <c r="L36" s="27">
        <v>0</v>
      </c>
      <c r="M36" s="29">
        <v>0</v>
      </c>
      <c r="N36" s="78" t="s">
        <v>158</v>
      </c>
      <c r="O36" s="27">
        <v>0</v>
      </c>
      <c r="P36" s="29">
        <v>0</v>
      </c>
      <c r="Q36" s="78" t="s">
        <v>158</v>
      </c>
      <c r="R36" s="27">
        <v>0</v>
      </c>
      <c r="S36" s="29">
        <v>0</v>
      </c>
      <c r="T36" s="78" t="s">
        <v>158</v>
      </c>
      <c r="U36" s="27">
        <v>0</v>
      </c>
      <c r="V36" s="29">
        <v>0</v>
      </c>
      <c r="W36" s="78" t="s">
        <v>158</v>
      </c>
      <c r="X36" s="27">
        <v>0</v>
      </c>
      <c r="Y36" s="29">
        <v>0</v>
      </c>
      <c r="Z36" s="78" t="s">
        <v>158</v>
      </c>
      <c r="AA36" s="27">
        <v>0</v>
      </c>
      <c r="AB36" s="29">
        <v>0</v>
      </c>
      <c r="AC36" s="78" t="s">
        <v>158</v>
      </c>
      <c r="AD36" s="27">
        <v>0</v>
      </c>
      <c r="AE36" s="29">
        <v>0</v>
      </c>
      <c r="AF36" s="78" t="s">
        <v>158</v>
      </c>
      <c r="AG36" s="27">
        <v>14</v>
      </c>
      <c r="AH36" s="29">
        <v>0</v>
      </c>
      <c r="AI36" s="78">
        <v>0</v>
      </c>
      <c r="AJ36" s="27">
        <v>0</v>
      </c>
      <c r="AK36" s="29">
        <v>0</v>
      </c>
      <c r="AL36" s="78" t="s">
        <v>158</v>
      </c>
      <c r="AM36" s="27">
        <v>0</v>
      </c>
      <c r="AN36" s="29">
        <v>0</v>
      </c>
      <c r="AO36" s="78" t="s">
        <v>158</v>
      </c>
      <c r="AP36" s="27">
        <v>0</v>
      </c>
      <c r="AQ36" s="29">
        <v>0</v>
      </c>
      <c r="AR36" s="78" t="s">
        <v>158</v>
      </c>
      <c r="AS36" s="27">
        <v>0</v>
      </c>
      <c r="AT36" s="29">
        <v>0</v>
      </c>
      <c r="AU36" s="78" t="s">
        <v>158</v>
      </c>
      <c r="AV36" s="27">
        <v>0</v>
      </c>
      <c r="AW36" s="29">
        <v>0</v>
      </c>
      <c r="AX36" s="78" t="s">
        <v>158</v>
      </c>
      <c r="AY36" s="27">
        <v>0</v>
      </c>
      <c r="AZ36" s="29">
        <v>0</v>
      </c>
      <c r="BA36" s="78" t="s">
        <v>158</v>
      </c>
      <c r="BB36" s="27">
        <v>0</v>
      </c>
      <c r="BC36" s="29">
        <v>0</v>
      </c>
      <c r="BD36" s="78" t="s">
        <v>158</v>
      </c>
      <c r="BE36" s="27">
        <v>14</v>
      </c>
      <c r="BF36" s="29">
        <v>0</v>
      </c>
      <c r="BG36" s="78">
        <v>0</v>
      </c>
      <c r="BH36" s="27">
        <v>0</v>
      </c>
      <c r="BI36" s="29">
        <v>0</v>
      </c>
      <c r="BJ36" s="78" t="s">
        <v>158</v>
      </c>
      <c r="BK36" s="27">
        <f t="shared" si="2"/>
        <v>309</v>
      </c>
      <c r="BL36" s="29">
        <f t="shared" si="3"/>
        <v>32</v>
      </c>
      <c r="BM36" s="78">
        <f t="shared" si="4"/>
        <v>7.8947368421052655E-2</v>
      </c>
      <c r="BN36" s="27">
        <v>21</v>
      </c>
      <c r="BO36" s="29">
        <v>0</v>
      </c>
      <c r="BP36" s="78" t="s">
        <v>158</v>
      </c>
      <c r="BQ36" s="27">
        <v>12</v>
      </c>
      <c r="BR36" s="29">
        <v>0</v>
      </c>
      <c r="BS36" s="78" t="s">
        <v>158</v>
      </c>
      <c r="BT36" s="79" t="s">
        <v>51</v>
      </c>
      <c r="BU36">
        <v>66</v>
      </c>
      <c r="BV36" s="35">
        <v>309</v>
      </c>
      <c r="BW36" s="79" t="s">
        <v>51</v>
      </c>
      <c r="BX36">
        <v>61</v>
      </c>
      <c r="BY36" s="35">
        <v>277</v>
      </c>
    </row>
    <row r="37" spans="2:77" s="4" customFormat="1" x14ac:dyDescent="0.25">
      <c r="B37" s="24" t="s">
        <v>52</v>
      </c>
      <c r="C37" s="25">
        <f t="shared" si="0"/>
        <v>409</v>
      </c>
      <c r="D37" s="29">
        <f t="shared" si="0"/>
        <v>27</v>
      </c>
      <c r="E37" s="78">
        <f t="shared" si="1"/>
        <v>7.0680628272251411E-2</v>
      </c>
      <c r="F37" s="27">
        <v>10</v>
      </c>
      <c r="G37" s="29">
        <v>0</v>
      </c>
      <c r="H37" s="78">
        <v>0</v>
      </c>
      <c r="I37" s="27">
        <v>0</v>
      </c>
      <c r="J37" s="29">
        <v>0</v>
      </c>
      <c r="K37" s="78" t="s">
        <v>158</v>
      </c>
      <c r="L37" s="27">
        <v>0</v>
      </c>
      <c r="M37" s="29">
        <v>0</v>
      </c>
      <c r="N37" s="78" t="s">
        <v>158</v>
      </c>
      <c r="O37" s="27">
        <v>0</v>
      </c>
      <c r="P37" s="29">
        <v>0</v>
      </c>
      <c r="Q37" s="78" t="s">
        <v>158</v>
      </c>
      <c r="R37" s="27">
        <v>0</v>
      </c>
      <c r="S37" s="29">
        <v>0</v>
      </c>
      <c r="T37" s="78" t="s">
        <v>158</v>
      </c>
      <c r="U37" s="27">
        <v>0</v>
      </c>
      <c r="V37" s="29">
        <v>0</v>
      </c>
      <c r="W37" s="78" t="s">
        <v>158</v>
      </c>
      <c r="X37" s="27">
        <v>0</v>
      </c>
      <c r="Y37" s="29">
        <v>0</v>
      </c>
      <c r="Z37" s="78" t="s">
        <v>158</v>
      </c>
      <c r="AA37" s="27">
        <v>0</v>
      </c>
      <c r="AB37" s="29">
        <v>0</v>
      </c>
      <c r="AC37" s="78" t="s">
        <v>158</v>
      </c>
      <c r="AD37" s="27">
        <v>10</v>
      </c>
      <c r="AE37" s="29">
        <v>0</v>
      </c>
      <c r="AF37" s="78">
        <v>0</v>
      </c>
      <c r="AG37" s="27">
        <v>17</v>
      </c>
      <c r="AH37" s="29">
        <v>0</v>
      </c>
      <c r="AI37" s="78">
        <v>0</v>
      </c>
      <c r="AJ37" s="27">
        <v>0</v>
      </c>
      <c r="AK37" s="29">
        <v>0</v>
      </c>
      <c r="AL37" s="78" t="s">
        <v>158</v>
      </c>
      <c r="AM37" s="27">
        <v>0</v>
      </c>
      <c r="AN37" s="29">
        <v>0</v>
      </c>
      <c r="AO37" s="78" t="s">
        <v>158</v>
      </c>
      <c r="AP37" s="27">
        <v>0</v>
      </c>
      <c r="AQ37" s="29">
        <v>0</v>
      </c>
      <c r="AR37" s="78" t="s">
        <v>158</v>
      </c>
      <c r="AS37" s="27">
        <v>0</v>
      </c>
      <c r="AT37" s="29">
        <v>0</v>
      </c>
      <c r="AU37" s="78" t="s">
        <v>158</v>
      </c>
      <c r="AV37" s="27">
        <v>0</v>
      </c>
      <c r="AW37" s="29">
        <v>0</v>
      </c>
      <c r="AX37" s="78" t="s">
        <v>158</v>
      </c>
      <c r="AY37" s="27">
        <v>0</v>
      </c>
      <c r="AZ37" s="29">
        <v>0</v>
      </c>
      <c r="BA37" s="78" t="s">
        <v>158</v>
      </c>
      <c r="BB37" s="27">
        <v>0</v>
      </c>
      <c r="BC37" s="29">
        <v>0</v>
      </c>
      <c r="BD37" s="78" t="s">
        <v>158</v>
      </c>
      <c r="BE37" s="27">
        <v>10</v>
      </c>
      <c r="BF37" s="29">
        <v>0</v>
      </c>
      <c r="BG37" s="78">
        <v>0</v>
      </c>
      <c r="BH37" s="27">
        <v>7</v>
      </c>
      <c r="BI37" s="29">
        <v>0</v>
      </c>
      <c r="BJ37" s="78" t="s">
        <v>158</v>
      </c>
      <c r="BK37" s="27">
        <f t="shared" si="2"/>
        <v>369</v>
      </c>
      <c r="BL37" s="29">
        <f t="shared" si="3"/>
        <v>27</v>
      </c>
      <c r="BM37" s="78">
        <f t="shared" si="4"/>
        <v>0.11331444759206799</v>
      </c>
      <c r="BN37" s="27">
        <v>0</v>
      </c>
      <c r="BO37" s="29">
        <v>0</v>
      </c>
      <c r="BP37" s="78" t="s">
        <v>158</v>
      </c>
      <c r="BQ37" s="27">
        <v>13</v>
      </c>
      <c r="BR37" s="29">
        <v>0</v>
      </c>
      <c r="BS37" s="78">
        <v>0</v>
      </c>
      <c r="BT37" s="79" t="s">
        <v>52</v>
      </c>
      <c r="BU37">
        <v>84</v>
      </c>
      <c r="BV37" s="35">
        <v>369</v>
      </c>
      <c r="BW37" s="79" t="s">
        <v>52</v>
      </c>
      <c r="BX37">
        <v>76</v>
      </c>
      <c r="BY37" s="35">
        <v>342</v>
      </c>
    </row>
    <row r="38" spans="2:77" s="4" customFormat="1" x14ac:dyDescent="0.25">
      <c r="B38" s="24" t="s">
        <v>53</v>
      </c>
      <c r="C38" s="25">
        <f t="shared" si="0"/>
        <v>405</v>
      </c>
      <c r="D38" s="29">
        <f t="shared" si="0"/>
        <v>40</v>
      </c>
      <c r="E38" s="78">
        <f t="shared" si="1"/>
        <v>0.1095890410958904</v>
      </c>
      <c r="F38" s="27">
        <v>0</v>
      </c>
      <c r="G38" s="29">
        <v>0</v>
      </c>
      <c r="H38" s="78" t="s">
        <v>158</v>
      </c>
      <c r="I38" s="27">
        <v>0</v>
      </c>
      <c r="J38" s="29">
        <v>0</v>
      </c>
      <c r="K38" s="78" t="s">
        <v>158</v>
      </c>
      <c r="L38" s="27">
        <v>0</v>
      </c>
      <c r="M38" s="29">
        <v>0</v>
      </c>
      <c r="N38" s="78" t="s">
        <v>158</v>
      </c>
      <c r="O38" s="27">
        <v>0</v>
      </c>
      <c r="P38" s="29">
        <v>0</v>
      </c>
      <c r="Q38" s="78" t="s">
        <v>158</v>
      </c>
      <c r="R38" s="27">
        <v>0</v>
      </c>
      <c r="S38" s="29">
        <v>0</v>
      </c>
      <c r="T38" s="78" t="s">
        <v>158</v>
      </c>
      <c r="U38" s="27">
        <v>0</v>
      </c>
      <c r="V38" s="29">
        <v>0</v>
      </c>
      <c r="W38" s="78" t="s">
        <v>158</v>
      </c>
      <c r="X38" s="27">
        <v>0</v>
      </c>
      <c r="Y38" s="29">
        <v>0</v>
      </c>
      <c r="Z38" s="78" t="s">
        <v>158</v>
      </c>
      <c r="AA38" s="27">
        <v>0</v>
      </c>
      <c r="AB38" s="29">
        <v>0</v>
      </c>
      <c r="AC38" s="78" t="s">
        <v>158</v>
      </c>
      <c r="AD38" s="27">
        <v>0</v>
      </c>
      <c r="AE38" s="29">
        <v>0</v>
      </c>
      <c r="AF38" s="78" t="s">
        <v>158</v>
      </c>
      <c r="AG38" s="27">
        <v>0</v>
      </c>
      <c r="AH38" s="29">
        <v>0</v>
      </c>
      <c r="AI38" s="78" t="s">
        <v>158</v>
      </c>
      <c r="AJ38" s="27">
        <v>0</v>
      </c>
      <c r="AK38" s="29">
        <v>0</v>
      </c>
      <c r="AL38" s="78" t="s">
        <v>158</v>
      </c>
      <c r="AM38" s="27">
        <v>0</v>
      </c>
      <c r="AN38" s="29">
        <v>0</v>
      </c>
      <c r="AO38" s="78" t="s">
        <v>158</v>
      </c>
      <c r="AP38" s="27">
        <v>0</v>
      </c>
      <c r="AQ38" s="29">
        <v>0</v>
      </c>
      <c r="AR38" s="78" t="s">
        <v>158</v>
      </c>
      <c r="AS38" s="27">
        <v>0</v>
      </c>
      <c r="AT38" s="29">
        <v>0</v>
      </c>
      <c r="AU38" s="78" t="s">
        <v>158</v>
      </c>
      <c r="AV38" s="27">
        <v>0</v>
      </c>
      <c r="AW38" s="29">
        <v>0</v>
      </c>
      <c r="AX38" s="78" t="s">
        <v>158</v>
      </c>
      <c r="AY38" s="27">
        <v>0</v>
      </c>
      <c r="AZ38" s="29">
        <v>0</v>
      </c>
      <c r="BA38" s="78" t="s">
        <v>158</v>
      </c>
      <c r="BB38" s="27">
        <v>0</v>
      </c>
      <c r="BC38" s="29">
        <v>0</v>
      </c>
      <c r="BD38" s="78" t="s">
        <v>158</v>
      </c>
      <c r="BE38" s="27">
        <v>0</v>
      </c>
      <c r="BF38" s="29">
        <v>0</v>
      </c>
      <c r="BG38" s="78" t="s">
        <v>158</v>
      </c>
      <c r="BH38" s="27">
        <v>0</v>
      </c>
      <c r="BI38" s="29">
        <v>0</v>
      </c>
      <c r="BJ38" s="78" t="s">
        <v>158</v>
      </c>
      <c r="BK38" s="27">
        <f t="shared" si="2"/>
        <v>393</v>
      </c>
      <c r="BL38" s="29">
        <f t="shared" si="3"/>
        <v>40</v>
      </c>
      <c r="BM38" s="78">
        <f t="shared" si="4"/>
        <v>5.1948051948051965E-2</v>
      </c>
      <c r="BN38" s="27">
        <v>0</v>
      </c>
      <c r="BO38" s="29">
        <v>0</v>
      </c>
      <c r="BP38" s="78" t="s">
        <v>158</v>
      </c>
      <c r="BQ38" s="27">
        <v>12</v>
      </c>
      <c r="BR38" s="29">
        <v>0</v>
      </c>
      <c r="BS38" s="78">
        <v>0</v>
      </c>
      <c r="BT38" s="79" t="s">
        <v>98</v>
      </c>
      <c r="BU38">
        <v>78</v>
      </c>
      <c r="BV38" s="35">
        <v>393</v>
      </c>
      <c r="BW38" s="79" t="s">
        <v>98</v>
      </c>
      <c r="BX38">
        <v>69</v>
      </c>
      <c r="BY38" s="35">
        <v>353</v>
      </c>
    </row>
    <row r="39" spans="2:77" s="4" customFormat="1" x14ac:dyDescent="0.25">
      <c r="B39" s="24" t="s">
        <v>54</v>
      </c>
      <c r="C39" s="25">
        <f t="shared" si="0"/>
        <v>657</v>
      </c>
      <c r="D39" s="29">
        <f t="shared" si="0"/>
        <v>24</v>
      </c>
      <c r="E39" s="78">
        <f t="shared" si="1"/>
        <v>3.7914691943127909E-2</v>
      </c>
      <c r="F39" s="27">
        <v>119</v>
      </c>
      <c r="G39" s="29">
        <v>0</v>
      </c>
      <c r="H39" s="78">
        <v>0</v>
      </c>
      <c r="I39" s="27">
        <v>17</v>
      </c>
      <c r="J39" s="29">
        <v>0</v>
      </c>
      <c r="K39" s="78">
        <v>0</v>
      </c>
      <c r="L39" s="27">
        <v>28</v>
      </c>
      <c r="M39" s="29">
        <v>0</v>
      </c>
      <c r="N39" s="78">
        <v>0</v>
      </c>
      <c r="O39" s="27">
        <v>32</v>
      </c>
      <c r="P39" s="29">
        <v>0</v>
      </c>
      <c r="Q39" s="78">
        <v>0</v>
      </c>
      <c r="R39" s="27">
        <v>42</v>
      </c>
      <c r="S39" s="29">
        <v>0</v>
      </c>
      <c r="T39" s="78">
        <v>0</v>
      </c>
      <c r="U39" s="27">
        <v>0</v>
      </c>
      <c r="V39" s="29">
        <v>0</v>
      </c>
      <c r="W39" s="78" t="s">
        <v>158</v>
      </c>
      <c r="X39" s="27">
        <v>0</v>
      </c>
      <c r="Y39" s="29">
        <v>0</v>
      </c>
      <c r="Z39" s="78" t="s">
        <v>158</v>
      </c>
      <c r="AA39" s="27">
        <v>0</v>
      </c>
      <c r="AB39" s="29">
        <v>0</v>
      </c>
      <c r="AC39" s="78" t="s">
        <v>158</v>
      </c>
      <c r="AD39" s="27">
        <v>0</v>
      </c>
      <c r="AE39" s="29">
        <v>0</v>
      </c>
      <c r="AF39" s="78" t="s">
        <v>158</v>
      </c>
      <c r="AG39" s="27">
        <v>6</v>
      </c>
      <c r="AH39" s="29">
        <v>0</v>
      </c>
      <c r="AI39" s="78">
        <v>0</v>
      </c>
      <c r="AJ39" s="27">
        <v>0</v>
      </c>
      <c r="AK39" s="29">
        <v>0</v>
      </c>
      <c r="AL39" s="78" t="s">
        <v>158</v>
      </c>
      <c r="AM39" s="27">
        <v>0</v>
      </c>
      <c r="AN39" s="29">
        <v>0</v>
      </c>
      <c r="AO39" s="78" t="s">
        <v>158</v>
      </c>
      <c r="AP39" s="27">
        <v>0</v>
      </c>
      <c r="AQ39" s="29">
        <v>0</v>
      </c>
      <c r="AR39" s="78" t="s">
        <v>158</v>
      </c>
      <c r="AS39" s="27">
        <v>0</v>
      </c>
      <c r="AT39" s="29">
        <v>0</v>
      </c>
      <c r="AU39" s="78" t="s">
        <v>158</v>
      </c>
      <c r="AV39" s="27">
        <v>0</v>
      </c>
      <c r="AW39" s="29">
        <v>0</v>
      </c>
      <c r="AX39" s="78" t="s">
        <v>158</v>
      </c>
      <c r="AY39" s="27">
        <v>0</v>
      </c>
      <c r="AZ39" s="29">
        <v>0</v>
      </c>
      <c r="BA39" s="78" t="s">
        <v>158</v>
      </c>
      <c r="BB39" s="27">
        <v>0</v>
      </c>
      <c r="BC39" s="29">
        <v>0</v>
      </c>
      <c r="BD39" s="78" t="s">
        <v>158</v>
      </c>
      <c r="BE39" s="27">
        <v>0</v>
      </c>
      <c r="BF39" s="29">
        <v>0</v>
      </c>
      <c r="BG39" s="78" t="s">
        <v>158</v>
      </c>
      <c r="BH39" s="27">
        <v>6</v>
      </c>
      <c r="BI39" s="29">
        <v>0</v>
      </c>
      <c r="BJ39" s="78" t="s">
        <v>158</v>
      </c>
      <c r="BK39" s="27">
        <f t="shared" si="2"/>
        <v>486</v>
      </c>
      <c r="BL39" s="29">
        <f t="shared" si="3"/>
        <v>24</v>
      </c>
      <c r="BM39" s="78" t="e">
        <f>BV41/BY41-1</f>
        <v>#DIV/0!</v>
      </c>
      <c r="BN39" s="27">
        <v>40</v>
      </c>
      <c r="BO39" s="29">
        <v>0</v>
      </c>
      <c r="BP39" s="78">
        <v>0</v>
      </c>
      <c r="BQ39" s="27">
        <v>6</v>
      </c>
      <c r="BR39" s="29">
        <v>0</v>
      </c>
      <c r="BS39" s="78">
        <v>0</v>
      </c>
      <c r="BT39" s="79" t="s">
        <v>99</v>
      </c>
      <c r="BU39">
        <v>79</v>
      </c>
      <c r="BV39" s="35">
        <v>486</v>
      </c>
      <c r="BW39" s="79" t="s">
        <v>99</v>
      </c>
      <c r="BX39">
        <v>72</v>
      </c>
      <c r="BY39" s="35">
        <v>462</v>
      </c>
    </row>
    <row r="40" spans="2:77" s="4" customFormat="1" x14ac:dyDescent="0.25">
      <c r="B40" s="24"/>
      <c r="C40" s="25"/>
      <c r="D40" s="29"/>
      <c r="E40" s="78"/>
      <c r="F40" s="27"/>
      <c r="G40" s="29"/>
      <c r="H40" s="78"/>
      <c r="I40" s="27"/>
      <c r="J40" s="29"/>
      <c r="K40" s="78"/>
      <c r="L40" s="27"/>
      <c r="M40" s="29"/>
      <c r="N40" s="78"/>
      <c r="O40" s="27"/>
      <c r="P40" s="29"/>
      <c r="Q40" s="78"/>
      <c r="R40" s="27"/>
      <c r="S40" s="29"/>
      <c r="T40" s="78"/>
      <c r="U40" s="27"/>
      <c r="V40" s="29"/>
      <c r="W40" s="78"/>
      <c r="X40" s="27"/>
      <c r="Y40" s="29"/>
      <c r="Z40" s="78"/>
      <c r="AA40" s="27"/>
      <c r="AB40" s="29"/>
      <c r="AC40" s="78"/>
      <c r="AD40" s="27"/>
      <c r="AE40" s="29"/>
      <c r="AF40" s="78"/>
      <c r="AG40" s="27"/>
      <c r="AH40" s="29"/>
      <c r="AI40" s="78"/>
      <c r="AJ40" s="27"/>
      <c r="AK40" s="29"/>
      <c r="AL40" s="78"/>
      <c r="AM40" s="27"/>
      <c r="AN40" s="29"/>
      <c r="AO40" s="78"/>
      <c r="AP40" s="27"/>
      <c r="AQ40" s="29"/>
      <c r="AR40" s="78"/>
      <c r="AS40" s="27"/>
      <c r="AT40" s="29"/>
      <c r="AU40" s="78"/>
      <c r="AV40" s="27"/>
      <c r="AW40" s="29"/>
      <c r="AX40" s="78"/>
      <c r="AY40" s="27"/>
      <c r="AZ40" s="29"/>
      <c r="BA40" s="78"/>
      <c r="BB40" s="27"/>
      <c r="BC40" s="29"/>
      <c r="BD40" s="78"/>
      <c r="BE40" s="27"/>
      <c r="BF40" s="29"/>
      <c r="BG40" s="78"/>
      <c r="BH40" s="27"/>
      <c r="BI40" s="29"/>
      <c r="BJ40" s="78"/>
      <c r="BK40" s="27"/>
      <c r="BL40" s="29"/>
      <c r="BM40" s="78"/>
      <c r="BN40" s="27"/>
      <c r="BO40" s="29"/>
      <c r="BP40" s="78"/>
      <c r="BQ40" s="27"/>
      <c r="BR40" s="29"/>
      <c r="BS40" s="78"/>
      <c r="BT40" s="79" t="s">
        <v>100</v>
      </c>
      <c r="BU40">
        <v>1</v>
      </c>
      <c r="BV40" s="35">
        <v>4</v>
      </c>
      <c r="BW40" s="79" t="s">
        <v>100</v>
      </c>
      <c r="BX40">
        <v>1</v>
      </c>
      <c r="BY40" s="35">
        <v>4</v>
      </c>
    </row>
    <row r="41" spans="2:77" s="4" customFormat="1" ht="6" customHeight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78"/>
      <c r="L41" s="32"/>
      <c r="M41" s="32"/>
      <c r="N41" s="78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79" t="s">
        <v>101</v>
      </c>
      <c r="BU41"/>
      <c r="BV41"/>
      <c r="BW41" s="79" t="s">
        <v>101</v>
      </c>
      <c r="BX41"/>
      <c r="BY41"/>
    </row>
    <row r="42" spans="2:77" s="4" customFormat="1" ht="29.25" customHeight="1" x14ac:dyDescent="0.25">
      <c r="B42" s="81" t="s">
        <v>55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2"/>
      <c r="Z42" s="83"/>
      <c r="AA42" s="83"/>
      <c r="AB42" s="82"/>
      <c r="AC42" s="83"/>
      <c r="AD42" s="83"/>
      <c r="AE42" s="82"/>
      <c r="AF42" s="83"/>
      <c r="AG42" s="83"/>
      <c r="AH42" s="82"/>
      <c r="AI42" s="83"/>
      <c r="AJ42" s="83"/>
      <c r="AK42" s="82"/>
      <c r="AL42" s="83"/>
      <c r="AM42" s="83"/>
      <c r="AN42" s="82"/>
      <c r="AO42" s="83"/>
      <c r="AP42" s="83"/>
      <c r="AQ42" s="82"/>
      <c r="AR42" s="83"/>
      <c r="AS42" s="83"/>
      <c r="AT42" s="82"/>
      <c r="AU42" s="83"/>
      <c r="AV42" s="83"/>
      <c r="AW42" s="82"/>
      <c r="AX42" s="83"/>
      <c r="AY42" s="83"/>
      <c r="AZ42" s="82"/>
      <c r="BA42" s="83"/>
      <c r="BB42" s="83"/>
      <c r="BC42" s="82"/>
      <c r="BD42" s="83"/>
      <c r="BE42" s="83"/>
      <c r="BF42" s="82"/>
      <c r="BG42" s="83"/>
      <c r="BH42" s="83"/>
      <c r="BI42" s="82"/>
      <c r="BJ42" s="83"/>
      <c r="BK42" s="83"/>
      <c r="BL42" s="82"/>
      <c r="BM42" s="83"/>
      <c r="BN42" s="83"/>
      <c r="BO42" s="82"/>
      <c r="BP42" s="83"/>
      <c r="BQ42" s="83"/>
      <c r="BR42" s="82"/>
      <c r="BS42" s="83"/>
    </row>
    <row r="43" spans="2:77" s="4" customFormat="1" x14ac:dyDescent="0.25">
      <c r="BT43"/>
      <c r="BU43"/>
      <c r="BV43"/>
    </row>
    <row r="44" spans="2:77" x14ac:dyDescent="0.25">
      <c r="B44" t="s">
        <v>56</v>
      </c>
      <c r="C44" s="35">
        <f>SUM(C9:C12,C14:C15,C17,C19,C20,C27,C29,C32,C39)</f>
        <v>190327</v>
      </c>
      <c r="D44" s="35"/>
      <c r="E44" s="26"/>
      <c r="F44" s="35">
        <f>SUM(F9:F12,F14:F15,F17,F19,F20,F27,F29,F32,F39)</f>
        <v>64615</v>
      </c>
      <c r="G44" s="35"/>
      <c r="H44" s="26"/>
      <c r="I44" s="35">
        <f>SUM(I9:I12,I14:I15,I17,I19,I20,I27,I29,I32,I39)</f>
        <v>691</v>
      </c>
      <c r="J44" s="35"/>
      <c r="K44" s="26"/>
      <c r="L44" s="35">
        <f>SUM(L9:L12,L14:L15,L17,L19,L20,L27,L29,L32,L39)</f>
        <v>1206</v>
      </c>
      <c r="M44" s="35"/>
      <c r="N44" s="26"/>
      <c r="O44" s="35">
        <f>SUM(O9:O12,O14:O15,O17,O19,O20,O27,O29,O32,O39)</f>
        <v>9053</v>
      </c>
      <c r="P44" s="35"/>
      <c r="Q44" s="26"/>
      <c r="R44" s="35">
        <f>SUM(R9:R12,R14:R15,R17,R19,R20,R27,R29,R32,R39)</f>
        <v>38916</v>
      </c>
      <c r="S44" s="35"/>
      <c r="T44" s="26"/>
      <c r="U44" s="35">
        <f>SUM(U9:U12,U14:U15,U17,U19,U20,U27,U29,U32,U39)</f>
        <v>9072</v>
      </c>
      <c r="V44" s="35"/>
      <c r="W44" s="26"/>
      <c r="X44" s="35">
        <f>SUM(X9:X12,X14:X15,X17,X19,X20,X27,X29,X32,X39)</f>
        <v>2280</v>
      </c>
      <c r="Y44" s="35"/>
      <c r="Z44" s="26"/>
      <c r="AA44" s="35">
        <f>SUM(AA9:AA12,AA14:AA15,AA17,AA19,AA20,AA27,AA29,AA32,AA39)</f>
        <v>3353</v>
      </c>
      <c r="AB44" s="35"/>
      <c r="AC44" s="26"/>
      <c r="AD44" s="35">
        <f>SUM(AD9:AD12,AD14:AD15,AD17,AD19,AD20,AD27,AD29,AD32,AD39)</f>
        <v>44</v>
      </c>
      <c r="AE44" s="35"/>
      <c r="AF44" s="26"/>
      <c r="AG44" s="35">
        <f>SUM(AG9:AG12,AG14:AG15,AG17,AG19,AG20,AG27,AG29,AG32,AG39)</f>
        <v>40390</v>
      </c>
      <c r="AH44" s="35"/>
      <c r="AI44" s="26"/>
      <c r="AJ44" s="35">
        <f>SUM(AJ9:AJ12,AJ14:AJ15,AJ17,AJ19,AJ20,AJ27,AJ29,AJ32,AJ39)</f>
        <v>6010</v>
      </c>
      <c r="AK44" s="35"/>
      <c r="AL44" s="26"/>
      <c r="AM44" s="35">
        <f>SUM(AM9:AM12,AM14:AM15,AM17,AM19,AM20,AM27,AM29,AM32,AM39)</f>
        <v>9734</v>
      </c>
      <c r="AN44" s="35"/>
      <c r="AO44" s="26"/>
      <c r="AP44" s="35">
        <f>SUM(AP9:AP12,AP14:AP15,AP17,AP19,AP20,AP27,AP29,AP32,AP39)</f>
        <v>14151</v>
      </c>
      <c r="AQ44" s="35"/>
      <c r="AR44" s="26"/>
      <c r="AS44" s="35">
        <f>SUM(AS9:AS12,AS14:AS15,AS17,AS19,AS20,AS27,AS29,AS32,AS39)</f>
        <v>218</v>
      </c>
      <c r="AT44" s="35"/>
      <c r="AU44" s="26"/>
      <c r="AV44" s="35">
        <f>SUM(AV9:AV12,AV14:AV15,AV17,AV19,AV20,AV27,AV29,AV32,AV39)</f>
        <v>6894</v>
      </c>
      <c r="AW44" s="35"/>
      <c r="AX44" s="26"/>
      <c r="AY44" s="35">
        <f>SUM(AY9:AY12,AY14:AY15,AY17,AY19,AY20,AY27,AY29,AY32,AY39)</f>
        <v>1587</v>
      </c>
      <c r="AZ44" s="35"/>
      <c r="BA44" s="26"/>
      <c r="BB44" s="35">
        <f>SUM(BB9:BB12,BB14:BB15,BB17,BB19,BB20,BB27,BB29,BB32,BB39)</f>
        <v>1579</v>
      </c>
      <c r="BC44" s="35"/>
      <c r="BD44" s="26"/>
      <c r="BE44" s="35">
        <f>SUM(BE9:BE12,BE14:BE15,BE17,BE19,BE20,BE27,BE29,BE32,BE39)</f>
        <v>156</v>
      </c>
      <c r="BF44" s="35"/>
      <c r="BG44" s="26"/>
      <c r="BH44" s="35">
        <f>SUM(BH9:BH12,BH14:BH15,BH17,BH19,BH20,BH27,BH29,BH32,BH39)</f>
        <v>61</v>
      </c>
      <c r="BI44" s="35"/>
      <c r="BJ44" s="26"/>
      <c r="BK44" s="35">
        <f>SUM(BK9:BK12,BK14:BK15,BK17,BK19,BK20,BK27,BK29,BK32,BK39)</f>
        <v>84645</v>
      </c>
      <c r="BL44" s="35"/>
      <c r="BM44" s="26"/>
      <c r="BN44" s="35">
        <f>SUM(BN9:BN12,BN14:BN15,BN17,BN19,BN20,BN27,BN29,BN32,BN39)</f>
        <v>264</v>
      </c>
      <c r="BO44" s="35"/>
      <c r="BP44" s="26"/>
      <c r="BQ44" s="35">
        <f>SUM(BQ9:BQ12,BQ14:BQ15,BQ17,BQ19,BQ20,BQ27,BQ29,BQ32,BQ39)</f>
        <v>413</v>
      </c>
      <c r="BR44" s="35"/>
      <c r="BS44" s="26"/>
    </row>
    <row r="45" spans="2:77" x14ac:dyDescent="0.25">
      <c r="B45" t="s">
        <v>57</v>
      </c>
      <c r="C45" s="35">
        <f>SUM(C13,C16,C18,C21,C23,C24:C26,C28,C31,C33,C34,C36,C38)</f>
        <v>45210</v>
      </c>
      <c r="D45" s="35"/>
      <c r="E45" s="26"/>
      <c r="F45" s="35">
        <f>SUM(F13,F16,F18,F21,F23,F24:F26,F28,F31,F33,F34,F36,F38)</f>
        <v>18805</v>
      </c>
      <c r="G45" s="35"/>
      <c r="H45" s="26"/>
      <c r="I45" s="35">
        <f>SUM(I13,I16,I18,I21,I23,I24:I26,I28,I31,I33,I34,I36,I38)</f>
        <v>145</v>
      </c>
      <c r="J45" s="35"/>
      <c r="K45" s="26"/>
      <c r="L45" s="35">
        <f>SUM(L13,L16,L18,L21,L23,L24:L26,L28,L31,L33,L34,L36,L38)</f>
        <v>346</v>
      </c>
      <c r="M45" s="35"/>
      <c r="N45" s="26"/>
      <c r="O45" s="35">
        <f>SUM(O13,O16,O18,O21,O23,O24:O26,O28,O31,O33,O34,O36,O38)</f>
        <v>3108</v>
      </c>
      <c r="P45" s="35"/>
      <c r="Q45" s="26"/>
      <c r="R45" s="35">
        <f>SUM(R13,R16,R18,R21,R23,R24:R26,R28,R31,R33,R34,R36,R38)</f>
        <v>13974</v>
      </c>
      <c r="S45" s="35"/>
      <c r="T45" s="26"/>
      <c r="U45" s="35">
        <f>SUM(U13,U16,U18,U21,U23,U24:U26,U28,U31,U33,U34,U36,U38)</f>
        <v>384</v>
      </c>
      <c r="V45" s="35"/>
      <c r="W45" s="26"/>
      <c r="X45" s="35">
        <f>SUM(X13,X16,X18,X21,X23,X24:X26,X28,X31,X33,X34,X36,X38)</f>
        <v>542</v>
      </c>
      <c r="Y45" s="35"/>
      <c r="Z45" s="26"/>
      <c r="AA45" s="35">
        <f>SUM(AA13,AA16,AA18,AA21,AA23,AA24:AA26,AA28,AA31,AA33,AA34,AA36,AA38)</f>
        <v>234</v>
      </c>
      <c r="AB45" s="35"/>
      <c r="AC45" s="26"/>
      <c r="AD45" s="35">
        <f>SUM(AD13,AD16,AD18,AD21,AD23,AD24:AD26,AD28,AD31,AD33,AD34,AD36,AD38)</f>
        <v>72</v>
      </c>
      <c r="AE45" s="35"/>
      <c r="AF45" s="26"/>
      <c r="AG45" s="35">
        <f>SUM(AG13,AG16,AG18,AG21,AG23,AG24:AG26,AG28,AG31,AG33,AG34,AG36,AG38)</f>
        <v>4784</v>
      </c>
      <c r="AH45" s="35"/>
      <c r="AI45" s="26"/>
      <c r="AJ45" s="35">
        <f>SUM(AJ13,AJ16,AJ18,AJ21,AJ23,AJ24:AJ26,AJ28,AJ31,AJ33,AJ34,AJ36,AJ38)</f>
        <v>372</v>
      </c>
      <c r="AK45" s="35"/>
      <c r="AL45" s="26"/>
      <c r="AM45" s="35">
        <f>SUM(AM13,AM16,AM18,AM21,AM23,AM24:AM26,AM28,AM31,AM33,AM34,AM36,AM38)</f>
        <v>413</v>
      </c>
      <c r="AN45" s="35"/>
      <c r="AO45" s="26"/>
      <c r="AP45" s="35">
        <f>SUM(AP13,AP16,AP18,AP21,AP23,AP24:AP26,AP28,AP31,AP33,AP34,AP36,AP38)</f>
        <v>2770</v>
      </c>
      <c r="AQ45" s="35"/>
      <c r="AR45" s="26"/>
      <c r="AS45" s="35">
        <f>SUM(AS13,AS16,AS18,AS21,AS23,AS24:AS26,AS28,AS31,AS33,AS34,AS36,AS38)</f>
        <v>0</v>
      </c>
      <c r="AT45" s="35"/>
      <c r="AU45" s="26"/>
      <c r="AV45" s="35">
        <f>SUM(AV13,AV16,AV18,AV21,AV23,AV24:AV26,AV28,AV31,AV33,AV34,AV36,AV38)</f>
        <v>559</v>
      </c>
      <c r="AW45" s="35"/>
      <c r="AX45" s="26"/>
      <c r="AY45" s="35">
        <f>SUM(AY13,AY16,AY18,AY21,AY23,AY24:AY26,AY28,AY31,AY33,AY34,AY36,AY38)</f>
        <v>512</v>
      </c>
      <c r="AZ45" s="35"/>
      <c r="BA45" s="26"/>
      <c r="BB45" s="35">
        <f>SUM(BB13,BB16,BB18,BB21,BB23,BB24:BB26,BB28,BB31,BB33,BB34,BB36,BB38)</f>
        <v>0</v>
      </c>
      <c r="BC45" s="35"/>
      <c r="BD45" s="26"/>
      <c r="BE45" s="35">
        <f>SUM(BE13,BE16,BE18,BE21,BE23,BE24:BE26,BE28,BE31,BE33,BE34,BE36,BE38)</f>
        <v>140</v>
      </c>
      <c r="BF45" s="35"/>
      <c r="BG45" s="26"/>
      <c r="BH45" s="35">
        <f>SUM(BH13,BH16,BH18,BH21,BH23,BH24:BH26,BH28,BH31,BH33,BH34,BH36,BH38)</f>
        <v>18</v>
      </c>
      <c r="BI45" s="35"/>
      <c r="BJ45" s="26"/>
      <c r="BK45" s="35">
        <f>SUM(BK13,BK16,BK18,BK21,BK23,BK24:BK26,BK28,BK31,BK33,BK34,BK36,BK38)</f>
        <v>20834</v>
      </c>
      <c r="BL45" s="35"/>
      <c r="BM45" s="26"/>
      <c r="BN45" s="35">
        <f>SUM(BN13,BN16,BN18,BN21,BN23,BN24:BN26,BN28,BN31,BN33,BN34,BN36,BN38)</f>
        <v>271</v>
      </c>
      <c r="BO45" s="35"/>
      <c r="BP45" s="26"/>
      <c r="BQ45" s="35">
        <f>SUM(BQ13,BQ16,BQ18,BQ21,BQ23,BQ24:BQ26,BQ28,BQ31,BQ33,BQ34,BQ36,BQ38)</f>
        <v>516</v>
      </c>
      <c r="BR45" s="35"/>
      <c r="BS45" s="26"/>
    </row>
    <row r="46" spans="2:77" x14ac:dyDescent="0.25">
      <c r="B46" t="s">
        <v>58</v>
      </c>
      <c r="C46" s="35">
        <f>SUM(C22,C35,C37)</f>
        <v>9087</v>
      </c>
      <c r="D46" s="35"/>
      <c r="E46" s="26"/>
      <c r="F46" s="35">
        <f>SUM(F22,F35,F37)</f>
        <v>1218</v>
      </c>
      <c r="G46" s="35"/>
      <c r="H46" s="26"/>
      <c r="I46" s="35">
        <f>SUM(I22,I35,I37)</f>
        <v>164</v>
      </c>
      <c r="J46" s="35"/>
      <c r="K46" s="26"/>
      <c r="L46" s="35">
        <f>SUM(L22,L35,L37)</f>
        <v>46</v>
      </c>
      <c r="M46" s="35"/>
      <c r="N46" s="26"/>
      <c r="O46" s="35">
        <f>SUM(O22,O35,O37)</f>
        <v>322</v>
      </c>
      <c r="P46" s="35"/>
      <c r="Q46" s="26"/>
      <c r="R46" s="35">
        <f>SUM(R22,R35,R37)</f>
        <v>612</v>
      </c>
      <c r="S46" s="35"/>
      <c r="T46" s="26"/>
      <c r="U46" s="35">
        <f>SUM(U22,U35,U37)</f>
        <v>0</v>
      </c>
      <c r="V46" s="35"/>
      <c r="W46" s="26"/>
      <c r="X46" s="35">
        <f>SUM(X22,X35,X37)</f>
        <v>0</v>
      </c>
      <c r="Y46" s="35"/>
      <c r="Z46" s="26"/>
      <c r="AA46" s="35">
        <f>SUM(AA22,AA35,AA37)</f>
        <v>0</v>
      </c>
      <c r="AB46" s="35"/>
      <c r="AC46" s="26"/>
      <c r="AD46" s="35">
        <f>SUM(AD22,AD35,AD37)</f>
        <v>32</v>
      </c>
      <c r="AE46" s="35"/>
      <c r="AF46" s="26"/>
      <c r="AG46" s="35">
        <f>SUM(AG22,AG35,AG37)</f>
        <v>556</v>
      </c>
      <c r="AH46" s="35"/>
      <c r="AI46" s="26"/>
      <c r="AJ46" s="35">
        <f>SUM(AJ22,AJ35,AJ37)</f>
        <v>197</v>
      </c>
      <c r="AK46" s="35"/>
      <c r="AL46" s="26"/>
      <c r="AM46" s="35">
        <f>SUM(AM22,AM35,AM37)</f>
        <v>0</v>
      </c>
      <c r="AN46" s="35"/>
      <c r="AO46" s="26"/>
      <c r="AP46" s="35">
        <f>SUM(AP22,AP35,AP37)</f>
        <v>272</v>
      </c>
      <c r="AQ46" s="35"/>
      <c r="AR46" s="26"/>
      <c r="AS46" s="35">
        <f>SUM(AS22,AS35,AS37)</f>
        <v>0</v>
      </c>
      <c r="AT46" s="35"/>
      <c r="AU46" s="26"/>
      <c r="AV46" s="35">
        <f>SUM(AV22,AV35,AV37)</f>
        <v>0</v>
      </c>
      <c r="AW46" s="35"/>
      <c r="AX46" s="26"/>
      <c r="AY46" s="35">
        <f>SUM(AY22,AY35,AY37)</f>
        <v>0</v>
      </c>
      <c r="AZ46" s="35"/>
      <c r="BA46" s="26"/>
      <c r="BB46" s="35">
        <f>SUM(BB22,BB35,BB37)</f>
        <v>0</v>
      </c>
      <c r="BC46" s="35"/>
      <c r="BD46" s="26"/>
      <c r="BE46" s="35">
        <f>SUM(BE22,BE35,BE37)</f>
        <v>74</v>
      </c>
      <c r="BF46" s="35"/>
      <c r="BG46" s="26"/>
      <c r="BH46" s="35">
        <f>SUM(BH22,BH35,BH37)</f>
        <v>13</v>
      </c>
      <c r="BI46" s="35"/>
      <c r="BJ46" s="26"/>
      <c r="BK46" s="35">
        <f>SUM(BK22,BK35,BK37)</f>
        <v>7161</v>
      </c>
      <c r="BL46" s="35"/>
      <c r="BM46" s="26"/>
      <c r="BN46" s="35">
        <f>SUM(BN22,BN35,BN37)</f>
        <v>22</v>
      </c>
      <c r="BO46" s="35"/>
      <c r="BP46" s="26"/>
      <c r="BQ46" s="35">
        <f>SUM(BQ22,BQ35,BQ37)</f>
        <v>130</v>
      </c>
      <c r="BR46" s="35"/>
      <c r="BS46" s="26"/>
    </row>
    <row r="47" spans="2:77" x14ac:dyDescent="0.25">
      <c r="B47" t="s">
        <v>59</v>
      </c>
      <c r="C47" s="35">
        <f>C30</f>
        <v>13233</v>
      </c>
      <c r="D47" s="35"/>
      <c r="E47" s="26"/>
      <c r="F47" s="35">
        <f>F30</f>
        <v>2944</v>
      </c>
      <c r="G47" s="35"/>
      <c r="H47" s="26"/>
      <c r="I47" s="35">
        <f>I30</f>
        <v>218</v>
      </c>
      <c r="J47" s="35"/>
      <c r="K47" s="26"/>
      <c r="L47" s="35">
        <f>L30</f>
        <v>482</v>
      </c>
      <c r="M47" s="35"/>
      <c r="N47" s="26"/>
      <c r="O47" s="35">
        <f>O30</f>
        <v>408</v>
      </c>
      <c r="P47" s="35"/>
      <c r="Q47" s="26"/>
      <c r="R47" s="35">
        <f>R30</f>
        <v>1261</v>
      </c>
      <c r="S47" s="35"/>
      <c r="T47" s="26"/>
      <c r="U47" s="35">
        <f>U30</f>
        <v>507</v>
      </c>
      <c r="V47" s="35"/>
      <c r="W47" s="26"/>
      <c r="X47" s="35">
        <f>X30</f>
        <v>0</v>
      </c>
      <c r="Y47" s="35"/>
      <c r="Z47" s="26"/>
      <c r="AA47" s="35">
        <f>AA30</f>
        <v>0</v>
      </c>
      <c r="AB47" s="35"/>
      <c r="AC47" s="26"/>
      <c r="AD47" s="35">
        <f>AD30</f>
        <v>18</v>
      </c>
      <c r="AE47" s="35"/>
      <c r="AF47" s="26"/>
      <c r="AG47" s="35">
        <f>AG30</f>
        <v>50</v>
      </c>
      <c r="AH47" s="35"/>
      <c r="AI47" s="26"/>
      <c r="AJ47" s="35">
        <f>AJ30</f>
        <v>0</v>
      </c>
      <c r="AK47" s="35"/>
      <c r="AL47" s="26"/>
      <c r="AM47" s="35">
        <f>AM30</f>
        <v>0</v>
      </c>
      <c r="AN47" s="35"/>
      <c r="AO47" s="26"/>
      <c r="AP47" s="35">
        <f>AP30</f>
        <v>0</v>
      </c>
      <c r="AQ47" s="35"/>
      <c r="AR47" s="26"/>
      <c r="AS47" s="35">
        <f>AS30</f>
        <v>0</v>
      </c>
      <c r="AT47" s="35"/>
      <c r="AU47" s="26"/>
      <c r="AV47" s="35">
        <f>AV30</f>
        <v>0</v>
      </c>
      <c r="AW47" s="35"/>
      <c r="AX47" s="26"/>
      <c r="AY47" s="35">
        <f>AY30</f>
        <v>0</v>
      </c>
      <c r="AZ47" s="35"/>
      <c r="BA47" s="26"/>
      <c r="BB47" s="35">
        <f>BB30</f>
        <v>0</v>
      </c>
      <c r="BC47" s="35"/>
      <c r="BD47" s="26"/>
      <c r="BE47" s="35">
        <f>BE30</f>
        <v>44</v>
      </c>
      <c r="BF47" s="35"/>
      <c r="BG47" s="26"/>
      <c r="BH47" s="35">
        <f>BH30</f>
        <v>6</v>
      </c>
      <c r="BI47" s="35"/>
      <c r="BJ47" s="26"/>
      <c r="BK47" s="35">
        <f>BK30</f>
        <v>10224</v>
      </c>
      <c r="BL47" s="35"/>
      <c r="BM47" s="26"/>
      <c r="BN47" s="35">
        <f>BN30</f>
        <v>0</v>
      </c>
      <c r="BO47" s="35"/>
      <c r="BP47" s="26"/>
      <c r="BQ47" s="35">
        <f>BQ30</f>
        <v>15</v>
      </c>
      <c r="BR47" s="35"/>
      <c r="BS47" s="26"/>
    </row>
    <row r="58" spans="1:77" ht="30" customHeight="1" x14ac:dyDescent="0.25"/>
    <row r="60" spans="1:77" s="4" customFormat="1" ht="48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</row>
    <row r="61" spans="1:77" s="4" customFormat="1" ht="6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</row>
    <row r="62" spans="1:77" s="4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</row>
    <row r="65" spans="1:77" s="4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</row>
    <row r="66" spans="1:77" s="4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</row>
    <row r="67" spans="1:77" s="4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</row>
    <row r="68" spans="1:77" s="4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</row>
    <row r="69" spans="1:77" s="4" customFormat="1" ht="6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</row>
    <row r="70" spans="1:77" s="4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</row>
    <row r="71" spans="1:77" s="4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</row>
  </sheetData>
  <mergeCells count="31">
    <mergeCell ref="BE6:BG6"/>
    <mergeCell ref="BH6:BJ6"/>
    <mergeCell ref="BT6:BU6"/>
    <mergeCell ref="BW6:BX6"/>
    <mergeCell ref="B42:X42"/>
    <mergeCell ref="AM6:AO6"/>
    <mergeCell ref="AP6:AR6"/>
    <mergeCell ref="AS6:AU6"/>
    <mergeCell ref="AV6:AX6"/>
    <mergeCell ref="AY6:BA6"/>
    <mergeCell ref="BB6:BD6"/>
    <mergeCell ref="BT5:BY5"/>
    <mergeCell ref="B6:B7"/>
    <mergeCell ref="C6:E6"/>
    <mergeCell ref="F6:H6"/>
    <mergeCell ref="I6:K6"/>
    <mergeCell ref="L6:N6"/>
    <mergeCell ref="O6:Q6"/>
    <mergeCell ref="R6:T6"/>
    <mergeCell ref="U6:W6"/>
    <mergeCell ref="X6:Z6"/>
    <mergeCell ref="B3:Z3"/>
    <mergeCell ref="F5:AF5"/>
    <mergeCell ref="AG5:BJ5"/>
    <mergeCell ref="BK5:BM6"/>
    <mergeCell ref="BN5:BP6"/>
    <mergeCell ref="BQ5:BS6"/>
    <mergeCell ref="AA6:AC6"/>
    <mergeCell ref="AD6:AF6"/>
    <mergeCell ref="AG6:AI6"/>
    <mergeCell ref="AJ6:AL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6F0E-C3C5-4648-B4BA-1DD7FD575A0D}">
  <sheetPr>
    <tabColor rgb="FF92D050"/>
  </sheetPr>
  <dimension ref="A1:K47"/>
  <sheetViews>
    <sheetView showGridLines="0" zoomScaleNormal="100" workbookViewId="0">
      <selection activeCell="O9" sqref="O9"/>
    </sheetView>
  </sheetViews>
  <sheetFormatPr baseColWidth="10" defaultRowHeight="15" x14ac:dyDescent="0.25"/>
  <cols>
    <col min="1" max="1" width="17.7109375" customWidth="1"/>
    <col min="2" max="2" width="15.28515625" customWidth="1"/>
    <col min="3" max="8" width="14.5703125" customWidth="1"/>
    <col min="9" max="9" width="45.42578125" customWidth="1"/>
  </cols>
  <sheetData>
    <row r="1" spans="1:11" ht="30" customHeight="1" x14ac:dyDescent="0.25">
      <c r="C1" s="1"/>
    </row>
    <row r="3" spans="1:11" s="4" customFormat="1" ht="56.25" customHeight="1" thickBot="1" x14ac:dyDescent="0.3">
      <c r="B3" s="84" t="s">
        <v>159</v>
      </c>
      <c r="C3" s="84"/>
      <c r="D3" s="84"/>
      <c r="E3" s="84"/>
      <c r="F3" s="84"/>
      <c r="G3" s="84"/>
      <c r="H3" s="84"/>
    </row>
    <row r="4" spans="1:11" s="4" customFormat="1" ht="6" customHeight="1" x14ac:dyDescent="0.25"/>
    <row r="5" spans="1:11" s="4" customFormat="1" ht="30" x14ac:dyDescent="0.25">
      <c r="B5" s="85"/>
      <c r="C5" s="86" t="s">
        <v>17</v>
      </c>
      <c r="D5" s="86" t="s">
        <v>13</v>
      </c>
      <c r="E5" s="86" t="s">
        <v>14</v>
      </c>
      <c r="F5" s="87" t="s">
        <v>18</v>
      </c>
      <c r="G5" s="86" t="s">
        <v>19</v>
      </c>
      <c r="H5" s="86" t="s">
        <v>20</v>
      </c>
    </row>
    <row r="6" spans="1:11" s="4" customFormat="1" ht="38.25" customHeight="1" x14ac:dyDescent="0.25">
      <c r="B6" s="88" t="s">
        <v>160</v>
      </c>
      <c r="C6" s="89">
        <f>'plazas aut municipio x cat'!C8</f>
        <v>257857</v>
      </c>
      <c r="D6" s="89">
        <f>'plazas aut municipio x cat'!F8</f>
        <v>87582</v>
      </c>
      <c r="E6" s="89">
        <f>'plazas aut municipio x cat'!AG8</f>
        <v>45780</v>
      </c>
      <c r="F6" s="90">
        <f>'plazas aut municipio x cat'!BK8</f>
        <v>122864</v>
      </c>
      <c r="G6" s="89">
        <f>'plazas aut municipio x cat'!BN8</f>
        <v>557</v>
      </c>
      <c r="H6" s="89">
        <f>'plazas aut municipio x cat'!BQ8</f>
        <v>1074</v>
      </c>
      <c r="I6" s="91" t="s">
        <v>102</v>
      </c>
      <c r="J6" s="91"/>
      <c r="K6" s="91"/>
    </row>
    <row r="7" spans="1:11" s="4" customFormat="1" ht="15.75" customHeight="1" x14ac:dyDescent="0.25">
      <c r="B7" s="92">
        <v>2024</v>
      </c>
      <c r="C7" s="93">
        <f>D7+E7+G7+H7+F7</f>
        <v>248688</v>
      </c>
      <c r="D7" s="93">
        <v>87933</v>
      </c>
      <c r="E7" s="93">
        <v>44872</v>
      </c>
      <c r="F7" s="94">
        <v>114294</v>
      </c>
      <c r="G7" s="93">
        <v>527</v>
      </c>
      <c r="H7" s="93">
        <v>1062</v>
      </c>
      <c r="I7" s="91"/>
      <c r="J7" s="91"/>
      <c r="K7" s="91"/>
    </row>
    <row r="8" spans="1:11" s="4" customFormat="1" x14ac:dyDescent="0.25">
      <c r="B8" s="92">
        <v>2023</v>
      </c>
      <c r="C8" s="93">
        <f>D8+E8+G8+H8+F8</f>
        <v>215248</v>
      </c>
      <c r="D8" s="93">
        <v>86004</v>
      </c>
      <c r="E8" s="93">
        <v>47146</v>
      </c>
      <c r="F8" s="94">
        <v>80479</v>
      </c>
      <c r="G8" s="93">
        <v>543</v>
      </c>
      <c r="H8" s="93">
        <v>1076</v>
      </c>
    </row>
    <row r="9" spans="1:11" s="4" customFormat="1" ht="15" customHeight="1" x14ac:dyDescent="0.25">
      <c r="B9" s="92">
        <v>2022</v>
      </c>
      <c r="C9" s="93">
        <f t="shared" ref="C9:C34" si="0">D9+E9+G9+H9+F9</f>
        <v>163363</v>
      </c>
      <c r="D9" s="93">
        <v>86372</v>
      </c>
      <c r="E9" s="93">
        <v>11738</v>
      </c>
      <c r="F9" s="95">
        <v>63638</v>
      </c>
      <c r="G9" s="93">
        <v>543</v>
      </c>
      <c r="H9" s="93">
        <v>1072</v>
      </c>
      <c r="I9" s="96" t="s">
        <v>103</v>
      </c>
      <c r="J9" s="96"/>
      <c r="K9" s="96"/>
    </row>
    <row r="10" spans="1:11" s="4" customFormat="1" x14ac:dyDescent="0.25">
      <c r="B10" s="92">
        <v>2021</v>
      </c>
      <c r="C10" s="93">
        <f t="shared" si="0"/>
        <v>166330</v>
      </c>
      <c r="D10" s="93">
        <v>87426</v>
      </c>
      <c r="E10" s="93">
        <v>16627</v>
      </c>
      <c r="F10" s="95">
        <v>60684</v>
      </c>
      <c r="G10" s="93">
        <v>543</v>
      </c>
      <c r="H10" s="93">
        <v>1050</v>
      </c>
      <c r="I10" s="96"/>
      <c r="J10" s="96"/>
      <c r="K10" s="96"/>
    </row>
    <row r="11" spans="1:11" s="23" customFormat="1" ht="15.75" x14ac:dyDescent="0.25">
      <c r="B11" s="92">
        <v>2020</v>
      </c>
      <c r="C11" s="93">
        <f t="shared" si="0"/>
        <v>169459</v>
      </c>
      <c r="D11" s="93">
        <v>89951</v>
      </c>
      <c r="E11" s="93">
        <v>18708</v>
      </c>
      <c r="F11" s="95">
        <v>59246</v>
      </c>
      <c r="G11" s="93">
        <v>504</v>
      </c>
      <c r="H11" s="93">
        <v>1050</v>
      </c>
      <c r="I11" s="96"/>
      <c r="J11" s="96"/>
      <c r="K11" s="96"/>
    </row>
    <row r="12" spans="1:11" s="23" customFormat="1" ht="15.75" x14ac:dyDescent="0.25">
      <c r="B12" s="92">
        <v>2019</v>
      </c>
      <c r="C12" s="93">
        <f t="shared" si="0"/>
        <v>168415</v>
      </c>
      <c r="D12" s="93">
        <v>89841</v>
      </c>
      <c r="E12" s="93">
        <v>48920</v>
      </c>
      <c r="F12" s="93">
        <v>28150</v>
      </c>
      <c r="G12" s="93">
        <v>527</v>
      </c>
      <c r="H12" s="93">
        <v>977</v>
      </c>
      <c r="J12" s="97"/>
    </row>
    <row r="13" spans="1:11" s="23" customFormat="1" ht="15.75" x14ac:dyDescent="0.25">
      <c r="B13" s="92">
        <v>2018</v>
      </c>
      <c r="C13" s="93">
        <f t="shared" si="0"/>
        <v>151213</v>
      </c>
      <c r="D13" s="93">
        <v>87577</v>
      </c>
      <c r="E13" s="93">
        <v>48674</v>
      </c>
      <c r="F13" s="93">
        <v>13433</v>
      </c>
      <c r="G13" s="93">
        <v>557</v>
      </c>
      <c r="H13" s="93">
        <v>972</v>
      </c>
      <c r="J13" s="97"/>
    </row>
    <row r="14" spans="1:11" s="4" customFormat="1" x14ac:dyDescent="0.25">
      <c r="A14" s="28"/>
      <c r="B14" s="92">
        <v>2017</v>
      </c>
      <c r="C14" s="93">
        <f t="shared" si="0"/>
        <v>139388</v>
      </c>
      <c r="D14" s="93">
        <v>84115</v>
      </c>
      <c r="E14" s="93">
        <v>49021</v>
      </c>
      <c r="F14" s="93">
        <v>4777</v>
      </c>
      <c r="G14" s="93">
        <v>557</v>
      </c>
      <c r="H14" s="93">
        <v>918</v>
      </c>
    </row>
    <row r="15" spans="1:11" s="4" customFormat="1" x14ac:dyDescent="0.25">
      <c r="A15" s="28"/>
      <c r="B15" s="92">
        <v>2016</v>
      </c>
      <c r="C15" s="93">
        <f t="shared" si="0"/>
        <v>136573</v>
      </c>
      <c r="D15" s="93">
        <v>84566</v>
      </c>
      <c r="E15" s="93">
        <v>48923</v>
      </c>
      <c r="F15" s="93">
        <v>1623</v>
      </c>
      <c r="G15" s="93">
        <v>557</v>
      </c>
      <c r="H15" s="93">
        <v>904</v>
      </c>
    </row>
    <row r="16" spans="1:11" s="4" customFormat="1" x14ac:dyDescent="0.25">
      <c r="A16" s="28"/>
      <c r="B16" s="92">
        <v>2015</v>
      </c>
      <c r="C16" s="93">
        <f t="shared" si="0"/>
        <v>134333</v>
      </c>
      <c r="D16" s="93">
        <v>82963</v>
      </c>
      <c r="E16" s="93">
        <v>49605</v>
      </c>
      <c r="F16" s="93">
        <v>324</v>
      </c>
      <c r="G16" s="93">
        <v>553</v>
      </c>
      <c r="H16" s="93">
        <v>888</v>
      </c>
    </row>
    <row r="17" spans="1:8" s="4" customFormat="1" x14ac:dyDescent="0.25">
      <c r="A17" s="28"/>
      <c r="B17" s="92">
        <v>2014</v>
      </c>
      <c r="C17" s="93">
        <f t="shared" si="0"/>
        <v>133348</v>
      </c>
      <c r="D17" s="93">
        <v>82741</v>
      </c>
      <c r="E17" s="93">
        <v>49176</v>
      </c>
      <c r="F17" s="93">
        <v>0</v>
      </c>
      <c r="G17" s="93">
        <v>541</v>
      </c>
      <c r="H17" s="93">
        <v>890</v>
      </c>
    </row>
    <row r="18" spans="1:8" s="4" customFormat="1" x14ac:dyDescent="0.25">
      <c r="A18" s="80"/>
      <c r="B18" s="98">
        <v>2013</v>
      </c>
      <c r="C18" s="93">
        <f t="shared" si="0"/>
        <v>132394</v>
      </c>
      <c r="D18" s="99">
        <v>81884</v>
      </c>
      <c r="E18" s="93">
        <v>49070</v>
      </c>
      <c r="F18" s="93">
        <v>0</v>
      </c>
      <c r="G18" s="99">
        <v>541</v>
      </c>
      <c r="H18" s="99">
        <v>899</v>
      </c>
    </row>
    <row r="19" spans="1:8" s="4" customFormat="1" x14ac:dyDescent="0.25">
      <c r="A19" s="80"/>
      <c r="B19" s="98">
        <v>2012</v>
      </c>
      <c r="C19" s="93">
        <f t="shared" si="0"/>
        <v>133842</v>
      </c>
      <c r="D19" s="99">
        <v>82209</v>
      </c>
      <c r="E19" s="93">
        <v>50319</v>
      </c>
      <c r="F19" s="93">
        <v>0</v>
      </c>
      <c r="G19" s="99">
        <v>529</v>
      </c>
      <c r="H19" s="99">
        <v>785</v>
      </c>
    </row>
    <row r="20" spans="1:8" s="4" customFormat="1" x14ac:dyDescent="0.25">
      <c r="A20" s="80"/>
      <c r="B20" s="98">
        <v>2011</v>
      </c>
      <c r="C20" s="93">
        <f t="shared" si="0"/>
        <v>134186</v>
      </c>
      <c r="D20" s="99">
        <v>81929</v>
      </c>
      <c r="E20" s="93">
        <v>50899</v>
      </c>
      <c r="F20" s="93">
        <v>0</v>
      </c>
      <c r="G20" s="99">
        <v>541</v>
      </c>
      <c r="H20" s="99">
        <v>817</v>
      </c>
    </row>
    <row r="21" spans="1:8" s="4" customFormat="1" x14ac:dyDescent="0.25">
      <c r="A21" s="80"/>
      <c r="B21" s="98">
        <v>2010</v>
      </c>
      <c r="C21" s="93">
        <f t="shared" si="0"/>
        <v>134419</v>
      </c>
      <c r="D21" s="99">
        <v>82341</v>
      </c>
      <c r="E21" s="93">
        <v>50781</v>
      </c>
      <c r="F21" s="93">
        <v>0</v>
      </c>
      <c r="G21" s="99">
        <v>511</v>
      </c>
      <c r="H21" s="99">
        <v>786</v>
      </c>
    </row>
    <row r="22" spans="1:8" s="4" customFormat="1" x14ac:dyDescent="0.25">
      <c r="B22" s="98">
        <v>2009</v>
      </c>
      <c r="C22" s="93">
        <f t="shared" si="0"/>
        <v>134419</v>
      </c>
      <c r="D22" s="99">
        <v>81874</v>
      </c>
      <c r="E22" s="93">
        <v>51323</v>
      </c>
      <c r="F22" s="93">
        <v>0</v>
      </c>
      <c r="G22" s="99">
        <v>462</v>
      </c>
      <c r="H22" s="99">
        <v>760</v>
      </c>
    </row>
    <row r="23" spans="1:8" s="4" customFormat="1" x14ac:dyDescent="0.25">
      <c r="B23" s="98">
        <v>2008</v>
      </c>
      <c r="C23" s="93">
        <f t="shared" si="0"/>
        <v>132438</v>
      </c>
      <c r="D23" s="99">
        <v>79188</v>
      </c>
      <c r="E23" s="93">
        <v>52035</v>
      </c>
      <c r="F23" s="93">
        <v>0</v>
      </c>
      <c r="G23" s="99">
        <v>456</v>
      </c>
      <c r="H23" s="99">
        <v>759</v>
      </c>
    </row>
    <row r="24" spans="1:8" s="4" customFormat="1" x14ac:dyDescent="0.25">
      <c r="B24" s="98">
        <v>2007</v>
      </c>
      <c r="C24" s="93">
        <f t="shared" si="0"/>
        <v>132574</v>
      </c>
      <c r="D24" s="99">
        <v>78825</v>
      </c>
      <c r="E24" s="93">
        <v>52848</v>
      </c>
      <c r="F24" s="93">
        <v>0</v>
      </c>
      <c r="G24" s="99">
        <v>430</v>
      </c>
      <c r="H24" s="99">
        <v>471</v>
      </c>
    </row>
    <row r="25" spans="1:8" s="4" customFormat="1" x14ac:dyDescent="0.25">
      <c r="B25" s="98">
        <v>2006</v>
      </c>
      <c r="C25" s="93">
        <f t="shared" si="0"/>
        <v>129743</v>
      </c>
      <c r="D25" s="99">
        <v>74148</v>
      </c>
      <c r="E25" s="93">
        <v>54775</v>
      </c>
      <c r="F25" s="93">
        <v>0</v>
      </c>
      <c r="G25" s="99">
        <v>420</v>
      </c>
      <c r="H25" s="99">
        <v>400</v>
      </c>
    </row>
    <row r="26" spans="1:8" s="4" customFormat="1" x14ac:dyDescent="0.25">
      <c r="B26" s="98">
        <v>2005</v>
      </c>
      <c r="C26" s="93">
        <f t="shared" si="0"/>
        <v>129649</v>
      </c>
      <c r="D26" s="99">
        <v>73060</v>
      </c>
      <c r="E26" s="93">
        <v>55789</v>
      </c>
      <c r="F26" s="93">
        <v>0</v>
      </c>
      <c r="G26" s="99">
        <v>412</v>
      </c>
      <c r="H26" s="99">
        <v>388</v>
      </c>
    </row>
    <row r="27" spans="1:8" s="4" customFormat="1" x14ac:dyDescent="0.25">
      <c r="B27" s="98">
        <v>2004</v>
      </c>
      <c r="C27" s="93">
        <f t="shared" si="0"/>
        <v>130190</v>
      </c>
      <c r="D27" s="99">
        <v>72323</v>
      </c>
      <c r="E27" s="93">
        <v>57158</v>
      </c>
      <c r="F27" s="93">
        <v>0</v>
      </c>
      <c r="G27" s="99">
        <v>338</v>
      </c>
      <c r="H27" s="99">
        <v>371</v>
      </c>
    </row>
    <row r="28" spans="1:8" s="4" customFormat="1" x14ac:dyDescent="0.25">
      <c r="B28" s="98">
        <v>2003</v>
      </c>
      <c r="C28" s="93">
        <f t="shared" si="0"/>
        <v>129634</v>
      </c>
      <c r="D28" s="99">
        <v>70980</v>
      </c>
      <c r="E28" s="93">
        <v>58009</v>
      </c>
      <c r="F28" s="93">
        <v>0</v>
      </c>
      <c r="G28" s="99">
        <v>316</v>
      </c>
      <c r="H28" s="99">
        <v>329</v>
      </c>
    </row>
    <row r="29" spans="1:8" s="4" customFormat="1" x14ac:dyDescent="0.25">
      <c r="B29" s="98">
        <v>2002</v>
      </c>
      <c r="C29" s="93">
        <f t="shared" si="0"/>
        <v>126136.00390055786</v>
      </c>
      <c r="D29" s="99">
        <v>68204</v>
      </c>
      <c r="E29" s="93">
        <v>57667</v>
      </c>
      <c r="F29" s="93">
        <v>0</v>
      </c>
      <c r="G29" s="99">
        <v>265</v>
      </c>
      <c r="H29" s="99">
        <f>(D29/(D29-G29))-1</f>
        <v>3.9005578533684027E-3</v>
      </c>
    </row>
    <row r="30" spans="1:8" s="4" customFormat="1" x14ac:dyDescent="0.25">
      <c r="B30" s="98">
        <v>2001</v>
      </c>
      <c r="C30" s="93" t="e">
        <f t="shared" si="0"/>
        <v>#N/A</v>
      </c>
      <c r="D30" s="99">
        <v>63564</v>
      </c>
      <c r="E30" s="93">
        <v>57134</v>
      </c>
      <c r="F30" s="93">
        <v>0</v>
      </c>
      <c r="G30" s="99">
        <v>265</v>
      </c>
      <c r="H30" s="99" t="e">
        <f>VLOOKUP($D$1,'estab aut municipio x tip y cat'!$B$8:$BU$39,62+2,FALSE)</f>
        <v>#N/A</v>
      </c>
    </row>
    <row r="31" spans="1:8" s="4" customFormat="1" x14ac:dyDescent="0.25">
      <c r="B31" s="98">
        <v>2000</v>
      </c>
      <c r="C31" s="93">
        <f t="shared" si="0"/>
        <v>117426</v>
      </c>
      <c r="D31" s="99">
        <v>61211</v>
      </c>
      <c r="E31" s="93">
        <v>55900</v>
      </c>
      <c r="F31" s="93">
        <v>0</v>
      </c>
      <c r="G31" s="99">
        <v>220</v>
      </c>
      <c r="H31" s="99">
        <v>95</v>
      </c>
    </row>
    <row r="32" spans="1:8" s="4" customFormat="1" x14ac:dyDescent="0.25">
      <c r="B32" s="98">
        <v>1999</v>
      </c>
      <c r="C32" s="93">
        <f t="shared" si="0"/>
        <v>115064</v>
      </c>
      <c r="D32" s="99">
        <v>57097</v>
      </c>
      <c r="E32" s="93">
        <v>57905</v>
      </c>
      <c r="F32" s="93">
        <v>0</v>
      </c>
      <c r="G32" s="99">
        <v>44</v>
      </c>
      <c r="H32" s="99">
        <v>18</v>
      </c>
    </row>
    <row r="33" spans="2:8" s="4" customFormat="1" x14ac:dyDescent="0.25">
      <c r="B33" s="98">
        <v>1998</v>
      </c>
      <c r="C33" s="93">
        <f t="shared" si="0"/>
        <v>116350</v>
      </c>
      <c r="D33" s="99">
        <v>57246</v>
      </c>
      <c r="E33" s="93">
        <v>59060</v>
      </c>
      <c r="F33" s="93">
        <v>0</v>
      </c>
      <c r="G33" s="99">
        <v>44</v>
      </c>
      <c r="H33" s="99">
        <v>0</v>
      </c>
    </row>
    <row r="34" spans="2:8" s="4" customFormat="1" x14ac:dyDescent="0.25">
      <c r="B34" s="98">
        <v>1997</v>
      </c>
      <c r="C34" s="93">
        <f t="shared" si="0"/>
        <v>116581</v>
      </c>
      <c r="D34" s="99">
        <v>56869</v>
      </c>
      <c r="E34" s="93">
        <v>59712</v>
      </c>
      <c r="F34" s="93">
        <v>0</v>
      </c>
      <c r="G34" s="99">
        <v>0</v>
      </c>
      <c r="H34" s="99">
        <v>0</v>
      </c>
    </row>
    <row r="35" spans="2:8" s="4" customFormat="1" ht="6" customHeight="1" x14ac:dyDescent="0.25">
      <c r="B35" s="32"/>
      <c r="C35" s="100"/>
      <c r="D35" s="100"/>
      <c r="E35" s="100"/>
      <c r="F35" s="100"/>
      <c r="G35" s="100"/>
      <c r="H35" s="100"/>
    </row>
    <row r="36" spans="2:8" s="4" customFormat="1" ht="21" customHeight="1" x14ac:dyDescent="0.25">
      <c r="B36" s="34" t="s">
        <v>55</v>
      </c>
      <c r="C36" s="34"/>
      <c r="D36" s="34"/>
      <c r="E36" s="34"/>
      <c r="F36" s="34"/>
      <c r="G36" s="34"/>
      <c r="H36" s="34"/>
    </row>
    <row r="37" spans="2:8" s="4" customFormat="1" x14ac:dyDescent="0.25"/>
    <row r="38" spans="2:8" s="4" customFormat="1" x14ac:dyDescent="0.25"/>
    <row r="39" spans="2:8" s="4" customFormat="1" x14ac:dyDescent="0.25"/>
    <row r="40" spans="2:8" s="4" customFormat="1" x14ac:dyDescent="0.25"/>
    <row r="41" spans="2:8" s="4" customFormat="1" x14ac:dyDescent="0.25"/>
    <row r="42" spans="2:8" s="4" customFormat="1" x14ac:dyDescent="0.25"/>
    <row r="43" spans="2:8" s="4" customFormat="1" x14ac:dyDescent="0.25"/>
    <row r="44" spans="2:8" s="4" customFormat="1" x14ac:dyDescent="0.25"/>
    <row r="45" spans="2:8" s="4" customFormat="1" ht="6" customHeight="1" x14ac:dyDescent="0.25"/>
    <row r="46" spans="2:8" s="4" customFormat="1" ht="29.25" customHeight="1" x14ac:dyDescent="0.25"/>
    <row r="47" spans="2:8" s="4" customFormat="1" x14ac:dyDescent="0.25"/>
  </sheetData>
  <mergeCells count="4">
    <mergeCell ref="B3:H3"/>
    <mergeCell ref="I6:K7"/>
    <mergeCell ref="I9:K11"/>
    <mergeCell ref="B36:H3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BB0B-D12D-450A-96DB-38907F72EDA7}">
  <sheetPr>
    <tabColor rgb="FF92D050"/>
  </sheetPr>
  <dimension ref="A1:BG51"/>
  <sheetViews>
    <sheetView showGridLines="0" zoomScale="115" zoomScaleNormal="115" workbookViewId="0"/>
  </sheetViews>
  <sheetFormatPr baseColWidth="10" defaultRowHeight="15" x14ac:dyDescent="0.25"/>
  <cols>
    <col min="2" max="2" width="18" customWidth="1"/>
    <col min="3" max="3" width="23.28515625" customWidth="1"/>
    <col min="4" max="9" width="15.42578125" customWidth="1"/>
    <col min="10" max="10" width="15.5703125" customWidth="1"/>
    <col min="11" max="11" width="29.42578125" customWidth="1"/>
    <col min="12" max="12" width="25.5703125" bestFit="1" customWidth="1"/>
    <col min="13" max="13" width="24.42578125" customWidth="1"/>
    <col min="14" max="14" width="25.5703125" bestFit="1" customWidth="1"/>
    <col min="15" max="15" width="24.42578125" customWidth="1"/>
    <col min="16" max="16" width="30.140625" bestFit="1" customWidth="1"/>
    <col min="17" max="17" width="30.5703125" bestFit="1" customWidth="1"/>
    <col min="18" max="18" width="29.42578125" customWidth="1"/>
    <col min="19" max="19" width="29.42578125" bestFit="1" customWidth="1"/>
  </cols>
  <sheetData>
    <row r="1" spans="3:59" ht="30" customHeight="1" x14ac:dyDescent="0.4">
      <c r="C1" s="101" t="s">
        <v>104</v>
      </c>
      <c r="D1" s="102" t="s">
        <v>23</v>
      </c>
      <c r="E1" s="102"/>
      <c r="F1" s="102"/>
      <c r="G1" s="102"/>
    </row>
    <row r="3" spans="3:59" s="4" customFormat="1" ht="51.75" customHeight="1" x14ac:dyDescent="0.25">
      <c r="C3" s="103" t="str">
        <f>CONCATENATE("Plazas turísticas inscritas (1) en ",D1," según tipología y categoría del establecimiento
Distribución por categoría")</f>
        <v>Plazas turísticas inscritas (1) en Total Isla según tipología y categoría del establecimiento
Distribución por categoría</v>
      </c>
      <c r="D3" s="103"/>
      <c r="E3" s="103"/>
      <c r="F3" s="103"/>
      <c r="G3" s="103"/>
      <c r="H3" s="103"/>
      <c r="I3" s="104"/>
    </row>
    <row r="4" spans="3:59" s="4" customFormat="1" ht="16.5" customHeight="1" thickBot="1" x14ac:dyDescent="0.3">
      <c r="C4" s="105" t="s">
        <v>160</v>
      </c>
      <c r="D4" s="105"/>
      <c r="E4" s="105"/>
      <c r="F4" s="106"/>
      <c r="G4" s="106"/>
      <c r="H4" s="106"/>
      <c r="I4" s="104"/>
    </row>
    <row r="5" spans="3:59" ht="6" customHeight="1" x14ac:dyDescent="0.25">
      <c r="C5" s="107"/>
      <c r="D5" s="107"/>
      <c r="E5" s="107"/>
      <c r="F5" s="107"/>
      <c r="G5" s="107"/>
      <c r="H5" s="107"/>
      <c r="I5" s="104"/>
      <c r="J5" s="4"/>
    </row>
    <row r="6" spans="3:59" s="4" customFormat="1" ht="37.5" customHeight="1" x14ac:dyDescent="0.25">
      <c r="C6" s="42"/>
      <c r="D6" s="18" t="s">
        <v>21</v>
      </c>
      <c r="E6" s="19" t="s">
        <v>22</v>
      </c>
      <c r="F6" s="19" t="s">
        <v>105</v>
      </c>
      <c r="G6" s="108" t="s">
        <v>106</v>
      </c>
      <c r="H6" s="19" t="s">
        <v>107</v>
      </c>
    </row>
    <row r="7" spans="3:59" s="23" customFormat="1" ht="15.75" x14ac:dyDescent="0.25">
      <c r="C7" s="109" t="s">
        <v>13</v>
      </c>
      <c r="D7" s="110">
        <f>VLOOKUP($D$1,'plazas aut municipio x cat'!$B$8:$BS$39,5,FALSE)</f>
        <v>87582</v>
      </c>
      <c r="E7" s="111">
        <f>D7/$D$30</f>
        <v>0.33965337376918214</v>
      </c>
      <c r="F7" s="111">
        <f>D7/$D$28</f>
        <v>0.6487891964768544</v>
      </c>
      <c r="G7" s="110">
        <f>VLOOKUP($D$1,'plazas aut municipio x cat'!$B$8:$BS$39,5+1,FALSE)</f>
        <v>-706</v>
      </c>
      <c r="H7" s="112">
        <f>VLOOKUP($D$1,'plazas aut municipio x cat'!$B$8:$BS$39,5+2,FALSE)</f>
        <v>-7.9853206021271994E-3</v>
      </c>
    </row>
    <row r="8" spans="3:59" s="4" customFormat="1" x14ac:dyDescent="0.25">
      <c r="C8" s="113" t="s">
        <v>64</v>
      </c>
      <c r="D8" s="27">
        <f>VLOOKUP($D$1,'plazas aut municipio x cat'!$B$8:$BS$39,8,FALSE)</f>
        <v>1218</v>
      </c>
      <c r="E8" s="26">
        <f t="shared" ref="E8:E30" si="0">D8/$D$30</f>
        <v>4.7235483232954695E-3</v>
      </c>
      <c r="F8" s="26">
        <f t="shared" ref="F8:F28" si="1">D8/$D$28</f>
        <v>9.0226900654107999E-3</v>
      </c>
      <c r="G8" s="27">
        <f>VLOOKUP($D$1,'plazas aut municipio x cat'!$B$8:$BS$39,8+1,FALSE)</f>
        <v>0</v>
      </c>
      <c r="H8" s="114">
        <f>VLOOKUP($D$1,'plazas aut municipio x cat'!$B$8:$BS$39,8+2,FALSE)</f>
        <v>0</v>
      </c>
      <c r="J8"/>
      <c r="AF8" s="4" t="e">
        <v>#REF!</v>
      </c>
      <c r="BG8" s="4">
        <v>0</v>
      </c>
    </row>
    <row r="9" spans="3:59" s="4" customFormat="1" x14ac:dyDescent="0.25">
      <c r="C9" s="113" t="s">
        <v>65</v>
      </c>
      <c r="D9" s="27">
        <f>VLOOKUP($D$1,'plazas aut municipio x cat'!$B$8:$BS$39,11,FALSE)</f>
        <v>2080</v>
      </c>
      <c r="E9" s="26">
        <f t="shared" si="0"/>
        <v>8.0664864634274035E-3</v>
      </c>
      <c r="F9" s="26">
        <f t="shared" si="1"/>
        <v>1.5408206351440445E-2</v>
      </c>
      <c r="G9" s="27">
        <f>VLOOKUP($D$1,'plazas aut municipio x cat'!$B$8:$BS$39,11+1,FALSE)</f>
        <v>127</v>
      </c>
      <c r="H9" s="114">
        <f>VLOOKUP($D$1,'plazas aut municipio x cat'!$B$8:$BS$39,11+2,FALSE)</f>
        <v>6.5028161802355378E-2</v>
      </c>
      <c r="J9"/>
      <c r="AF9" s="4">
        <v>0</v>
      </c>
      <c r="BG9" s="4">
        <v>0</v>
      </c>
    </row>
    <row r="10" spans="3:59" s="4" customFormat="1" x14ac:dyDescent="0.25">
      <c r="C10" s="113" t="s">
        <v>66</v>
      </c>
      <c r="D10" s="27">
        <f>VLOOKUP($D$1,'plazas aut municipio x cat'!$B$8:$BS$39,14,FALSE)</f>
        <v>12891</v>
      </c>
      <c r="E10" s="26">
        <f t="shared" si="0"/>
        <v>4.9992825480789739E-2</v>
      </c>
      <c r="F10" s="26">
        <f t="shared" si="1"/>
        <v>9.5493840421355183E-2</v>
      </c>
      <c r="G10" s="27">
        <f>VLOOKUP($D$1,'plazas aut municipio x cat'!$B$8:$BS$39,14+1,FALSE)</f>
        <v>-700</v>
      </c>
      <c r="H10" s="114">
        <f>VLOOKUP($D$1,'plazas aut municipio x cat'!$B$8:$BS$39,14+2,FALSE)</f>
        <v>-5.1504672209550462E-2</v>
      </c>
      <c r="J10"/>
      <c r="AF10" s="4">
        <v>0</v>
      </c>
      <c r="BG10" s="4">
        <v>0</v>
      </c>
    </row>
    <row r="11" spans="3:59" s="4" customFormat="1" x14ac:dyDescent="0.25">
      <c r="C11" s="113" t="s">
        <v>67</v>
      </c>
      <c r="D11" s="27">
        <f>VLOOKUP($D$1,'plazas aut municipio x cat'!$B$8:$BS$39,17,FALSE)</f>
        <v>54763</v>
      </c>
      <c r="E11" s="26">
        <f t="shared" si="0"/>
        <v>0.21237740297917063</v>
      </c>
      <c r="F11" s="26">
        <f t="shared" si="1"/>
        <v>0.40567288674227553</v>
      </c>
      <c r="G11" s="27">
        <f>VLOOKUP($D$1,'plazas aut municipio x cat'!$B$8:$BS$39,17+1,FALSE)</f>
        <v>198</v>
      </c>
      <c r="H11" s="114">
        <f>VLOOKUP($D$1,'plazas aut municipio x cat'!$B$8:$BS$39,17+2,FALSE)</f>
        <v>3.6286997159351575E-3</v>
      </c>
      <c r="J11"/>
      <c r="AF11" s="4">
        <v>0</v>
      </c>
      <c r="BG11" s="4">
        <v>0</v>
      </c>
    </row>
    <row r="12" spans="3:59" s="4" customFormat="1" x14ac:dyDescent="0.25">
      <c r="C12" s="113" t="s">
        <v>68</v>
      </c>
      <c r="D12" s="27">
        <f>VLOOKUP($D$1,'plazas aut municipio x cat'!$B$8:$BS$39,20,FALSE)</f>
        <v>9963</v>
      </c>
      <c r="E12" s="26">
        <f t="shared" si="0"/>
        <v>3.8637694536118858E-2</v>
      </c>
      <c r="F12" s="26">
        <f t="shared" si="1"/>
        <v>7.3803826865096706E-2</v>
      </c>
      <c r="G12" s="27">
        <f>VLOOKUP($D$1,'plazas aut municipio x cat'!$B$8:$BS$39,20+1,FALSE)</f>
        <v>-418</v>
      </c>
      <c r="H12" s="114">
        <f>VLOOKUP($D$1,'plazas aut municipio x cat'!$B$8:$BS$39,20+2,FALSE)</f>
        <v>-4.0265870340044363E-2</v>
      </c>
      <c r="J12"/>
      <c r="AF12" s="4">
        <v>0</v>
      </c>
      <c r="BG12" s="4">
        <v>0</v>
      </c>
    </row>
    <row r="13" spans="3:59" s="4" customFormat="1" x14ac:dyDescent="0.25">
      <c r="C13" s="113" t="s">
        <v>69</v>
      </c>
      <c r="D13" s="27">
        <f>VLOOKUP($D$1,'plazas aut municipio x cat'!$B$8:$BS$39,23,FALSE)</f>
        <v>2822</v>
      </c>
      <c r="E13" s="26">
        <f t="shared" si="0"/>
        <v>1.0944050384515449E-2</v>
      </c>
      <c r="F13" s="26">
        <f t="shared" si="1"/>
        <v>2.0904787655656218E-2</v>
      </c>
      <c r="G13" s="27">
        <f>VLOOKUP($D$1,'plazas aut municipio x cat'!$B$8:$BS$39,23+1,FALSE)</f>
        <v>0</v>
      </c>
      <c r="H13" s="114">
        <f>VLOOKUP($D$1,'plazas aut municipio x cat'!$B$8:$BS$39,23+2,FALSE)</f>
        <v>0</v>
      </c>
      <c r="J13"/>
      <c r="AF13" s="4">
        <v>0</v>
      </c>
      <c r="BG13" s="4">
        <v>0</v>
      </c>
    </row>
    <row r="14" spans="3:59" s="4" customFormat="1" x14ac:dyDescent="0.25">
      <c r="C14" s="113" t="s">
        <v>70</v>
      </c>
      <c r="D14" s="27">
        <f>VLOOKUP($D$1,'plazas aut municipio x cat'!$B$8:$BS$39,26,FALSE)</f>
        <v>3587</v>
      </c>
      <c r="E14" s="26">
        <f t="shared" si="0"/>
        <v>1.3910811030920239E-2</v>
      </c>
      <c r="F14" s="26">
        <f t="shared" si="1"/>
        <v>2.6571748164719654E-2</v>
      </c>
      <c r="G14" s="27">
        <f>VLOOKUP($D$1,'plazas aut municipio x cat'!$B$8:$BS$39,26+1,FALSE)</f>
        <v>0</v>
      </c>
      <c r="H14" s="114">
        <f>VLOOKUP($D$1,'plazas aut municipio x cat'!$B$8:$BS$39,26+2,FALSE)</f>
        <v>0</v>
      </c>
      <c r="J14"/>
      <c r="AF14" s="4">
        <v>0</v>
      </c>
      <c r="BG14" s="4">
        <v>0</v>
      </c>
    </row>
    <row r="15" spans="3:59" s="4" customFormat="1" x14ac:dyDescent="0.25">
      <c r="C15" s="115" t="s">
        <v>71</v>
      </c>
      <c r="D15" s="27">
        <f>VLOOKUP($D$1,'plazas aut municipio x cat'!$B$8:$BS$39,29,FALSE)</f>
        <v>166</v>
      </c>
      <c r="E15" s="26">
        <f t="shared" si="0"/>
        <v>6.4376766967737936E-4</v>
      </c>
      <c r="F15" s="26">
        <f t="shared" si="1"/>
        <v>1.2296933915091895E-3</v>
      </c>
      <c r="G15" s="27">
        <f>VLOOKUP($D$1,'plazas aut municipio x cat'!$B$8:$BS$39,29+1,FALSE)</f>
        <v>22</v>
      </c>
      <c r="H15" s="114">
        <f>VLOOKUP($D$1,'plazas aut municipio x cat'!$B$8:$BS$39,29+2,FALSE)</f>
        <v>0.15277777777777768</v>
      </c>
      <c r="J15"/>
      <c r="AF15" s="4">
        <v>0</v>
      </c>
      <c r="BG15" s="4">
        <v>0</v>
      </c>
    </row>
    <row r="16" spans="3:59" s="4" customFormat="1" x14ac:dyDescent="0.25">
      <c r="C16" s="109" t="s">
        <v>14</v>
      </c>
      <c r="D16" s="110">
        <f>VLOOKUP($D$1,'plazas aut municipio x cat'!$B$8:$BS$39,32,FALSE)</f>
        <v>45780</v>
      </c>
      <c r="E16" s="111">
        <f t="shared" si="0"/>
        <v>0.17754026456524352</v>
      </c>
      <c r="F16" s="111">
        <f t="shared" si="1"/>
        <v>0.3391286955619921</v>
      </c>
      <c r="G16" s="110">
        <f>VLOOKUP($D$1,'plazas aut municipio x cat'!$B$8:$BS$39,32+1,FALSE)</f>
        <v>-578</v>
      </c>
      <c r="H16" s="112">
        <f>VLOOKUP($D$1,'plazas aut municipio x cat'!$B$8:$BS$39,32+2,FALSE)</f>
        <v>-5.5943449412376722E-3</v>
      </c>
      <c r="J16"/>
      <c r="AF16" s="4">
        <v>0</v>
      </c>
      <c r="BG16" s="4">
        <v>0</v>
      </c>
    </row>
    <row r="17" spans="1:59" s="4" customFormat="1" x14ac:dyDescent="0.25">
      <c r="C17" s="113" t="s">
        <v>73</v>
      </c>
      <c r="D17" s="27">
        <f>VLOOKUP($D$1,'plazas aut municipio x cat'!$B$8:$BS$39,35,FALSE)</f>
        <v>6579</v>
      </c>
      <c r="E17" s="26">
        <f t="shared" si="0"/>
        <v>2.5514141559081195E-2</v>
      </c>
      <c r="F17" s="26">
        <f t="shared" si="1"/>
        <v>4.8735860377945521E-2</v>
      </c>
      <c r="G17" s="27">
        <f>VLOOKUP($D$1,'plazas aut municipio x cat'!$B$8:$BS$39,35+1,FALSE)</f>
        <v>2</v>
      </c>
      <c r="H17" s="114">
        <f>VLOOKUP($D$1,'plazas aut municipio x cat'!$B$8:$BS$39,35+2,FALSE)</f>
        <v>3.0409001064324315E-4</v>
      </c>
      <c r="J17" s="36"/>
      <c r="AF17" s="4">
        <v>0</v>
      </c>
      <c r="BG17" s="4">
        <v>0</v>
      </c>
    </row>
    <row r="18" spans="1:59" s="4" customFormat="1" x14ac:dyDescent="0.25">
      <c r="C18" s="113" t="s">
        <v>74</v>
      </c>
      <c r="D18" s="27">
        <f>VLOOKUP($D$1,'plazas aut municipio x cat'!$B$8:$BS$39,38,FALSE)</f>
        <v>10147</v>
      </c>
      <c r="E18" s="26">
        <f t="shared" si="0"/>
        <v>3.9351268338652816E-2</v>
      </c>
      <c r="F18" s="26">
        <f t="shared" si="1"/>
        <v>7.5166860503877983E-2</v>
      </c>
      <c r="G18" s="27">
        <f>VLOOKUP($D$1,'plazas aut municipio x cat'!$B$8:$BS$39,38+1,FALSE)</f>
        <v>-883</v>
      </c>
      <c r="H18" s="114">
        <f>VLOOKUP($D$1,'plazas aut municipio x cat'!$B$8:$BS$39,38+2,FALSE)</f>
        <v>-8.005439709882145E-2</v>
      </c>
      <c r="J18" s="36"/>
      <c r="AF18" s="4">
        <v>0</v>
      </c>
      <c r="BG18" s="4">
        <v>0</v>
      </c>
    </row>
    <row r="19" spans="1:59" s="4" customFormat="1" x14ac:dyDescent="0.25">
      <c r="C19" s="113" t="s">
        <v>75</v>
      </c>
      <c r="D19" s="27">
        <f>VLOOKUP($D$1,'plazas aut municipio x cat'!$B$8:$BS$39,41,FALSE)</f>
        <v>17193</v>
      </c>
      <c r="E19" s="26">
        <f t="shared" si="0"/>
        <v>6.6676491233513144E-2</v>
      </c>
      <c r="F19" s="26">
        <f t="shared" si="1"/>
        <v>0.12736215951938248</v>
      </c>
      <c r="G19" s="27">
        <f>VLOOKUP($D$1,'plazas aut municipio x cat'!$B$8:$BS$39,41+1,FALSE)</f>
        <v>308</v>
      </c>
      <c r="H19" s="114">
        <f>VLOOKUP($D$1,'plazas aut municipio x cat'!$B$8:$BS$39,41+2,FALSE)</f>
        <v>1.8241042345276792E-2</v>
      </c>
      <c r="J19" s="36"/>
      <c r="AF19" s="4">
        <v>0</v>
      </c>
      <c r="BG19" s="4">
        <v>0</v>
      </c>
    </row>
    <row r="20" spans="1:59" s="4" customFormat="1" x14ac:dyDescent="0.25">
      <c r="C20" s="113" t="s">
        <v>76</v>
      </c>
      <c r="D20" s="27">
        <f>VLOOKUP($D$1,'plazas aut municipio x cat'!$B$8:$BS$39,44,FALSE)</f>
        <v>218</v>
      </c>
      <c r="E20" s="26">
        <f t="shared" si="0"/>
        <v>8.4542983126306443E-4</v>
      </c>
      <c r="F20" s="26">
        <f t="shared" si="1"/>
        <v>1.6148985502952005E-3</v>
      </c>
      <c r="G20" s="27">
        <f>VLOOKUP($D$1,'plazas aut municipio x cat'!$B$8:$BS$39,44+1,FALSE)</f>
        <v>0</v>
      </c>
      <c r="H20" s="114">
        <f>VLOOKUP($D$1,'plazas aut municipio x cat'!$B$8:$BS$39,44+2,FALSE)</f>
        <v>0</v>
      </c>
      <c r="J20" s="36"/>
      <c r="AF20" s="4">
        <v>0</v>
      </c>
      <c r="BG20" s="4">
        <v>0</v>
      </c>
    </row>
    <row r="21" spans="1:59" s="4" customFormat="1" x14ac:dyDescent="0.25">
      <c r="C21" s="113" t="s">
        <v>66</v>
      </c>
      <c r="D21" s="27">
        <f>VLOOKUP($D$1,'plazas aut municipio x cat'!$B$8:$BS$39,47,FALSE)</f>
        <v>7453</v>
      </c>
      <c r="E21" s="26">
        <f t="shared" si="0"/>
        <v>2.8903617121117518E-2</v>
      </c>
      <c r="F21" s="26">
        <f t="shared" si="1"/>
        <v>5.5210270162156558E-2</v>
      </c>
      <c r="G21" s="27">
        <f>VLOOKUP($D$1,'plazas aut municipio x cat'!$B$8:$BS$39,47+1,FALSE)</f>
        <v>244</v>
      </c>
      <c r="H21" s="114">
        <f>VLOOKUP($D$1,'plazas aut municipio x cat'!$B$8:$BS$39,47+2,FALSE)</f>
        <v>3.3846580663060122E-2</v>
      </c>
      <c r="J21" s="36"/>
      <c r="AF21" s="4">
        <v>0</v>
      </c>
      <c r="BG21" s="4">
        <v>0</v>
      </c>
    </row>
    <row r="22" spans="1:59" s="4" customFormat="1" x14ac:dyDescent="0.25">
      <c r="C22" s="113" t="s">
        <v>67</v>
      </c>
      <c r="D22" s="27">
        <f>VLOOKUP($D$1,'plazas aut municipio x cat'!$B$8:$BS$39,50,FALSE)</f>
        <v>2099</v>
      </c>
      <c r="E22" s="26">
        <f t="shared" si="0"/>
        <v>8.14017071477602E-3</v>
      </c>
      <c r="F22" s="26">
        <f t="shared" si="1"/>
        <v>1.5548954390227642E-2</v>
      </c>
      <c r="G22" s="27">
        <f>VLOOKUP($D$1,'plazas aut municipio x cat'!$B$8:$BS$39,50+1,FALSE)</f>
        <v>-164</v>
      </c>
      <c r="H22" s="114">
        <f>VLOOKUP($D$1,'plazas aut municipio x cat'!$B$8:$BS$39,50+2,FALSE)</f>
        <v>-7.2470172337604999E-2</v>
      </c>
      <c r="J22" s="36"/>
      <c r="AF22" s="4">
        <v>0</v>
      </c>
      <c r="BG22" s="4">
        <v>0</v>
      </c>
    </row>
    <row r="23" spans="1:59" s="4" customFormat="1" x14ac:dyDescent="0.25">
      <c r="C23" s="113" t="s">
        <v>68</v>
      </c>
      <c r="D23" s="27">
        <f>VLOOKUP($D$1,'plazas aut municipio x cat'!$B$8:$BS$39,53,FALSE)</f>
        <v>1579</v>
      </c>
      <c r="E23" s="26">
        <f t="shared" si="0"/>
        <v>6.1235490989191687E-3</v>
      </c>
      <c r="F23" s="26">
        <f t="shared" si="1"/>
        <v>1.169690280236753E-2</v>
      </c>
      <c r="G23" s="27">
        <f>VLOOKUP($D$1,'plazas aut municipio x cat'!$B$8:$BS$39,53+1,FALSE)</f>
        <v>0</v>
      </c>
      <c r="H23" s="114">
        <f>VLOOKUP($D$1,'plazas aut municipio x cat'!$B$8:$BS$39,53+2,FALSE)</f>
        <v>0</v>
      </c>
      <c r="J23" s="36"/>
      <c r="AF23" s="4">
        <v>0</v>
      </c>
      <c r="BG23" s="4">
        <v>0</v>
      </c>
    </row>
    <row r="24" spans="1:59" s="4" customFormat="1" x14ac:dyDescent="0.25">
      <c r="C24" s="113" t="s">
        <v>77</v>
      </c>
      <c r="D24" s="27">
        <f>VLOOKUP($D$1,'plazas aut municipio x cat'!$B$8:$BS$39,56,FALSE)</f>
        <v>414</v>
      </c>
      <c r="E24" s="26">
        <f t="shared" si="0"/>
        <v>1.605541055701416E-3</v>
      </c>
      <c r="F24" s="26">
        <f t="shared" si="1"/>
        <v>3.0668256872578578E-3</v>
      </c>
      <c r="G24" s="27">
        <f>VLOOKUP($D$1,'plazas aut municipio x cat'!$B$8:$BS$39,56+1,FALSE)</f>
        <v>75</v>
      </c>
      <c r="H24" s="114">
        <f>VLOOKUP($D$1,'plazas aut municipio x cat'!$B$8:$BS$39,56+2,FALSE)</f>
        <v>0.22123893805309724</v>
      </c>
      <c r="J24" s="36"/>
      <c r="AF24" s="4">
        <v>0</v>
      </c>
      <c r="BG24" s="4">
        <v>0</v>
      </c>
    </row>
    <row r="25" spans="1:59" s="4" customFormat="1" ht="25.5" x14ac:dyDescent="0.25">
      <c r="C25" s="115" t="s">
        <v>78</v>
      </c>
      <c r="D25" s="27">
        <f>VLOOKUP($D$1,'plazas aut municipio x cat'!$B$8:$BS$39,59,FALSE)</f>
        <v>98</v>
      </c>
      <c r="E25" s="26">
        <f t="shared" si="0"/>
        <v>3.8005561221917577E-4</v>
      </c>
      <c r="F25" s="26">
        <f t="shared" si="1"/>
        <v>7.2596356848132868E-4</v>
      </c>
      <c r="G25" s="27">
        <f>VLOOKUP($D$1,'plazas aut municipio x cat'!$B$8:$BS$39,59+1,FALSE)</f>
        <v>0</v>
      </c>
      <c r="H25" s="114">
        <f>VLOOKUP($D$1,'plazas aut municipio x cat'!$B$8:$BS$39,59+2,FALSE)</f>
        <v>0</v>
      </c>
      <c r="J25" s="36"/>
      <c r="AF25" s="4">
        <v>0</v>
      </c>
      <c r="BG25" s="4">
        <v>0</v>
      </c>
    </row>
    <row r="26" spans="1:59" s="4" customFormat="1" x14ac:dyDescent="0.25">
      <c r="C26" s="109" t="s">
        <v>15</v>
      </c>
      <c r="D26" s="110">
        <f>VLOOKUP($D$1,'plazas aut municipio x cat'!$B$8:$BS$39,65,FALSE)</f>
        <v>557</v>
      </c>
      <c r="E26" s="111">
        <f t="shared" si="0"/>
        <v>2.1601120000620498E-3</v>
      </c>
      <c r="F26" s="111">
        <f t="shared" si="1"/>
        <v>4.1261398739193883E-3</v>
      </c>
      <c r="G26" s="110">
        <f>VLOOKUP($D$1,'plazas aut municipio x cat'!$B$8:$BS$39,65+1,FALSE)</f>
        <v>13</v>
      </c>
      <c r="H26" s="112">
        <f>VLOOKUP($D$1,'plazas aut municipio x cat'!$B$8:$BS$39,65+2,FALSE)</f>
        <v>2.5782688766114115E-2</v>
      </c>
      <c r="J26" s="36"/>
      <c r="AF26" s="4">
        <v>0</v>
      </c>
      <c r="BG26" s="4">
        <v>0</v>
      </c>
    </row>
    <row r="27" spans="1:59" s="4" customFormat="1" x14ac:dyDescent="0.25">
      <c r="C27" s="109" t="s">
        <v>108</v>
      </c>
      <c r="D27" s="110">
        <f>VLOOKUP($D$1,'plazas aut municipio x cat'!$B$8:$BS$39,68,FALSE)</f>
        <v>1074</v>
      </c>
      <c r="E27" s="111">
        <f t="shared" si="0"/>
        <v>4.1650992604428038E-3</v>
      </c>
      <c r="F27" s="111">
        <f t="shared" si="1"/>
        <v>7.955968087234153E-3</v>
      </c>
      <c r="G27" s="110">
        <f>VLOOKUP($D$1,'plazas aut municipio x cat'!$B$8:$BS$39,68+1,FALSE)</f>
        <v>7</v>
      </c>
      <c r="H27" s="112">
        <f>VLOOKUP($D$1,'plazas aut municipio x cat'!$B$8:$BS$39,68+2,FALSE)</f>
        <v>7.5046904315196894E-3</v>
      </c>
      <c r="J27" s="36"/>
      <c r="AF27" s="4">
        <v>0</v>
      </c>
      <c r="BG27" s="4">
        <v>0</v>
      </c>
    </row>
    <row r="28" spans="1:59" s="4" customFormat="1" ht="30" x14ac:dyDescent="0.25">
      <c r="A28" s="1">
        <f>VLOOKUP($D$1,'plazas aut municipio x cat'!$B$8:$BS$39,2,FALSE)-VLOOKUP($D$1,'plazas aut municipio x cat'!$B$8:$BS$39,3,FALSE)-(VLOOKUP($D$1,'plazas aut municipio x cat'!$B$8:$BS$39,62,FALSE)-VLOOKUP($D$1,'plazas aut municipio x cat'!$B$8:$BS$39,63,FALSE))</f>
        <v>136257</v>
      </c>
      <c r="C28" s="116" t="s">
        <v>109</v>
      </c>
      <c r="D28" s="117">
        <f>D7+D16+D27+D26</f>
        <v>134993</v>
      </c>
      <c r="E28" s="118">
        <f t="shared" si="0"/>
        <v>0.52351884959493056</v>
      </c>
      <c r="F28" s="118">
        <f t="shared" si="1"/>
        <v>1</v>
      </c>
      <c r="G28" s="117">
        <f>G7+G16+G27+G26</f>
        <v>-1264</v>
      </c>
      <c r="H28" s="119">
        <f>(D28/(D28-G28))-1</f>
        <v>-9.2765876248559476E-3</v>
      </c>
      <c r="AF28" s="4">
        <v>0</v>
      </c>
      <c r="BG28" s="4">
        <v>0</v>
      </c>
    </row>
    <row r="29" spans="1:59" s="4" customFormat="1" ht="35.25" customHeight="1" x14ac:dyDescent="0.25">
      <c r="C29" s="120" t="s">
        <v>110</v>
      </c>
      <c r="D29" s="117">
        <f>VLOOKUP($D$1,'plazas aut municipio x cat'!$B$8:$BS$39,62,FALSE)</f>
        <v>122864</v>
      </c>
      <c r="E29" s="121">
        <f>D29/$D$30</f>
        <v>0.4764811504050695</v>
      </c>
      <c r="F29" s="121"/>
      <c r="G29" s="117">
        <f>VLOOKUP($D$1,'plazas aut municipio x cat'!$B$8:$BS$39,62+1,FALSE)</f>
        <v>8610</v>
      </c>
      <c r="H29" s="119">
        <f>VLOOKUP($D$1,'plazas aut municipio x cat'!$B$8:$BU$39,62+2,FALSE)</f>
        <v>8.336005129849311E-2</v>
      </c>
      <c r="J29" s="36"/>
      <c r="AF29" s="4">
        <v>0</v>
      </c>
      <c r="BG29" s="4">
        <v>0</v>
      </c>
    </row>
    <row r="30" spans="1:59" s="4" customFormat="1" ht="21.75" customHeight="1" x14ac:dyDescent="0.25">
      <c r="C30" s="122" t="s">
        <v>17</v>
      </c>
      <c r="D30" s="21">
        <f>VLOOKUP($D$1,'plazas aut municipio x cat'!$B$8:$BS$39,2,FALSE)</f>
        <v>257857</v>
      </c>
      <c r="E30" s="22">
        <f t="shared" si="0"/>
        <v>1</v>
      </c>
      <c r="F30" s="22"/>
      <c r="G30" s="21">
        <f>VLOOKUP($D$1,'plazas aut municipio x cat'!$B$8:$BS$39,3,FALSE)</f>
        <v>7346</v>
      </c>
      <c r="H30" s="123">
        <f>VLOOKUP($D$1,'plazas aut municipio x cat'!$B$8:$BS$39,4,FALSE)</f>
        <v>2.9324061618052788E-2</v>
      </c>
      <c r="I30" s="36"/>
      <c r="J30" s="36"/>
      <c r="AF30" s="4">
        <v>0</v>
      </c>
      <c r="BG30" s="4">
        <v>0</v>
      </c>
    </row>
    <row r="31" spans="1:59" s="4" customFormat="1" ht="11.25" customHeight="1" x14ac:dyDescent="0.25">
      <c r="C31" s="32"/>
      <c r="D31" s="32"/>
      <c r="E31" s="32"/>
      <c r="F31" s="32"/>
      <c r="G31" s="32"/>
      <c r="H31" s="32"/>
      <c r="I31" s="36"/>
      <c r="J31" s="36"/>
      <c r="AF31" s="4">
        <v>0</v>
      </c>
      <c r="BG31" s="4">
        <v>0</v>
      </c>
    </row>
    <row r="32" spans="1:59" s="4" customFormat="1" ht="54.75" customHeight="1" x14ac:dyDescent="0.25">
      <c r="C32" s="81" t="s">
        <v>111</v>
      </c>
      <c r="D32" s="81"/>
      <c r="E32" s="81"/>
      <c r="F32" s="81"/>
      <c r="G32" s="81"/>
      <c r="H32" s="81"/>
      <c r="I32" s="36"/>
      <c r="AF32" s="4">
        <v>0</v>
      </c>
      <c r="BG32" s="4">
        <v>0</v>
      </c>
    </row>
    <row r="33" spans="2:59" s="4" customFormat="1" x14ac:dyDescent="0.25">
      <c r="C33" s="124"/>
      <c r="D33"/>
      <c r="J33" s="36"/>
      <c r="AF33" s="4">
        <v>0</v>
      </c>
      <c r="BG33" s="4">
        <v>0</v>
      </c>
    </row>
    <row r="34" spans="2:59" s="4" customFormat="1" x14ac:dyDescent="0.25">
      <c r="C34" s="124"/>
      <c r="D34"/>
      <c r="J34" s="36"/>
      <c r="AF34" s="4">
        <v>0</v>
      </c>
      <c r="BG34" s="4">
        <v>0</v>
      </c>
    </row>
    <row r="35" spans="2:59" s="4" customFormat="1" x14ac:dyDescent="0.25">
      <c r="C35" s="124"/>
      <c r="D35"/>
      <c r="J35" s="36"/>
      <c r="AF35" s="4">
        <v>0</v>
      </c>
      <c r="BG35" s="4">
        <v>0</v>
      </c>
    </row>
    <row r="36" spans="2:59" s="4" customFormat="1" ht="15.75" x14ac:dyDescent="0.25">
      <c r="C36" s="21"/>
      <c r="D36" s="75"/>
      <c r="E36" s="74"/>
      <c r="J36" s="36"/>
      <c r="AF36" s="4">
        <v>0</v>
      </c>
      <c r="BG36" s="4">
        <v>0</v>
      </c>
    </row>
    <row r="37" spans="2:59" s="4" customFormat="1" x14ac:dyDescent="0.25">
      <c r="C37" s="124"/>
      <c r="D37" s="125"/>
      <c r="J37" s="36"/>
      <c r="AF37" s="4">
        <v>0</v>
      </c>
      <c r="BG37" s="4">
        <v>0</v>
      </c>
    </row>
    <row r="38" spans="2:59" s="4" customFormat="1" x14ac:dyDescent="0.25">
      <c r="B38" s="4" t="s">
        <v>112</v>
      </c>
      <c r="C38" s="124" t="s">
        <v>65</v>
      </c>
      <c r="D38" t="s">
        <v>113</v>
      </c>
      <c r="E38" s="4" t="s">
        <v>59</v>
      </c>
      <c r="F38" s="4" t="s">
        <v>114</v>
      </c>
      <c r="AF38" s="4">
        <v>0</v>
      </c>
      <c r="BG38" s="4">
        <v>0</v>
      </c>
    </row>
    <row r="39" spans="2:59" x14ac:dyDescent="0.25">
      <c r="C39" s="124" t="s">
        <v>66</v>
      </c>
      <c r="D39" t="s">
        <v>115</v>
      </c>
      <c r="E39" s="4" t="s">
        <v>27</v>
      </c>
      <c r="F39" s="4" t="s">
        <v>116</v>
      </c>
      <c r="G39" s="4" t="s">
        <v>117</v>
      </c>
      <c r="H39" s="4"/>
      <c r="I39" s="4"/>
      <c r="AF39" s="4">
        <v>0</v>
      </c>
      <c r="BG39" s="4">
        <v>0</v>
      </c>
    </row>
    <row r="40" spans="2:59" x14ac:dyDescent="0.25">
      <c r="C40" s="124" t="s">
        <v>66</v>
      </c>
      <c r="D40" t="s">
        <v>118</v>
      </c>
      <c r="E40" s="4" t="s">
        <v>119</v>
      </c>
      <c r="F40" s="4" t="s">
        <v>120</v>
      </c>
      <c r="G40" s="4" t="s">
        <v>121</v>
      </c>
      <c r="H40" s="4"/>
      <c r="I40" s="4"/>
    </row>
    <row r="41" spans="2:59" x14ac:dyDescent="0.25">
      <c r="C41" s="124" t="s">
        <v>66</v>
      </c>
      <c r="D41" t="s">
        <v>122</v>
      </c>
      <c r="E41" s="4" t="s">
        <v>59</v>
      </c>
      <c r="F41" t="s">
        <v>123</v>
      </c>
    </row>
    <row r="42" spans="2:59" x14ac:dyDescent="0.25">
      <c r="C42" s="124" t="s">
        <v>67</v>
      </c>
      <c r="D42" t="s">
        <v>124</v>
      </c>
      <c r="E42" s="4" t="s">
        <v>119</v>
      </c>
      <c r="F42" s="4" t="s">
        <v>125</v>
      </c>
      <c r="G42" t="s">
        <v>126</v>
      </c>
    </row>
    <row r="43" spans="2:59" x14ac:dyDescent="0.25">
      <c r="C43" s="124" t="s">
        <v>68</v>
      </c>
      <c r="D43" t="s">
        <v>127</v>
      </c>
      <c r="E43" s="4" t="s">
        <v>24</v>
      </c>
      <c r="F43" s="4" t="s">
        <v>128</v>
      </c>
    </row>
    <row r="44" spans="2:59" x14ac:dyDescent="0.25">
      <c r="C44" s="124" t="s">
        <v>129</v>
      </c>
      <c r="D44" t="s">
        <v>130</v>
      </c>
      <c r="F44" s="4" t="s">
        <v>131</v>
      </c>
    </row>
    <row r="45" spans="2:59" x14ac:dyDescent="0.25">
      <c r="B45" t="s">
        <v>132</v>
      </c>
      <c r="C45" s="124" t="s">
        <v>74</v>
      </c>
      <c r="D45" t="s">
        <v>133</v>
      </c>
      <c r="E45" s="4" t="s">
        <v>27</v>
      </c>
      <c r="F45" s="4" t="s">
        <v>134</v>
      </c>
    </row>
    <row r="46" spans="2:59" x14ac:dyDescent="0.25">
      <c r="C46" s="124" t="s">
        <v>75</v>
      </c>
      <c r="D46" t="s">
        <v>135</v>
      </c>
      <c r="E46" s="4" t="s">
        <v>119</v>
      </c>
      <c r="F46" s="4" t="s">
        <v>125</v>
      </c>
      <c r="G46" t="s">
        <v>126</v>
      </c>
    </row>
    <row r="47" spans="2:59" x14ac:dyDescent="0.25">
      <c r="C47" s="124" t="s">
        <v>75</v>
      </c>
      <c r="D47" t="s">
        <v>136</v>
      </c>
      <c r="E47" s="4" t="s">
        <v>119</v>
      </c>
      <c r="F47" s="4" t="s">
        <v>137</v>
      </c>
    </row>
    <row r="48" spans="2:59" x14ac:dyDescent="0.25">
      <c r="C48" s="124" t="s">
        <v>75</v>
      </c>
      <c r="D48" s="126" t="s">
        <v>138</v>
      </c>
      <c r="E48" s="4" t="s">
        <v>27</v>
      </c>
      <c r="F48" s="4" t="s">
        <v>139</v>
      </c>
    </row>
    <row r="49" spans="3:7" x14ac:dyDescent="0.25">
      <c r="C49" s="124" t="s">
        <v>75</v>
      </c>
      <c r="D49" t="s">
        <v>140</v>
      </c>
      <c r="E49" s="4" t="s">
        <v>24</v>
      </c>
      <c r="F49" t="s">
        <v>141</v>
      </c>
      <c r="G49" t="s">
        <v>142</v>
      </c>
    </row>
    <row r="50" spans="3:7" x14ac:dyDescent="0.25">
      <c r="C50" s="124" t="s">
        <v>66</v>
      </c>
      <c r="D50" t="s">
        <v>140</v>
      </c>
      <c r="E50" s="4" t="s">
        <v>24</v>
      </c>
      <c r="F50" s="4" t="s">
        <v>141</v>
      </c>
      <c r="G50" t="s">
        <v>142</v>
      </c>
    </row>
    <row r="51" spans="3:7" x14ac:dyDescent="0.25">
      <c r="C51" s="124" t="s">
        <v>66</v>
      </c>
      <c r="D51" t="s">
        <v>143</v>
      </c>
      <c r="E51" s="4" t="s">
        <v>119</v>
      </c>
      <c r="F51" s="4" t="s">
        <v>120</v>
      </c>
      <c r="G51" s="4" t="s">
        <v>121</v>
      </c>
    </row>
  </sheetData>
  <mergeCells count="3">
    <mergeCell ref="C3:H3"/>
    <mergeCell ref="C4:E4"/>
    <mergeCell ref="C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4BD124-E913-463F-B154-652398715DCC}">
          <x14:formula1>
            <xm:f>'plazas aut municipio x cat'!$B$8:$B$39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5596-37C8-460E-ADEE-9DC93C8854EC}">
  <sheetPr>
    <tabColor rgb="FF92D050"/>
  </sheetPr>
  <dimension ref="A1:BG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3" customWidth="1"/>
    <col min="3" max="3" width="14.28515625" customWidth="1"/>
    <col min="4" max="4" width="11.42578125" customWidth="1"/>
    <col min="5" max="5" width="14.28515625" customWidth="1"/>
    <col min="6" max="6" width="12.42578125" customWidth="1"/>
    <col min="7" max="7" width="14.28515625" customWidth="1"/>
    <col min="8" max="8" width="11.42578125" customWidth="1"/>
    <col min="9" max="9" width="15.85546875" customWidth="1"/>
    <col min="10" max="10" width="11.42578125" customWidth="1"/>
    <col min="11" max="11" width="14.28515625" customWidth="1"/>
    <col min="12" max="12" width="11.42578125" customWidth="1"/>
    <col min="13" max="13" width="14.28515625" customWidth="1"/>
    <col min="14" max="14" width="11.42578125" customWidth="1"/>
  </cols>
  <sheetData>
    <row r="1" spans="2:59" ht="30" customHeight="1" x14ac:dyDescent="0.25"/>
    <row r="3" spans="2:59" s="4" customFormat="1" ht="56.25" customHeight="1" thickBot="1" x14ac:dyDescent="0.3">
      <c r="B3" s="13" t="s">
        <v>161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2:59" s="4" customFormat="1" ht="6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59" s="4" customFormat="1" x14ac:dyDescent="0.25">
      <c r="B5" s="15" t="s">
        <v>16</v>
      </c>
      <c r="C5" s="16" t="s">
        <v>17</v>
      </c>
      <c r="D5" s="17"/>
      <c r="E5" s="16" t="s">
        <v>13</v>
      </c>
      <c r="F5" s="17"/>
      <c r="G5" s="16" t="s">
        <v>14</v>
      </c>
      <c r="H5" s="17"/>
      <c r="I5" s="16" t="s">
        <v>18</v>
      </c>
      <c r="J5" s="17"/>
      <c r="K5" s="16" t="s">
        <v>19</v>
      </c>
      <c r="L5" s="17"/>
      <c r="M5" s="16" t="s">
        <v>20</v>
      </c>
      <c r="N5" s="17"/>
    </row>
    <row r="6" spans="2:59" s="4" customFormat="1" ht="25.5" x14ac:dyDescent="0.25">
      <c r="B6" s="15"/>
      <c r="C6" s="18" t="s">
        <v>144</v>
      </c>
      <c r="D6" s="19" t="s">
        <v>22</v>
      </c>
      <c r="E6" s="18" t="str">
        <f>C6</f>
        <v>Establecimientos</v>
      </c>
      <c r="F6" s="19" t="s">
        <v>22</v>
      </c>
      <c r="G6" s="18" t="str">
        <f>E6</f>
        <v>Establecimientos</v>
      </c>
      <c r="H6" s="19" t="s">
        <v>22</v>
      </c>
      <c r="I6" s="18" t="str">
        <f>G6</f>
        <v>Establecimientos</v>
      </c>
      <c r="J6" s="19" t="s">
        <v>22</v>
      </c>
      <c r="K6" s="18" t="str">
        <f>G6</f>
        <v>Establecimientos</v>
      </c>
      <c r="L6" s="19" t="s">
        <v>22</v>
      </c>
      <c r="M6" s="18" t="str">
        <f>K6</f>
        <v>Establecimientos</v>
      </c>
      <c r="N6" s="19" t="s">
        <v>22</v>
      </c>
    </row>
    <row r="7" spans="2:59" s="23" customFormat="1" ht="15.75" x14ac:dyDescent="0.25">
      <c r="B7" s="20" t="s">
        <v>23</v>
      </c>
      <c r="C7" s="21">
        <f>'estab aut municipio x tip y cat'!C8</f>
        <v>30803</v>
      </c>
      <c r="D7" s="22">
        <f>C7/$C$7</f>
        <v>1</v>
      </c>
      <c r="E7" s="21">
        <f>SUM(E8:E38)</f>
        <v>285</v>
      </c>
      <c r="F7" s="22">
        <f>E7/$E$7</f>
        <v>1</v>
      </c>
      <c r="G7" s="21">
        <v>236</v>
      </c>
      <c r="H7" s="22">
        <f t="shared" ref="H7:H38" si="0">G7/$G$7</f>
        <v>1</v>
      </c>
      <c r="I7" s="21">
        <f>'estab aut municipio x tip y cat'!BK8</f>
        <v>30091</v>
      </c>
      <c r="J7" s="22">
        <f>I7/$I$7</f>
        <v>1</v>
      </c>
      <c r="K7" s="21">
        <f>SUM(K8:K38)</f>
        <v>24</v>
      </c>
      <c r="L7" s="22">
        <f>K7/$K$7</f>
        <v>1</v>
      </c>
      <c r="M7" s="21">
        <f>SUM(M8:M38)</f>
        <v>167</v>
      </c>
      <c r="N7" s="22">
        <f>M7/$M$7</f>
        <v>1</v>
      </c>
    </row>
    <row r="8" spans="2:59" s="4" customFormat="1" x14ac:dyDescent="0.25">
      <c r="B8" s="24" t="str">
        <f>'estab aut municipio x tip y cat'!B9</f>
        <v>Adeje</v>
      </c>
      <c r="C8" s="25">
        <f>'estab aut municipio x tip y cat'!C9</f>
        <v>5907</v>
      </c>
      <c r="D8" s="26">
        <f>C8/$C$7</f>
        <v>0.19176703567834302</v>
      </c>
      <c r="E8" s="27">
        <f>'estab aut municipio x tip y cat'!F9</f>
        <v>67</v>
      </c>
      <c r="F8" s="26">
        <f>E8/$E$7</f>
        <v>0.23508771929824562</v>
      </c>
      <c r="G8" s="27">
        <f>'estab aut municipio x tip y cat'!AG9</f>
        <v>50</v>
      </c>
      <c r="H8" s="26">
        <f t="shared" si="0"/>
        <v>0.21186440677966101</v>
      </c>
      <c r="I8" s="27">
        <f>'estab aut municipio x tip y cat'!BK9</f>
        <v>5786</v>
      </c>
      <c r="J8" s="26">
        <f t="shared" ref="J8:J38" si="1">I8/$I$7</f>
        <v>0.19228340699877039</v>
      </c>
      <c r="K8" s="27">
        <f>'estab aut municipio x tip y cat'!BN9</f>
        <v>1</v>
      </c>
      <c r="L8" s="26">
        <f>K8/$K$7</f>
        <v>4.1666666666666664E-2</v>
      </c>
      <c r="M8" s="27">
        <f>'estab aut municipio x tip y cat'!BQ9</f>
        <v>3</v>
      </c>
      <c r="N8" s="26">
        <f>M8/$M$7</f>
        <v>1.7964071856287425E-2</v>
      </c>
      <c r="BG8" s="4">
        <v>98</v>
      </c>
    </row>
    <row r="9" spans="2:59" s="4" customFormat="1" x14ac:dyDescent="0.25">
      <c r="B9" s="24" t="str">
        <f>'estab aut municipio x tip y cat'!B10</f>
        <v>Arafo</v>
      </c>
      <c r="C9" s="25">
        <f>'estab aut municipio x tip y cat'!C10</f>
        <v>75</v>
      </c>
      <c r="D9" s="26">
        <f t="shared" ref="D9:D38" si="2">C9/$C$7</f>
        <v>2.4348277765152745E-3</v>
      </c>
      <c r="E9" s="27">
        <f>'estab aut municipio x tip y cat'!F10</f>
        <v>0</v>
      </c>
      <c r="F9" s="26">
        <f t="shared" ref="F9:F38" si="3">E9/$E$7</f>
        <v>0</v>
      </c>
      <c r="G9" s="27">
        <f>'estab aut municipio x tip y cat'!AG10</f>
        <v>0</v>
      </c>
      <c r="H9" s="26">
        <f t="shared" si="0"/>
        <v>0</v>
      </c>
      <c r="I9" s="27">
        <f>'estab aut municipio x tip y cat'!BK10</f>
        <v>72</v>
      </c>
      <c r="J9" s="26">
        <f t="shared" si="1"/>
        <v>2.3927420158851485E-3</v>
      </c>
      <c r="K9" s="27">
        <f>'estab aut municipio x tip y cat'!BN10</f>
        <v>0</v>
      </c>
      <c r="L9" s="26">
        <f t="shared" ref="L9:L38" si="4">K9/$K$7</f>
        <v>0</v>
      </c>
      <c r="M9" s="27">
        <f>'estab aut municipio x tip y cat'!BQ10</f>
        <v>3</v>
      </c>
      <c r="N9" s="26">
        <f t="shared" ref="N9:N38" si="5">M9/$M$7</f>
        <v>1.7964071856287425E-2</v>
      </c>
      <c r="BG9" s="4">
        <v>0</v>
      </c>
    </row>
    <row r="10" spans="2:59" s="4" customFormat="1" x14ac:dyDescent="0.25">
      <c r="B10" s="24" t="str">
        <f>'estab aut municipio x tip y cat'!B11</f>
        <v>Arico</v>
      </c>
      <c r="C10" s="25">
        <f>'estab aut municipio x tip y cat'!C11</f>
        <v>791</v>
      </c>
      <c r="D10" s="26">
        <f t="shared" si="2"/>
        <v>2.567931694964776E-2</v>
      </c>
      <c r="E10" s="27">
        <f>'estab aut municipio x tip y cat'!F11</f>
        <v>1</v>
      </c>
      <c r="F10" s="26">
        <f t="shared" si="3"/>
        <v>3.5087719298245615E-3</v>
      </c>
      <c r="G10" s="27">
        <f>'estab aut municipio x tip y cat'!AG11</f>
        <v>6</v>
      </c>
      <c r="H10" s="26">
        <f t="shared" si="0"/>
        <v>2.5423728813559324E-2</v>
      </c>
      <c r="I10" s="27">
        <f>'estab aut municipio x tip y cat'!BK11</f>
        <v>771</v>
      </c>
      <c r="J10" s="26">
        <f t="shared" si="1"/>
        <v>2.5622279086770131E-2</v>
      </c>
      <c r="K10" s="27">
        <f>'estab aut municipio x tip y cat'!BN11</f>
        <v>0</v>
      </c>
      <c r="L10" s="26">
        <f t="shared" si="4"/>
        <v>0</v>
      </c>
      <c r="M10" s="27">
        <f>'estab aut municipio x tip y cat'!BQ11</f>
        <v>13</v>
      </c>
      <c r="N10" s="26">
        <f t="shared" si="5"/>
        <v>7.7844311377245512E-2</v>
      </c>
      <c r="BG10" s="4">
        <v>20</v>
      </c>
    </row>
    <row r="11" spans="2:59" s="4" customFormat="1" x14ac:dyDescent="0.25">
      <c r="B11" s="24" t="str">
        <f>'estab aut municipio x tip y cat'!B12</f>
        <v>Arona</v>
      </c>
      <c r="C11" s="25">
        <f>'estab aut municipio x tip y cat'!C12</f>
        <v>6787</v>
      </c>
      <c r="D11" s="26">
        <f t="shared" si="2"/>
        <v>0.22033568158945557</v>
      </c>
      <c r="E11" s="27">
        <f>'estab aut municipio x tip y cat'!F12</f>
        <v>44</v>
      </c>
      <c r="F11" s="26">
        <f t="shared" si="3"/>
        <v>0.15438596491228071</v>
      </c>
      <c r="G11" s="27">
        <f>'estab aut municipio x tip y cat'!AG12</f>
        <v>69</v>
      </c>
      <c r="H11" s="26">
        <f t="shared" si="0"/>
        <v>0.2923728813559322</v>
      </c>
      <c r="I11" s="27">
        <f>'estab aut municipio x tip y cat'!BK12</f>
        <v>6668</v>
      </c>
      <c r="J11" s="26">
        <f t="shared" si="1"/>
        <v>0.22159449669336345</v>
      </c>
      <c r="K11" s="27">
        <f>'estab aut municipio x tip y cat'!BN12</f>
        <v>2</v>
      </c>
      <c r="L11" s="26">
        <f t="shared" si="4"/>
        <v>8.3333333333333329E-2</v>
      </c>
      <c r="M11" s="27">
        <f>'estab aut municipio x tip y cat'!BQ12</f>
        <v>4</v>
      </c>
      <c r="N11" s="26">
        <f t="shared" si="5"/>
        <v>2.3952095808383235E-2</v>
      </c>
      <c r="BG11" s="4">
        <v>0</v>
      </c>
    </row>
    <row r="12" spans="2:59" s="4" customFormat="1" x14ac:dyDescent="0.25">
      <c r="B12" s="24" t="str">
        <f>'estab aut municipio x tip y cat'!B13</f>
        <v>Buenavista del Norte</v>
      </c>
      <c r="C12" s="25">
        <f>'estab aut municipio x tip y cat'!C13</f>
        <v>116</v>
      </c>
      <c r="D12" s="26">
        <f t="shared" si="2"/>
        <v>3.7658669610102914E-3</v>
      </c>
      <c r="E12" s="27">
        <f>'estab aut municipio x tip y cat'!F13</f>
        <v>1</v>
      </c>
      <c r="F12" s="26">
        <f t="shared" si="3"/>
        <v>3.5087719298245615E-3</v>
      </c>
      <c r="G12" s="27">
        <f>'estab aut municipio x tip y cat'!AG13</f>
        <v>0</v>
      </c>
      <c r="H12" s="26">
        <f t="shared" si="0"/>
        <v>0</v>
      </c>
      <c r="I12" s="27">
        <f>'estab aut municipio x tip y cat'!BK13</f>
        <v>102</v>
      </c>
      <c r="J12" s="26">
        <f t="shared" si="1"/>
        <v>3.3897178558372934E-3</v>
      </c>
      <c r="K12" s="27">
        <f>'estab aut municipio x tip y cat'!BN13</f>
        <v>0</v>
      </c>
      <c r="L12" s="26">
        <f t="shared" si="4"/>
        <v>0</v>
      </c>
      <c r="M12" s="27">
        <f>'estab aut municipio x tip y cat'!BQ13</f>
        <v>13</v>
      </c>
      <c r="N12" s="26">
        <f t="shared" si="5"/>
        <v>7.7844311377245512E-2</v>
      </c>
      <c r="BG12" s="4">
        <v>0</v>
      </c>
    </row>
    <row r="13" spans="2:59" s="4" customFormat="1" x14ac:dyDescent="0.25">
      <c r="B13" s="24" t="str">
        <f>'estab aut municipio x tip y cat'!B14</f>
        <v xml:space="preserve">Candelaria </v>
      </c>
      <c r="C13" s="25">
        <f>'estab aut municipio x tip y cat'!C14</f>
        <v>645</v>
      </c>
      <c r="D13" s="26">
        <f t="shared" si="2"/>
        <v>2.093951887803136E-2</v>
      </c>
      <c r="E13" s="27">
        <f>'estab aut municipio x tip y cat'!F14</f>
        <v>2</v>
      </c>
      <c r="F13" s="26">
        <f t="shared" si="3"/>
        <v>7.0175438596491229E-3</v>
      </c>
      <c r="G13" s="27">
        <f>'estab aut municipio x tip y cat'!AG14</f>
        <v>3</v>
      </c>
      <c r="H13" s="26">
        <f t="shared" si="0"/>
        <v>1.2711864406779662E-2</v>
      </c>
      <c r="I13" s="27">
        <f>'estab aut municipio x tip y cat'!BK14</f>
        <v>639</v>
      </c>
      <c r="J13" s="26">
        <f t="shared" si="1"/>
        <v>2.1235585390980694E-2</v>
      </c>
      <c r="K13" s="27">
        <f>'estab aut municipio x tip y cat'!BN14</f>
        <v>0</v>
      </c>
      <c r="L13" s="26">
        <f t="shared" si="4"/>
        <v>0</v>
      </c>
      <c r="M13" s="27">
        <f>'estab aut municipio x tip y cat'!BQ14</f>
        <v>1</v>
      </c>
      <c r="N13" s="26">
        <f t="shared" si="5"/>
        <v>5.9880239520958087E-3</v>
      </c>
      <c r="BG13" s="4">
        <v>0</v>
      </c>
    </row>
    <row r="14" spans="2:59" s="4" customFormat="1" x14ac:dyDescent="0.25">
      <c r="B14" s="24" t="str">
        <f>'estab aut municipio x tip y cat'!B15</f>
        <v>Fasnia</v>
      </c>
      <c r="C14" s="25">
        <f>'estab aut municipio x tip y cat'!C15</f>
        <v>97</v>
      </c>
      <c r="D14" s="26">
        <f t="shared" si="2"/>
        <v>3.1490439242930885E-3</v>
      </c>
      <c r="E14" s="27">
        <f>'estab aut municipio x tip y cat'!F15</f>
        <v>0</v>
      </c>
      <c r="F14" s="26">
        <f t="shared" si="3"/>
        <v>0</v>
      </c>
      <c r="G14" s="27">
        <f>'estab aut municipio x tip y cat'!AG15</f>
        <v>1</v>
      </c>
      <c r="H14" s="26">
        <f t="shared" si="0"/>
        <v>4.2372881355932203E-3</v>
      </c>
      <c r="I14" s="27">
        <f>'estab aut municipio x tip y cat'!BK15</f>
        <v>89</v>
      </c>
      <c r="J14" s="26">
        <f t="shared" si="1"/>
        <v>2.9576949918580305E-3</v>
      </c>
      <c r="K14" s="27">
        <f>'estab aut municipio x tip y cat'!BN15</f>
        <v>0</v>
      </c>
      <c r="L14" s="26">
        <f t="shared" si="4"/>
        <v>0</v>
      </c>
      <c r="M14" s="27">
        <f>'estab aut municipio x tip y cat'!BQ15</f>
        <v>7</v>
      </c>
      <c r="N14" s="26">
        <f t="shared" si="5"/>
        <v>4.1916167664670656E-2</v>
      </c>
      <c r="BG14" s="4">
        <v>0</v>
      </c>
    </row>
    <row r="15" spans="2:59" s="4" customFormat="1" x14ac:dyDescent="0.25">
      <c r="B15" s="24" t="str">
        <f>'estab aut municipio x tip y cat'!B16</f>
        <v>Garachico</v>
      </c>
      <c r="C15" s="25">
        <f>'estab aut municipio x tip y cat'!C16</f>
        <v>233</v>
      </c>
      <c r="D15" s="26">
        <f t="shared" si="2"/>
        <v>7.5641982923741191E-3</v>
      </c>
      <c r="E15" s="27">
        <f>'estab aut municipio x tip y cat'!F16</f>
        <v>3</v>
      </c>
      <c r="F15" s="26">
        <f t="shared" si="3"/>
        <v>1.0526315789473684E-2</v>
      </c>
      <c r="G15" s="27">
        <f>'estab aut municipio x tip y cat'!AG16</f>
        <v>8</v>
      </c>
      <c r="H15" s="26">
        <f t="shared" si="0"/>
        <v>3.3898305084745763E-2</v>
      </c>
      <c r="I15" s="27">
        <f>'estab aut municipio x tip y cat'!BK16</f>
        <v>216</v>
      </c>
      <c r="J15" s="26">
        <f t="shared" si="1"/>
        <v>7.1782260476554449E-3</v>
      </c>
      <c r="K15" s="27">
        <f>'estab aut municipio x tip y cat'!BN16</f>
        <v>2</v>
      </c>
      <c r="L15" s="26">
        <f t="shared" si="4"/>
        <v>8.3333333333333329E-2</v>
      </c>
      <c r="M15" s="27">
        <f>'estab aut municipio x tip y cat'!BQ16</f>
        <v>4</v>
      </c>
      <c r="N15" s="26">
        <f t="shared" si="5"/>
        <v>2.3952095808383235E-2</v>
      </c>
      <c r="BG15" s="4">
        <v>4</v>
      </c>
    </row>
    <row r="16" spans="2:59" s="4" customFormat="1" x14ac:dyDescent="0.25">
      <c r="B16" s="24" t="str">
        <f>'estab aut municipio x tip y cat'!B17</f>
        <v>Granadilla de Abona</v>
      </c>
      <c r="C16" s="25">
        <f>'estab aut municipio x tip y cat'!C17</f>
        <v>2095</v>
      </c>
      <c r="D16" s="26">
        <f t="shared" si="2"/>
        <v>6.8012855890660001E-2</v>
      </c>
      <c r="E16" s="27">
        <f>'estab aut municipio x tip y cat'!F17</f>
        <v>8</v>
      </c>
      <c r="F16" s="26">
        <f t="shared" si="3"/>
        <v>2.8070175438596492E-2</v>
      </c>
      <c r="G16" s="27">
        <f>'estab aut municipio x tip y cat'!AG17</f>
        <v>8</v>
      </c>
      <c r="H16" s="26">
        <f t="shared" si="0"/>
        <v>3.3898305084745763E-2</v>
      </c>
      <c r="I16" s="27">
        <f>'estab aut municipio x tip y cat'!BK17</f>
        <v>2066</v>
      </c>
      <c r="J16" s="26">
        <f t="shared" si="1"/>
        <v>6.8658402844704397E-2</v>
      </c>
      <c r="K16" s="27">
        <f>'estab aut municipio x tip y cat'!BN17</f>
        <v>2</v>
      </c>
      <c r="L16" s="26">
        <f t="shared" si="4"/>
        <v>8.3333333333333329E-2</v>
      </c>
      <c r="M16" s="27">
        <f>'estab aut municipio x tip y cat'!BQ17</f>
        <v>11</v>
      </c>
      <c r="N16" s="26">
        <f t="shared" si="5"/>
        <v>6.5868263473053898E-2</v>
      </c>
      <c r="BG16" s="4">
        <v>6</v>
      </c>
    </row>
    <row r="17" spans="2:59" s="4" customFormat="1" x14ac:dyDescent="0.25">
      <c r="B17" s="24" t="str">
        <f>'estab aut municipio x tip y cat'!B18</f>
        <v>La Guancha</v>
      </c>
      <c r="C17" s="25">
        <f>'estab aut municipio x tip y cat'!C18</f>
        <v>102</v>
      </c>
      <c r="D17" s="26">
        <f t="shared" si="2"/>
        <v>3.3113657760607735E-3</v>
      </c>
      <c r="E17" s="27">
        <f>'estab aut municipio x tip y cat'!F18</f>
        <v>0</v>
      </c>
      <c r="F17" s="26">
        <f t="shared" si="3"/>
        <v>0</v>
      </c>
      <c r="G17" s="27">
        <f>'estab aut municipio x tip y cat'!AG18</f>
        <v>0</v>
      </c>
      <c r="H17" s="26">
        <f t="shared" si="0"/>
        <v>0</v>
      </c>
      <c r="I17" s="27">
        <f>'estab aut municipio x tip y cat'!BK18</f>
        <v>101</v>
      </c>
      <c r="J17" s="26">
        <f t="shared" si="1"/>
        <v>3.3564853278388886E-3</v>
      </c>
      <c r="K17" s="27">
        <f>'estab aut municipio x tip y cat'!BN18</f>
        <v>0</v>
      </c>
      <c r="L17" s="26">
        <f t="shared" si="4"/>
        <v>0</v>
      </c>
      <c r="M17" s="27">
        <f>'estab aut municipio x tip y cat'!BQ18</f>
        <v>1</v>
      </c>
      <c r="N17" s="26">
        <f t="shared" si="5"/>
        <v>5.9880239520958087E-3</v>
      </c>
      <c r="BG17" s="4">
        <v>0</v>
      </c>
    </row>
    <row r="18" spans="2:59" s="4" customFormat="1" x14ac:dyDescent="0.25">
      <c r="B18" s="24" t="str">
        <f>'estab aut municipio x tip y cat'!B19</f>
        <v>Guia de Isora</v>
      </c>
      <c r="C18" s="25">
        <f>'estab aut municipio x tip y cat'!C19</f>
        <v>890</v>
      </c>
      <c r="D18" s="26">
        <f t="shared" si="2"/>
        <v>2.8893289614647925E-2</v>
      </c>
      <c r="E18" s="27">
        <f>'estab aut municipio x tip y cat'!F19</f>
        <v>8</v>
      </c>
      <c r="F18" s="26">
        <f t="shared" si="3"/>
        <v>2.8070175438596492E-2</v>
      </c>
      <c r="G18" s="27">
        <f>'estab aut municipio x tip y cat'!AG19</f>
        <v>1</v>
      </c>
      <c r="H18" s="26">
        <f t="shared" si="0"/>
        <v>4.2372881355932203E-3</v>
      </c>
      <c r="I18" s="27">
        <f>'estab aut municipio x tip y cat'!BK19</f>
        <v>870</v>
      </c>
      <c r="J18" s="26">
        <f t="shared" si="1"/>
        <v>2.8912299358612208E-2</v>
      </c>
      <c r="K18" s="27">
        <f>'estab aut municipio x tip y cat'!BN19</f>
        <v>1</v>
      </c>
      <c r="L18" s="26">
        <f t="shared" si="4"/>
        <v>4.1666666666666664E-2</v>
      </c>
      <c r="M18" s="27">
        <f>'estab aut municipio x tip y cat'!BQ19</f>
        <v>10</v>
      </c>
      <c r="N18" s="26">
        <f t="shared" si="5"/>
        <v>5.9880239520958084E-2</v>
      </c>
      <c r="BG18" s="4">
        <v>0</v>
      </c>
    </row>
    <row r="19" spans="2:59" s="4" customFormat="1" x14ac:dyDescent="0.25">
      <c r="B19" s="24" t="str">
        <f>'estab aut municipio x tip y cat'!B20</f>
        <v>Güimar</v>
      </c>
      <c r="C19" s="25">
        <f>'estab aut municipio x tip y cat'!C20</f>
        <v>517</v>
      </c>
      <c r="D19" s="26">
        <f t="shared" si="2"/>
        <v>1.6784079472778626E-2</v>
      </c>
      <c r="E19" s="27">
        <f>'estab aut municipio x tip y cat'!F20</f>
        <v>1</v>
      </c>
      <c r="F19" s="26">
        <f t="shared" si="3"/>
        <v>3.5087719298245615E-3</v>
      </c>
      <c r="G19" s="27">
        <f>'estab aut municipio x tip y cat'!AG20</f>
        <v>1</v>
      </c>
      <c r="H19" s="26">
        <f t="shared" si="0"/>
        <v>4.2372881355932203E-3</v>
      </c>
      <c r="I19" s="27">
        <f>'estab aut municipio x tip y cat'!BK20</f>
        <v>506</v>
      </c>
      <c r="J19" s="26">
        <f t="shared" si="1"/>
        <v>1.681565916719285E-2</v>
      </c>
      <c r="K19" s="27">
        <f>'estab aut municipio x tip y cat'!BN20</f>
        <v>4</v>
      </c>
      <c r="L19" s="26">
        <f t="shared" si="4"/>
        <v>0.16666666666666666</v>
      </c>
      <c r="M19" s="27">
        <f>'estab aut municipio x tip y cat'!BQ20</f>
        <v>5</v>
      </c>
      <c r="N19" s="26">
        <f t="shared" si="5"/>
        <v>2.9940119760479042E-2</v>
      </c>
      <c r="BG19" s="4">
        <v>0</v>
      </c>
    </row>
    <row r="20" spans="2:59" s="4" customFormat="1" x14ac:dyDescent="0.25">
      <c r="B20" s="24" t="str">
        <f>'estab aut municipio x tip y cat'!B21</f>
        <v>Icod de los Vinos</v>
      </c>
      <c r="C20" s="25">
        <f>'estab aut municipio x tip y cat'!C21</f>
        <v>788</v>
      </c>
      <c r="D20" s="26">
        <f t="shared" si="2"/>
        <v>2.5581923838587151E-2</v>
      </c>
      <c r="E20" s="27">
        <f>'estab aut municipio x tip y cat'!F21</f>
        <v>3</v>
      </c>
      <c r="F20" s="26">
        <f t="shared" si="3"/>
        <v>1.0526315789473684E-2</v>
      </c>
      <c r="G20" s="27">
        <f>'estab aut municipio x tip y cat'!AG21</f>
        <v>3</v>
      </c>
      <c r="H20" s="26">
        <f t="shared" si="0"/>
        <v>1.2711864406779662E-2</v>
      </c>
      <c r="I20" s="27">
        <f>'estab aut municipio x tip y cat'!BK21</f>
        <v>761</v>
      </c>
      <c r="J20" s="26">
        <f t="shared" si="1"/>
        <v>2.5289953806786083E-2</v>
      </c>
      <c r="K20" s="27">
        <f>'estab aut municipio x tip y cat'!BN21</f>
        <v>0</v>
      </c>
      <c r="L20" s="26">
        <f t="shared" si="4"/>
        <v>0</v>
      </c>
      <c r="M20" s="27">
        <f>'estab aut municipio x tip y cat'!BQ21</f>
        <v>21</v>
      </c>
      <c r="N20" s="26">
        <f t="shared" si="5"/>
        <v>0.12574850299401197</v>
      </c>
      <c r="BG20" s="4">
        <v>0</v>
      </c>
    </row>
    <row r="21" spans="2:59" s="4" customFormat="1" x14ac:dyDescent="0.25">
      <c r="B21" s="24" t="str">
        <f>'estab aut municipio x tip y cat'!B22</f>
        <v>La Laguna</v>
      </c>
      <c r="C21" s="25">
        <f>'estab aut municipio x tip y cat'!C22</f>
        <v>1195</v>
      </c>
      <c r="D21" s="26">
        <f t="shared" si="2"/>
        <v>3.8794922572476707E-2</v>
      </c>
      <c r="E21" s="27">
        <f>'estab aut municipio x tip y cat'!F22</f>
        <v>16</v>
      </c>
      <c r="F21" s="26">
        <f t="shared" si="3"/>
        <v>5.6140350877192984E-2</v>
      </c>
      <c r="G21" s="27">
        <f>'estab aut municipio x tip y cat'!AG22</f>
        <v>7</v>
      </c>
      <c r="H21" s="26">
        <f t="shared" si="0"/>
        <v>2.9661016949152543E-2</v>
      </c>
      <c r="I21" s="27">
        <f>'estab aut municipio x tip y cat'!BK22</f>
        <v>1159</v>
      </c>
      <c r="J21" s="26">
        <f t="shared" si="1"/>
        <v>3.851649995015121E-2</v>
      </c>
      <c r="K21" s="27">
        <f>'estab aut municipio x tip y cat'!BN22</f>
        <v>1</v>
      </c>
      <c r="L21" s="26">
        <f t="shared" si="4"/>
        <v>4.1666666666666664E-2</v>
      </c>
      <c r="M21" s="27">
        <f>'estab aut municipio x tip y cat'!BQ22</f>
        <v>12</v>
      </c>
      <c r="N21" s="26">
        <f t="shared" si="5"/>
        <v>7.1856287425149698E-2</v>
      </c>
      <c r="BG21" s="4">
        <v>6</v>
      </c>
    </row>
    <row r="22" spans="2:59" s="4" customFormat="1" x14ac:dyDescent="0.25">
      <c r="B22" s="24" t="str">
        <f>'estab aut municipio x tip y cat'!B23</f>
        <v>La Matanza de Acentejo</v>
      </c>
      <c r="C22" s="25">
        <f>'estab aut municipio x tip y cat'!C23</f>
        <v>224</v>
      </c>
      <c r="D22" s="26">
        <f t="shared" si="2"/>
        <v>7.2720189591922862E-3</v>
      </c>
      <c r="E22" s="27">
        <f>'estab aut municipio x tip y cat'!F23</f>
        <v>0</v>
      </c>
      <c r="F22" s="26">
        <f t="shared" si="3"/>
        <v>0</v>
      </c>
      <c r="G22" s="27">
        <f>'estab aut municipio x tip y cat'!AG23</f>
        <v>0</v>
      </c>
      <c r="H22" s="26">
        <f t="shared" si="0"/>
        <v>0</v>
      </c>
      <c r="I22" s="27">
        <f>'estab aut municipio x tip y cat'!BK23</f>
        <v>219</v>
      </c>
      <c r="J22" s="26">
        <f t="shared" si="1"/>
        <v>7.2779236316506592E-3</v>
      </c>
      <c r="K22" s="27">
        <f>'estab aut municipio x tip y cat'!BN23</f>
        <v>0</v>
      </c>
      <c r="L22" s="26">
        <f t="shared" si="4"/>
        <v>0</v>
      </c>
      <c r="M22" s="27">
        <f>'estab aut municipio x tip y cat'!BQ23</f>
        <v>5</v>
      </c>
      <c r="N22" s="26">
        <f t="shared" si="5"/>
        <v>2.9940119760479042E-2</v>
      </c>
      <c r="BG22" s="4">
        <v>0</v>
      </c>
    </row>
    <row r="23" spans="2:59" s="4" customFormat="1" x14ac:dyDescent="0.25">
      <c r="B23" s="24" t="str">
        <f>'estab aut municipio x tip y cat'!B24</f>
        <v>La Orotava</v>
      </c>
      <c r="C23" s="25">
        <f>'estab aut municipio x tip y cat'!C24</f>
        <v>433</v>
      </c>
      <c r="D23" s="26">
        <f t="shared" si="2"/>
        <v>1.4057072363081518E-2</v>
      </c>
      <c r="E23" s="27">
        <f>'estab aut municipio x tip y cat'!F24</f>
        <v>5</v>
      </c>
      <c r="F23" s="26">
        <f t="shared" si="3"/>
        <v>1.7543859649122806E-2</v>
      </c>
      <c r="G23" s="27">
        <f>'estab aut municipio x tip y cat'!AG24</f>
        <v>3</v>
      </c>
      <c r="H23" s="26">
        <f t="shared" si="0"/>
        <v>1.2711864406779662E-2</v>
      </c>
      <c r="I23" s="27">
        <f>'estab aut municipio x tip y cat'!BK24</f>
        <v>415</v>
      </c>
      <c r="J23" s="26">
        <f t="shared" si="1"/>
        <v>1.3791499119338009E-2</v>
      </c>
      <c r="K23" s="27">
        <f>'estab aut municipio x tip y cat'!BN24</f>
        <v>1</v>
      </c>
      <c r="L23" s="26">
        <f t="shared" si="4"/>
        <v>4.1666666666666664E-2</v>
      </c>
      <c r="M23" s="27">
        <f>'estab aut municipio x tip y cat'!BQ24</f>
        <v>9</v>
      </c>
      <c r="N23" s="26">
        <f t="shared" si="5"/>
        <v>5.3892215568862277E-2</v>
      </c>
      <c r="BG23" s="4">
        <v>4</v>
      </c>
    </row>
    <row r="24" spans="2:59" s="4" customFormat="1" x14ac:dyDescent="0.25">
      <c r="B24" s="24" t="str">
        <f>'estab aut municipio x tip y cat'!B25</f>
        <v>Puerto de la Cruz</v>
      </c>
      <c r="C24" s="25">
        <f>'estab aut municipio x tip y cat'!C25</f>
        <v>2062</v>
      </c>
      <c r="D24" s="26">
        <f t="shared" si="2"/>
        <v>6.6941531668993276E-2</v>
      </c>
      <c r="E24" s="27">
        <f>'estab aut municipio x tip y cat'!F25</f>
        <v>62</v>
      </c>
      <c r="F24" s="26">
        <f t="shared" si="3"/>
        <v>0.21754385964912282</v>
      </c>
      <c r="G24" s="27">
        <f>'estab aut municipio x tip y cat'!AG25</f>
        <v>23</v>
      </c>
      <c r="H24" s="26">
        <f t="shared" si="0"/>
        <v>9.7457627118644072E-2</v>
      </c>
      <c r="I24" s="27">
        <f>'estab aut municipio x tip y cat'!BK25</f>
        <v>1976</v>
      </c>
      <c r="J24" s="26">
        <f t="shared" si="1"/>
        <v>6.5667475324847957E-2</v>
      </c>
      <c r="K24" s="27">
        <f>'estab aut municipio x tip y cat'!BN25</f>
        <v>0</v>
      </c>
      <c r="L24" s="26">
        <f t="shared" si="4"/>
        <v>0</v>
      </c>
      <c r="M24" s="27">
        <f>'estab aut municipio x tip y cat'!BQ25</f>
        <v>1</v>
      </c>
      <c r="N24" s="26">
        <f t="shared" si="5"/>
        <v>5.9880239520958087E-3</v>
      </c>
      <c r="BG24" s="4">
        <v>0</v>
      </c>
    </row>
    <row r="25" spans="2:59" s="4" customFormat="1" x14ac:dyDescent="0.25">
      <c r="B25" s="24" t="str">
        <f>'estab aut municipio x tip y cat'!B26</f>
        <v>Los Realejos</v>
      </c>
      <c r="C25" s="25">
        <f>'estab aut municipio x tip y cat'!C26</f>
        <v>381</v>
      </c>
      <c r="D25" s="26">
        <f t="shared" si="2"/>
        <v>1.2368925104697594E-2</v>
      </c>
      <c r="E25" s="27">
        <f>'estab aut municipio x tip y cat'!F26</f>
        <v>5</v>
      </c>
      <c r="F25" s="26">
        <f t="shared" si="3"/>
        <v>1.7543859649122806E-2</v>
      </c>
      <c r="G25" s="27">
        <f>'estab aut municipio x tip y cat'!AG26</f>
        <v>4</v>
      </c>
      <c r="H25" s="26">
        <f t="shared" si="0"/>
        <v>1.6949152542372881E-2</v>
      </c>
      <c r="I25" s="27">
        <f>'estab aut municipio x tip y cat'!BK26</f>
        <v>354</v>
      </c>
      <c r="J25" s="26">
        <f t="shared" si="1"/>
        <v>1.1764314911435312E-2</v>
      </c>
      <c r="K25" s="27">
        <f>'estab aut municipio x tip y cat'!BN26</f>
        <v>3</v>
      </c>
      <c r="L25" s="26">
        <f t="shared" si="4"/>
        <v>0.125</v>
      </c>
      <c r="M25" s="27">
        <f>'estab aut municipio x tip y cat'!BQ26</f>
        <v>15</v>
      </c>
      <c r="N25" s="26">
        <f t="shared" si="5"/>
        <v>8.9820359281437126E-2</v>
      </c>
      <c r="BG25" s="4">
        <v>0</v>
      </c>
    </row>
    <row r="26" spans="2:59" s="4" customFormat="1" x14ac:dyDescent="0.25">
      <c r="B26" s="24" t="str">
        <f>'estab aut municipio x tip y cat'!B27</f>
        <v>El Rosario</v>
      </c>
      <c r="C26" s="25">
        <f>'estab aut municipio x tip y cat'!C27</f>
        <v>450</v>
      </c>
      <c r="D26" s="26">
        <f t="shared" si="2"/>
        <v>1.4608966659091647E-2</v>
      </c>
      <c r="E26" s="27">
        <f>'estab aut municipio x tip y cat'!F27</f>
        <v>2</v>
      </c>
      <c r="F26" s="26">
        <f t="shared" si="3"/>
        <v>7.0175438596491229E-3</v>
      </c>
      <c r="G26" s="27">
        <f>'estab aut municipio x tip y cat'!AG27</f>
        <v>1</v>
      </c>
      <c r="H26" s="26">
        <f t="shared" si="0"/>
        <v>4.2372881355932203E-3</v>
      </c>
      <c r="I26" s="27">
        <f>'estab aut municipio x tip y cat'!BK27</f>
        <v>443</v>
      </c>
      <c r="J26" s="26">
        <f t="shared" si="1"/>
        <v>1.4722009903293344E-2</v>
      </c>
      <c r="K26" s="27">
        <f>'estab aut municipio x tip y cat'!BN27</f>
        <v>1</v>
      </c>
      <c r="L26" s="26">
        <f t="shared" si="4"/>
        <v>4.1666666666666664E-2</v>
      </c>
      <c r="M26" s="27">
        <f>'estab aut municipio x tip y cat'!BQ27</f>
        <v>3</v>
      </c>
      <c r="N26" s="26">
        <f t="shared" si="5"/>
        <v>1.7964071856287425E-2</v>
      </c>
      <c r="BG26" s="4">
        <v>7</v>
      </c>
    </row>
    <row r="27" spans="2:59" s="4" customFormat="1" x14ac:dyDescent="0.25">
      <c r="B27" s="24" t="str">
        <f>'estab aut municipio x tip y cat'!B28</f>
        <v>San Juan de la Rambla</v>
      </c>
      <c r="C27" s="25">
        <f>'estab aut municipio x tip y cat'!C28</f>
        <v>79</v>
      </c>
      <c r="D27" s="26">
        <f t="shared" si="2"/>
        <v>2.5646852579294223E-3</v>
      </c>
      <c r="E27" s="27">
        <f>'estab aut municipio x tip y cat'!F28</f>
        <v>0</v>
      </c>
      <c r="F27" s="26">
        <f t="shared" si="3"/>
        <v>0</v>
      </c>
      <c r="G27" s="27">
        <f>'estab aut municipio x tip y cat'!AG28</f>
        <v>3</v>
      </c>
      <c r="H27" s="26">
        <f t="shared" si="0"/>
        <v>1.2711864406779662E-2</v>
      </c>
      <c r="I27" s="27">
        <f>'estab aut municipio x tip y cat'!BK28</f>
        <v>72</v>
      </c>
      <c r="J27" s="26">
        <f t="shared" si="1"/>
        <v>2.3927420158851485E-3</v>
      </c>
      <c r="K27" s="27">
        <f>'estab aut municipio x tip y cat'!BN28</f>
        <v>1</v>
      </c>
      <c r="L27" s="26">
        <f t="shared" si="4"/>
        <v>4.1666666666666664E-2</v>
      </c>
      <c r="M27" s="27">
        <f>'estab aut municipio x tip y cat'!BQ28</f>
        <v>3</v>
      </c>
      <c r="N27" s="26">
        <f t="shared" si="5"/>
        <v>1.7964071856287425E-2</v>
      </c>
      <c r="BG27" s="4">
        <v>0</v>
      </c>
    </row>
    <row r="28" spans="2:59" s="4" customFormat="1" x14ac:dyDescent="0.25">
      <c r="B28" s="24" t="str">
        <f>'estab aut municipio x tip y cat'!B29</f>
        <v>San Miguel de Abona</v>
      </c>
      <c r="C28" s="25">
        <f>'estab aut municipio x tip y cat'!C29</f>
        <v>1539</v>
      </c>
      <c r="D28" s="26">
        <f t="shared" si="2"/>
        <v>4.9962665974093434E-2</v>
      </c>
      <c r="E28" s="27">
        <f>'estab aut municipio x tip y cat'!F29</f>
        <v>7</v>
      </c>
      <c r="F28" s="26">
        <f t="shared" si="3"/>
        <v>2.456140350877193E-2</v>
      </c>
      <c r="G28" s="27">
        <f>'estab aut municipio x tip y cat'!AG29</f>
        <v>14</v>
      </c>
      <c r="H28" s="26">
        <f>(D28/(D28-G28))-1</f>
        <v>-1.0035815435312296</v>
      </c>
      <c r="I28" s="27"/>
      <c r="J28" s="26">
        <f t="shared" si="1"/>
        <v>0</v>
      </c>
      <c r="K28" s="27">
        <f>'estab aut municipio x tip y cat'!BN29</f>
        <v>1</v>
      </c>
      <c r="L28" s="26">
        <f t="shared" si="4"/>
        <v>4.1666666666666664E-2</v>
      </c>
      <c r="M28" s="27">
        <f>'estab aut municipio x tip y cat'!BQ29</f>
        <v>3</v>
      </c>
      <c r="N28" s="26">
        <f t="shared" si="5"/>
        <v>1.7964071856287425E-2</v>
      </c>
      <c r="BG28" s="4">
        <v>0</v>
      </c>
    </row>
    <row r="29" spans="2:59" s="4" customFormat="1" x14ac:dyDescent="0.25">
      <c r="B29" s="24" t="str">
        <f>'estab aut municipio x tip y cat'!B30</f>
        <v>Santa Cruz De Tenerife</v>
      </c>
      <c r="C29" s="25">
        <f>'estab aut municipio x tip y cat'!C30</f>
        <v>2352</v>
      </c>
      <c r="D29" s="26">
        <f t="shared" si="2"/>
        <v>7.6356199071519013E-2</v>
      </c>
      <c r="E29" s="27">
        <f>'estab aut municipio x tip y cat'!F30</f>
        <v>34</v>
      </c>
      <c r="F29" s="26">
        <f t="shared" si="3"/>
        <v>0.11929824561403508</v>
      </c>
      <c r="G29" s="27">
        <f>'estab aut municipio x tip y cat'!AG30</f>
        <v>8</v>
      </c>
      <c r="H29" s="26" t="e">
        <f>VLOOKUP($D$1,'estab aut municipio x tip y cat'!$B$8:$BU$39,62+2,FALSE)</f>
        <v>#N/A</v>
      </c>
      <c r="I29" s="27">
        <f>'estab aut municipio x tip y cat'!BK30</f>
        <v>2307</v>
      </c>
      <c r="J29" s="26">
        <f t="shared" si="1"/>
        <v>7.666744209231996E-2</v>
      </c>
      <c r="K29" s="27">
        <f>'estab aut municipio x tip y cat'!BN30</f>
        <v>0</v>
      </c>
      <c r="L29" s="26">
        <f t="shared" si="4"/>
        <v>0</v>
      </c>
      <c r="M29" s="27">
        <f>'estab aut municipio x tip y cat'!BQ30</f>
        <v>3</v>
      </c>
      <c r="N29" s="26">
        <f t="shared" si="5"/>
        <v>1.7964071856287425E-2</v>
      </c>
      <c r="BG29" s="4">
        <v>6</v>
      </c>
    </row>
    <row r="30" spans="2:59" s="4" customFormat="1" x14ac:dyDescent="0.25">
      <c r="B30" s="24" t="str">
        <f>'estab aut municipio x tip y cat'!B31</f>
        <v>Santa Ursula</v>
      </c>
      <c r="C30" s="25">
        <f>'estab aut municipio x tip y cat'!C31</f>
        <v>415</v>
      </c>
      <c r="D30" s="26">
        <f t="shared" si="2"/>
        <v>1.3472713696717853E-2</v>
      </c>
      <c r="E30" s="27">
        <f>'estab aut municipio x tip y cat'!F31</f>
        <v>0</v>
      </c>
      <c r="F30" s="26">
        <f t="shared" si="3"/>
        <v>0</v>
      </c>
      <c r="G30" s="27">
        <f>'estab aut municipio x tip y cat'!AG31</f>
        <v>0</v>
      </c>
      <c r="H30" s="26">
        <f t="shared" si="0"/>
        <v>0</v>
      </c>
      <c r="I30" s="27">
        <f>'estab aut municipio x tip y cat'!BK31</f>
        <v>415</v>
      </c>
      <c r="J30" s="26">
        <f t="shared" si="1"/>
        <v>1.3791499119338009E-2</v>
      </c>
      <c r="K30" s="27">
        <f>'estab aut municipio x tip y cat'!BN31</f>
        <v>0</v>
      </c>
      <c r="L30" s="26">
        <f t="shared" si="4"/>
        <v>0</v>
      </c>
      <c r="M30" s="27">
        <f>'estab aut municipio x tip y cat'!BQ31</f>
        <v>0</v>
      </c>
      <c r="N30" s="26">
        <f t="shared" si="5"/>
        <v>0</v>
      </c>
      <c r="BG30" s="4">
        <v>0</v>
      </c>
    </row>
    <row r="31" spans="2:59" s="4" customFormat="1" x14ac:dyDescent="0.25">
      <c r="B31" s="24" t="str">
        <f>'estab aut municipio x tip y cat'!B32</f>
        <v>Santiago del Teide</v>
      </c>
      <c r="C31" s="25">
        <f>'estab aut municipio x tip y cat'!C32</f>
        <v>1544</v>
      </c>
      <c r="D31" s="26">
        <f t="shared" si="2"/>
        <v>5.0124987825861118E-2</v>
      </c>
      <c r="E31" s="27">
        <f>'estab aut municipio x tip y cat'!F32</f>
        <v>8</v>
      </c>
      <c r="F31" s="26">
        <f t="shared" si="3"/>
        <v>2.8070175438596492E-2</v>
      </c>
      <c r="G31" s="27">
        <f>'estab aut municipio x tip y cat'!AG32</f>
        <v>15</v>
      </c>
      <c r="H31" s="26">
        <f t="shared" si="0"/>
        <v>6.3559322033898302E-2</v>
      </c>
      <c r="I31" s="27">
        <f>'estab aut municipio x tip y cat'!BK32</f>
        <v>1521</v>
      </c>
      <c r="J31" s="26">
        <f t="shared" si="1"/>
        <v>5.0546675085573763E-2</v>
      </c>
      <c r="K31" s="27">
        <f>'estab aut municipio x tip y cat'!BN32</f>
        <v>0</v>
      </c>
      <c r="L31" s="26">
        <f t="shared" si="4"/>
        <v>0</v>
      </c>
      <c r="M31" s="27">
        <f>'estab aut municipio x tip y cat'!BQ32</f>
        <v>0</v>
      </c>
      <c r="N31" s="26">
        <f t="shared" si="5"/>
        <v>0</v>
      </c>
      <c r="BG31" s="4">
        <v>0</v>
      </c>
    </row>
    <row r="32" spans="2:59" s="4" customFormat="1" x14ac:dyDescent="0.25">
      <c r="B32" s="24" t="str">
        <f>'estab aut municipio x tip y cat'!B33</f>
        <v>El Sauzal</v>
      </c>
      <c r="C32" s="25">
        <f>'estab aut municipio x tip y cat'!C33</f>
        <v>161</v>
      </c>
      <c r="D32" s="26">
        <f t="shared" si="2"/>
        <v>5.2267636269194562E-3</v>
      </c>
      <c r="E32" s="27">
        <f>'estab aut municipio x tip y cat'!F33</f>
        <v>1</v>
      </c>
      <c r="F32" s="26">
        <f t="shared" si="3"/>
        <v>3.5087719298245615E-3</v>
      </c>
      <c r="G32" s="27">
        <f>'estab aut municipio x tip y cat'!AG33</f>
        <v>0</v>
      </c>
      <c r="H32" s="26">
        <f t="shared" si="0"/>
        <v>0</v>
      </c>
      <c r="I32" s="27">
        <f>'estab aut municipio x tip y cat'!BK33</f>
        <v>157</v>
      </c>
      <c r="J32" s="26">
        <f t="shared" si="1"/>
        <v>5.2175068957495598E-3</v>
      </c>
      <c r="K32" s="27">
        <f>'estab aut municipio x tip y cat'!BN33</f>
        <v>1</v>
      </c>
      <c r="L32" s="26">
        <f t="shared" si="4"/>
        <v>4.1666666666666664E-2</v>
      </c>
      <c r="M32" s="27">
        <f>'estab aut municipio x tip y cat'!BQ33</f>
        <v>2</v>
      </c>
      <c r="N32" s="26">
        <f t="shared" si="5"/>
        <v>1.1976047904191617E-2</v>
      </c>
      <c r="BG32" s="4">
        <v>0</v>
      </c>
    </row>
    <row r="33" spans="1:59" s="4" customFormat="1" x14ac:dyDescent="0.25">
      <c r="B33" s="24" t="str">
        <f>'estab aut municipio x tip y cat'!B34</f>
        <v>Los Silos</v>
      </c>
      <c r="C33" s="25">
        <f>'estab aut municipio x tip y cat'!C34</f>
        <v>139</v>
      </c>
      <c r="D33" s="26">
        <f t="shared" si="2"/>
        <v>4.5125474791416417E-3</v>
      </c>
      <c r="E33" s="27">
        <f>'estab aut municipio x tip y cat'!F34</f>
        <v>1</v>
      </c>
      <c r="F33" s="26">
        <f t="shared" si="3"/>
        <v>3.5087719298245615E-3</v>
      </c>
      <c r="G33" s="27">
        <f>'estab aut municipio x tip y cat'!AG34</f>
        <v>2</v>
      </c>
      <c r="H33" s="26">
        <f t="shared" si="0"/>
        <v>8.4745762711864406E-3</v>
      </c>
      <c r="I33" s="27">
        <f>'estab aut municipio x tip y cat'!BK34</f>
        <v>133</v>
      </c>
      <c r="J33" s="26">
        <f t="shared" si="1"/>
        <v>4.4199262237878435E-3</v>
      </c>
      <c r="K33" s="27">
        <f>'estab aut municipio x tip y cat'!BN34</f>
        <v>1</v>
      </c>
      <c r="L33" s="26">
        <f t="shared" si="4"/>
        <v>4.1666666666666664E-2</v>
      </c>
      <c r="M33" s="27">
        <f>'estab aut municipio x tip y cat'!BQ34</f>
        <v>2</v>
      </c>
      <c r="N33" s="26">
        <f t="shared" si="5"/>
        <v>1.1976047904191617E-2</v>
      </c>
      <c r="BG33" s="4">
        <v>10</v>
      </c>
    </row>
    <row r="34" spans="1:59" s="4" customFormat="1" x14ac:dyDescent="0.25">
      <c r="B34" s="24" t="str">
        <f>'estab aut municipio x tip y cat'!B35</f>
        <v>Tacoronte</v>
      </c>
      <c r="C34" s="25">
        <f>'estab aut municipio x tip y cat'!C35</f>
        <v>455</v>
      </c>
      <c r="D34" s="26">
        <f t="shared" si="2"/>
        <v>1.4771288510859333E-2</v>
      </c>
      <c r="E34" s="27">
        <f>'estab aut municipio x tip y cat'!F35</f>
        <v>1</v>
      </c>
      <c r="F34" s="26">
        <f t="shared" si="3"/>
        <v>3.5087719298245615E-3</v>
      </c>
      <c r="G34" s="27">
        <f>'estab aut municipio x tip y cat'!AG35</f>
        <v>1</v>
      </c>
      <c r="H34" s="26">
        <f t="shared" si="0"/>
        <v>4.2372881355932203E-3</v>
      </c>
      <c r="I34" s="27">
        <f>'estab aut municipio x tip y cat'!BK35</f>
        <v>448</v>
      </c>
      <c r="J34" s="26">
        <f t="shared" si="1"/>
        <v>1.4888172543285368E-2</v>
      </c>
      <c r="K34" s="27">
        <f>'estab aut municipio x tip y cat'!BN35</f>
        <v>0</v>
      </c>
      <c r="L34" s="26">
        <f t="shared" si="4"/>
        <v>0</v>
      </c>
      <c r="M34" s="27">
        <f>'estab aut municipio x tip y cat'!BQ35</f>
        <v>5</v>
      </c>
      <c r="N34" s="26">
        <f t="shared" si="5"/>
        <v>2.9940119760479042E-2</v>
      </c>
      <c r="BG34" s="4">
        <v>0</v>
      </c>
    </row>
    <row r="35" spans="1:59" s="4" customFormat="1" x14ac:dyDescent="0.25">
      <c r="B35" s="24" t="str">
        <f>'estab aut municipio x tip y cat'!B36</f>
        <v>Tanque</v>
      </c>
      <c r="C35" s="25">
        <f>'estab aut municipio x tip y cat'!C36</f>
        <v>73</v>
      </c>
      <c r="D35" s="26">
        <f t="shared" si="2"/>
        <v>2.3698990358082006E-3</v>
      </c>
      <c r="E35" s="27">
        <f>'estab aut municipio x tip y cat'!F36</f>
        <v>0</v>
      </c>
      <c r="F35" s="26">
        <f t="shared" si="3"/>
        <v>0</v>
      </c>
      <c r="G35" s="27">
        <f>'estab aut municipio x tip y cat'!AG36</f>
        <v>1</v>
      </c>
      <c r="H35" s="26">
        <f t="shared" si="0"/>
        <v>4.2372881355932203E-3</v>
      </c>
      <c r="I35" s="27">
        <f>'estab aut municipio x tip y cat'!BK36</f>
        <v>68</v>
      </c>
      <c r="J35" s="26">
        <f t="shared" si="1"/>
        <v>2.2598119038915289E-3</v>
      </c>
      <c r="K35" s="27">
        <f>'estab aut municipio x tip y cat'!BN36</f>
        <v>1</v>
      </c>
      <c r="L35" s="26">
        <f t="shared" si="4"/>
        <v>4.1666666666666664E-2</v>
      </c>
      <c r="M35" s="27">
        <f>'estab aut municipio x tip y cat'!BQ36</f>
        <v>3</v>
      </c>
      <c r="N35" s="26">
        <f t="shared" si="5"/>
        <v>1.7964071856287425E-2</v>
      </c>
      <c r="BG35" s="4">
        <v>0</v>
      </c>
    </row>
    <row r="36" spans="1:59" s="4" customFormat="1" x14ac:dyDescent="0.25">
      <c r="B36" s="24" t="str">
        <f>'estab aut municipio x tip y cat'!B37</f>
        <v>Tegueste</v>
      </c>
      <c r="C36" s="25">
        <f>'estab aut municipio x tip y cat'!C37</f>
        <v>92</v>
      </c>
      <c r="D36" s="26">
        <f t="shared" si="2"/>
        <v>2.9867220725254035E-3</v>
      </c>
      <c r="E36" s="27">
        <f>'estab aut municipio x tip y cat'!F37</f>
        <v>1</v>
      </c>
      <c r="F36" s="26">
        <f t="shared" si="3"/>
        <v>3.5087719298245615E-3</v>
      </c>
      <c r="G36" s="27">
        <f>'estab aut municipio x tip y cat'!AG37</f>
        <v>3</v>
      </c>
      <c r="H36" s="26">
        <f t="shared" si="0"/>
        <v>1.2711864406779662E-2</v>
      </c>
      <c r="I36" s="27">
        <f>'estab aut municipio x tip y cat'!BK37</f>
        <v>85</v>
      </c>
      <c r="J36" s="26">
        <f t="shared" si="1"/>
        <v>2.8247648798644114E-3</v>
      </c>
      <c r="K36" s="27">
        <f>'estab aut municipio x tip y cat'!BN37</f>
        <v>0</v>
      </c>
      <c r="L36" s="26">
        <f t="shared" si="4"/>
        <v>0</v>
      </c>
      <c r="M36" s="27">
        <f>'estab aut municipio x tip y cat'!BQ37</f>
        <v>3</v>
      </c>
      <c r="N36" s="26">
        <f t="shared" si="5"/>
        <v>1.7964071856287425E-2</v>
      </c>
      <c r="BG36" s="4">
        <v>7</v>
      </c>
    </row>
    <row r="37" spans="1:59" s="4" customFormat="1" x14ac:dyDescent="0.25">
      <c r="B37" s="24" t="str">
        <f>'estab aut municipio x tip y cat'!B38</f>
        <v>La Victoria de Acentejo</v>
      </c>
      <c r="C37" s="25">
        <f>'estab aut municipio x tip y cat'!C38</f>
        <v>80</v>
      </c>
      <c r="D37" s="26">
        <f t="shared" si="2"/>
        <v>2.5971496282829595E-3</v>
      </c>
      <c r="E37" s="27">
        <f>'estab aut municipio x tip y cat'!F38</f>
        <v>0</v>
      </c>
      <c r="F37" s="26">
        <f t="shared" si="3"/>
        <v>0</v>
      </c>
      <c r="G37" s="27">
        <f>'estab aut municipio x tip y cat'!AG38</f>
        <v>0</v>
      </c>
      <c r="H37" s="26">
        <f t="shared" si="0"/>
        <v>0</v>
      </c>
      <c r="I37" s="27">
        <f>'estab aut municipio x tip y cat'!BK38</f>
        <v>79</v>
      </c>
      <c r="J37" s="26">
        <f t="shared" si="1"/>
        <v>2.6253697118739823E-3</v>
      </c>
      <c r="K37" s="27">
        <f>'estab aut municipio x tip y cat'!BN38</f>
        <v>0</v>
      </c>
      <c r="L37" s="26">
        <f t="shared" si="4"/>
        <v>0</v>
      </c>
      <c r="M37" s="27">
        <f>'estab aut municipio x tip y cat'!BQ38</f>
        <v>1</v>
      </c>
      <c r="N37" s="26">
        <f t="shared" si="5"/>
        <v>5.9880239520958087E-3</v>
      </c>
      <c r="BG37" s="4">
        <v>0</v>
      </c>
    </row>
    <row r="38" spans="1:59" s="4" customFormat="1" x14ac:dyDescent="0.25">
      <c r="B38" s="24" t="str">
        <f>'estab aut municipio x tip y cat'!B39</f>
        <v>Vilaflor</v>
      </c>
      <c r="C38" s="25">
        <f>'estab aut municipio x tip y cat'!C39</f>
        <v>86</v>
      </c>
      <c r="D38" s="26">
        <f t="shared" si="2"/>
        <v>2.7919358504041813E-3</v>
      </c>
      <c r="E38" s="27">
        <f>'estab aut municipio x tip y cat'!F39</f>
        <v>4</v>
      </c>
      <c r="F38" s="26">
        <f t="shared" si="3"/>
        <v>1.4035087719298246E-2</v>
      </c>
      <c r="G38" s="27">
        <f>'estab aut municipio x tip y cat'!AG39</f>
        <v>1</v>
      </c>
      <c r="H38" s="26">
        <f t="shared" si="0"/>
        <v>4.2372881355932203E-3</v>
      </c>
      <c r="I38" s="27">
        <f>'estab aut municipio x tip y cat'!BK39</f>
        <v>79</v>
      </c>
      <c r="J38" s="26">
        <f t="shared" si="1"/>
        <v>2.6253697118739823E-3</v>
      </c>
      <c r="K38" s="27">
        <f>'estab aut municipio x tip y cat'!BN39</f>
        <v>1</v>
      </c>
      <c r="L38" s="26">
        <f t="shared" si="4"/>
        <v>4.1666666666666664E-2</v>
      </c>
      <c r="M38" s="27">
        <f>'estab aut municipio x tip y cat'!BQ39</f>
        <v>1</v>
      </c>
      <c r="N38" s="26">
        <f t="shared" si="5"/>
        <v>5.9880239520958087E-3</v>
      </c>
      <c r="BG38" s="4">
        <v>6</v>
      </c>
    </row>
    <row r="39" spans="1:59" s="4" customFormat="1" ht="15" customHeight="1" x14ac:dyDescent="0.25">
      <c r="B39" s="24"/>
      <c r="C39" s="25"/>
      <c r="D39" s="26"/>
      <c r="E39" s="27"/>
      <c r="F39" s="26"/>
      <c r="G39" s="27"/>
      <c r="H39" s="26"/>
      <c r="I39" s="27"/>
      <c r="J39" s="26"/>
      <c r="K39" s="27"/>
      <c r="L39" s="26"/>
      <c r="M39" s="27"/>
      <c r="N39" s="26"/>
      <c r="BG39" s="4">
        <v>0</v>
      </c>
    </row>
    <row r="40" spans="1:59" s="4" customFormat="1" ht="6" customHeight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</row>
    <row r="41" spans="1:59" s="4" customFormat="1" ht="23.25" customHeight="1" x14ac:dyDescent="0.25">
      <c r="B41" s="34" t="s">
        <v>55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5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5"/>
      <c r="N42" s="4"/>
      <c r="O42" s="4"/>
    </row>
  </sheetData>
  <mergeCells count="9">
    <mergeCell ref="B41:N41"/>
    <mergeCell ref="B3:N3"/>
    <mergeCell ref="B5:B6"/>
    <mergeCell ref="C5:D5"/>
    <mergeCell ref="E5:F5"/>
    <mergeCell ref="G5:H5"/>
    <mergeCell ref="I5:J5"/>
    <mergeCell ref="K5:L5"/>
    <mergeCell ref="M5:N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8C9E-D70F-4721-A4C6-2898700E893D}">
  <sheetPr>
    <tabColor rgb="FF92D050"/>
  </sheetPr>
  <dimension ref="A1:CD85"/>
  <sheetViews>
    <sheetView showGridLines="0" zoomScaleNormal="100" workbookViewId="0">
      <pane xSplit="2" ySplit="7" topLeftCell="C8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baseColWidth="10" defaultRowHeight="15" x14ac:dyDescent="0.25"/>
  <cols>
    <col min="1" max="1" width="17.7109375" customWidth="1"/>
    <col min="2" max="2" width="23" customWidth="1"/>
    <col min="3" max="71" width="8.42578125" customWidth="1"/>
  </cols>
  <sheetData>
    <row r="1" spans="1:82" ht="30" customHeight="1" x14ac:dyDescent="0.25">
      <c r="F1" s="1"/>
      <c r="H1" s="1"/>
      <c r="I1" s="1"/>
      <c r="K1" s="1"/>
      <c r="L1" s="1"/>
      <c r="N1" s="36"/>
      <c r="O1" s="36"/>
      <c r="Q1" s="1"/>
      <c r="R1" s="1"/>
      <c r="T1" s="1"/>
      <c r="U1" s="1"/>
      <c r="W1" s="1"/>
      <c r="X1" s="1"/>
      <c r="Z1" s="1"/>
      <c r="AA1" s="1"/>
      <c r="AC1" s="1"/>
      <c r="AD1" s="1"/>
      <c r="AF1" s="1"/>
      <c r="AG1" s="1"/>
      <c r="AI1" s="1"/>
      <c r="AJ1" s="1"/>
      <c r="AL1" s="1"/>
      <c r="AM1" s="1"/>
      <c r="AO1" s="1"/>
      <c r="AP1" s="1"/>
      <c r="AR1" s="1"/>
      <c r="AS1" s="1"/>
      <c r="AU1" s="1"/>
      <c r="AV1" s="1"/>
      <c r="AX1" s="1"/>
      <c r="AY1" s="1"/>
      <c r="BA1" s="1"/>
      <c r="BB1" s="1"/>
      <c r="BD1" s="1"/>
      <c r="BE1" s="1"/>
      <c r="BG1" s="1"/>
      <c r="BH1" s="1"/>
      <c r="BJ1" s="1"/>
      <c r="BK1" s="1"/>
      <c r="BM1" s="1"/>
      <c r="BN1" s="1"/>
      <c r="BP1" s="1"/>
      <c r="BQ1" s="1"/>
      <c r="BS1" s="1"/>
      <c r="BT1" s="37"/>
      <c r="BU1" s="37"/>
      <c r="BV1" s="37"/>
      <c r="BW1" s="37"/>
      <c r="BX1" s="37"/>
      <c r="BY1" s="37"/>
      <c r="BZ1" s="37"/>
      <c r="CA1" s="37"/>
      <c r="CB1" s="37"/>
      <c r="CC1" s="127"/>
    </row>
    <row r="3" spans="1:82" s="4" customFormat="1" ht="56.25" customHeight="1" thickBot="1" x14ac:dyDescent="0.3">
      <c r="B3" s="13" t="s">
        <v>162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</row>
    <row r="4" spans="1:82" s="4" customFormat="1" ht="6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</row>
    <row r="5" spans="1:82" s="4" customFormat="1" x14ac:dyDescent="0.25">
      <c r="B5" s="42"/>
      <c r="C5" s="54" t="s">
        <v>17</v>
      </c>
      <c r="D5" s="54"/>
      <c r="E5" s="54"/>
      <c r="F5" s="44" t="s">
        <v>60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6" t="s">
        <v>61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8" t="s">
        <v>18</v>
      </c>
      <c r="BL5" s="49"/>
      <c r="BM5" s="49"/>
      <c r="BN5" s="50" t="s">
        <v>19</v>
      </c>
      <c r="BO5" s="51"/>
      <c r="BP5" s="52"/>
      <c r="BQ5" s="48" t="s">
        <v>20</v>
      </c>
      <c r="BR5" s="49"/>
      <c r="BS5" s="49"/>
    </row>
    <row r="6" spans="1:82" s="4" customFormat="1" x14ac:dyDescent="0.25">
      <c r="B6" s="15" t="s">
        <v>16</v>
      </c>
      <c r="C6" s="54"/>
      <c r="D6" s="54"/>
      <c r="E6" s="54"/>
      <c r="F6" s="16" t="s">
        <v>63</v>
      </c>
      <c r="G6" s="15"/>
      <c r="H6" s="17"/>
      <c r="I6" s="16" t="s">
        <v>64</v>
      </c>
      <c r="J6" s="15"/>
      <c r="K6" s="17"/>
      <c r="L6" s="16" t="s">
        <v>65</v>
      </c>
      <c r="M6" s="15"/>
      <c r="N6" s="17"/>
      <c r="O6" s="16" t="s">
        <v>66</v>
      </c>
      <c r="P6" s="15"/>
      <c r="Q6" s="17"/>
      <c r="R6" s="16" t="s">
        <v>67</v>
      </c>
      <c r="S6" s="15"/>
      <c r="T6" s="17"/>
      <c r="U6" s="16" t="s">
        <v>68</v>
      </c>
      <c r="V6" s="15"/>
      <c r="W6" s="17"/>
      <c r="X6" s="16" t="s">
        <v>69</v>
      </c>
      <c r="Y6" s="15"/>
      <c r="Z6" s="17"/>
      <c r="AA6" s="16" t="s">
        <v>70</v>
      </c>
      <c r="AB6" s="15"/>
      <c r="AC6" s="17"/>
      <c r="AD6" s="16" t="s">
        <v>71</v>
      </c>
      <c r="AE6" s="15"/>
      <c r="AF6" s="15"/>
      <c r="AG6" s="50" t="s">
        <v>72</v>
      </c>
      <c r="AH6" s="51"/>
      <c r="AI6" s="52"/>
      <c r="AJ6" s="50" t="s">
        <v>73</v>
      </c>
      <c r="AK6" s="51"/>
      <c r="AL6" s="52"/>
      <c r="AM6" s="50" t="s">
        <v>74</v>
      </c>
      <c r="AN6" s="51"/>
      <c r="AO6" s="52"/>
      <c r="AP6" s="50" t="s">
        <v>75</v>
      </c>
      <c r="AQ6" s="51"/>
      <c r="AR6" s="52"/>
      <c r="AS6" s="50" t="s">
        <v>76</v>
      </c>
      <c r="AT6" s="51"/>
      <c r="AU6" s="52"/>
      <c r="AV6" s="50" t="s">
        <v>66</v>
      </c>
      <c r="AW6" s="51"/>
      <c r="AX6" s="52"/>
      <c r="AY6" s="50" t="s">
        <v>67</v>
      </c>
      <c r="AZ6" s="51"/>
      <c r="BA6" s="52"/>
      <c r="BB6" s="50" t="s">
        <v>68</v>
      </c>
      <c r="BC6" s="51"/>
      <c r="BD6" s="52"/>
      <c r="BE6" s="50" t="s">
        <v>77</v>
      </c>
      <c r="BF6" s="51"/>
      <c r="BG6" s="52"/>
      <c r="BH6" s="50" t="s">
        <v>78</v>
      </c>
      <c r="BI6" s="51"/>
      <c r="BJ6" s="51"/>
      <c r="BK6" s="56"/>
      <c r="BL6" s="15"/>
      <c r="BM6" s="15"/>
      <c r="BN6" s="57"/>
      <c r="BO6" s="54"/>
      <c r="BP6" s="58"/>
      <c r="BQ6" s="56"/>
      <c r="BR6" s="15"/>
      <c r="BS6" s="15"/>
      <c r="BT6" s="59" t="s">
        <v>145</v>
      </c>
      <c r="BU6" s="60"/>
      <c r="BW6" s="59" t="s">
        <v>80</v>
      </c>
      <c r="BX6" s="60"/>
    </row>
    <row r="7" spans="1:82" s="4" customFormat="1" ht="72.75" customHeight="1" x14ac:dyDescent="0.25">
      <c r="B7" s="15"/>
      <c r="C7" s="61" t="s">
        <v>21</v>
      </c>
      <c r="D7" s="62" t="s">
        <v>81</v>
      </c>
      <c r="E7" s="63" t="s">
        <v>82</v>
      </c>
      <c r="F7" s="18" t="s">
        <v>21</v>
      </c>
      <c r="G7" s="64" t="s">
        <v>81</v>
      </c>
      <c r="H7" s="19" t="s">
        <v>82</v>
      </c>
      <c r="I7" s="18" t="s">
        <v>21</v>
      </c>
      <c r="J7" s="64" t="s">
        <v>81</v>
      </c>
      <c r="K7" s="19" t="s">
        <v>82</v>
      </c>
      <c r="L7" s="18" t="s">
        <v>21</v>
      </c>
      <c r="M7" s="64" t="s">
        <v>81</v>
      </c>
      <c r="N7" s="19" t="s">
        <v>82</v>
      </c>
      <c r="O7" s="18" t="s">
        <v>21</v>
      </c>
      <c r="P7" s="64" t="s">
        <v>81</v>
      </c>
      <c r="Q7" s="19" t="s">
        <v>82</v>
      </c>
      <c r="R7" s="18" t="s">
        <v>21</v>
      </c>
      <c r="S7" s="64" t="s">
        <v>81</v>
      </c>
      <c r="T7" s="19" t="s">
        <v>82</v>
      </c>
      <c r="U7" s="18" t="s">
        <v>21</v>
      </c>
      <c r="V7" s="64" t="s">
        <v>81</v>
      </c>
      <c r="W7" s="19" t="s">
        <v>82</v>
      </c>
      <c r="X7" s="18" t="s">
        <v>21</v>
      </c>
      <c r="Y7" s="64" t="s">
        <v>81</v>
      </c>
      <c r="Z7" s="19" t="s">
        <v>82</v>
      </c>
      <c r="AA7" s="18" t="s">
        <v>21</v>
      </c>
      <c r="AB7" s="64" t="s">
        <v>81</v>
      </c>
      <c r="AC7" s="19" t="s">
        <v>82</v>
      </c>
      <c r="AD7" s="18" t="s">
        <v>21</v>
      </c>
      <c r="AE7" s="64" t="s">
        <v>81</v>
      </c>
      <c r="AF7" s="65" t="s">
        <v>82</v>
      </c>
      <c r="AG7" s="66" t="s">
        <v>21</v>
      </c>
      <c r="AH7" s="67" t="s">
        <v>81</v>
      </c>
      <c r="AI7" s="68" t="s">
        <v>82</v>
      </c>
      <c r="AJ7" s="66" t="s">
        <v>21</v>
      </c>
      <c r="AK7" s="67" t="s">
        <v>81</v>
      </c>
      <c r="AL7" s="68" t="s">
        <v>82</v>
      </c>
      <c r="AM7" s="66" t="s">
        <v>21</v>
      </c>
      <c r="AN7" s="67" t="s">
        <v>81</v>
      </c>
      <c r="AO7" s="68" t="s">
        <v>82</v>
      </c>
      <c r="AP7" s="66" t="s">
        <v>21</v>
      </c>
      <c r="AQ7" s="67" t="s">
        <v>81</v>
      </c>
      <c r="AR7" s="68" t="s">
        <v>82</v>
      </c>
      <c r="AS7" s="66" t="s">
        <v>21</v>
      </c>
      <c r="AT7" s="67" t="s">
        <v>81</v>
      </c>
      <c r="AU7" s="68" t="s">
        <v>82</v>
      </c>
      <c r="AV7" s="66" t="s">
        <v>21</v>
      </c>
      <c r="AW7" s="67" t="s">
        <v>81</v>
      </c>
      <c r="AX7" s="68" t="s">
        <v>82</v>
      </c>
      <c r="AY7" s="66" t="s">
        <v>21</v>
      </c>
      <c r="AZ7" s="67" t="s">
        <v>81</v>
      </c>
      <c r="BA7" s="68" t="s">
        <v>82</v>
      </c>
      <c r="BB7" s="66" t="s">
        <v>21</v>
      </c>
      <c r="BC7" s="67" t="s">
        <v>81</v>
      </c>
      <c r="BD7" s="68" t="s">
        <v>82</v>
      </c>
      <c r="BE7" s="66" t="s">
        <v>21</v>
      </c>
      <c r="BF7" s="67" t="s">
        <v>81</v>
      </c>
      <c r="BG7" s="68" t="s">
        <v>82</v>
      </c>
      <c r="BH7" s="66" t="s">
        <v>21</v>
      </c>
      <c r="BI7" s="67" t="s">
        <v>81</v>
      </c>
      <c r="BJ7" s="69" t="s">
        <v>82</v>
      </c>
      <c r="BK7" s="70" t="s">
        <v>21</v>
      </c>
      <c r="BL7" s="64" t="s">
        <v>81</v>
      </c>
      <c r="BM7" s="71" t="s">
        <v>82</v>
      </c>
      <c r="BN7" s="72" t="s">
        <v>21</v>
      </c>
      <c r="BO7" s="62" t="s">
        <v>81</v>
      </c>
      <c r="BP7" s="63" t="s">
        <v>82</v>
      </c>
      <c r="BQ7" s="18" t="s">
        <v>21</v>
      </c>
      <c r="BR7" s="64" t="s">
        <v>81</v>
      </c>
      <c r="BS7" s="19" t="s">
        <v>82</v>
      </c>
      <c r="BU7" s="4" t="s">
        <v>83</v>
      </c>
      <c r="BV7" s="4" t="s">
        <v>21</v>
      </c>
      <c r="BX7" s="4" t="s">
        <v>83</v>
      </c>
      <c r="BY7" s="4" t="s">
        <v>21</v>
      </c>
    </row>
    <row r="8" spans="1:82" s="23" customFormat="1" ht="15.75" x14ac:dyDescent="0.25">
      <c r="B8" s="20" t="s">
        <v>23</v>
      </c>
      <c r="C8" s="21">
        <f t="shared" ref="C8:D39" si="0">F8+AG8+BK8+BN8+BQ8</f>
        <v>30803</v>
      </c>
      <c r="D8" s="75">
        <f>G8+AH8+BL8+BO8+BR8</f>
        <v>2611</v>
      </c>
      <c r="E8" s="74">
        <f>C8/(C8-D8)-1</f>
        <v>9.2614926220204286E-2</v>
      </c>
      <c r="F8" s="21">
        <v>285</v>
      </c>
      <c r="G8" s="75">
        <v>5</v>
      </c>
      <c r="H8" s="74">
        <v>1.7857142857142794E-2</v>
      </c>
      <c r="I8" s="21">
        <v>43</v>
      </c>
      <c r="J8" s="75">
        <v>0</v>
      </c>
      <c r="K8" s="22">
        <v>0</v>
      </c>
      <c r="L8" s="21">
        <v>31</v>
      </c>
      <c r="M8" s="75">
        <v>1</v>
      </c>
      <c r="N8" s="22">
        <v>3.3333333333333437E-2</v>
      </c>
      <c r="O8" s="21">
        <v>52</v>
      </c>
      <c r="P8" s="75">
        <v>-1</v>
      </c>
      <c r="Q8" s="22">
        <v>-1.8867924528301883E-2</v>
      </c>
      <c r="R8" s="21">
        <v>112</v>
      </c>
      <c r="S8" s="75">
        <v>0</v>
      </c>
      <c r="T8" s="22">
        <v>0</v>
      </c>
      <c r="U8" s="21">
        <v>18</v>
      </c>
      <c r="V8" s="75">
        <v>0</v>
      </c>
      <c r="W8" s="22">
        <v>0</v>
      </c>
      <c r="X8" s="21">
        <v>4</v>
      </c>
      <c r="Y8" s="75">
        <v>0</v>
      </c>
      <c r="Z8" s="22">
        <v>0</v>
      </c>
      <c r="AA8" s="21">
        <v>9</v>
      </c>
      <c r="AB8" s="75">
        <v>0</v>
      </c>
      <c r="AC8" s="22">
        <v>0</v>
      </c>
      <c r="AD8" s="21">
        <v>11</v>
      </c>
      <c r="AE8" s="75">
        <v>1</v>
      </c>
      <c r="AF8" s="22">
        <v>0.10000000000000009</v>
      </c>
      <c r="AG8" s="21">
        <v>236</v>
      </c>
      <c r="AH8" s="75">
        <v>0</v>
      </c>
      <c r="AI8" s="22">
        <v>0</v>
      </c>
      <c r="AJ8" s="21">
        <v>45</v>
      </c>
      <c r="AK8" s="75">
        <v>0</v>
      </c>
      <c r="AL8" s="22">
        <v>0</v>
      </c>
      <c r="AM8" s="21">
        <v>50</v>
      </c>
      <c r="AN8" s="75">
        <v>-2</v>
      </c>
      <c r="AO8" s="22">
        <v>-3.8461538461538436E-2</v>
      </c>
      <c r="AP8" s="21">
        <v>41</v>
      </c>
      <c r="AQ8" s="75">
        <v>-1</v>
      </c>
      <c r="AR8" s="22">
        <v>-2.3809523809523836E-2</v>
      </c>
      <c r="AS8" s="21">
        <v>1</v>
      </c>
      <c r="AT8" s="75">
        <v>0</v>
      </c>
      <c r="AU8" s="22">
        <v>0</v>
      </c>
      <c r="AV8" s="21">
        <v>25</v>
      </c>
      <c r="AW8" s="75">
        <v>1</v>
      </c>
      <c r="AX8" s="22">
        <v>4.1666666666666741E-2</v>
      </c>
      <c r="AY8" s="21">
        <v>9</v>
      </c>
      <c r="AZ8" s="75">
        <v>0</v>
      </c>
      <c r="BA8" s="22">
        <v>0</v>
      </c>
      <c r="BB8" s="21">
        <v>5</v>
      </c>
      <c r="BC8" s="75">
        <v>0</v>
      </c>
      <c r="BD8" s="22">
        <v>0</v>
      </c>
      <c r="BE8" s="21">
        <v>42</v>
      </c>
      <c r="BF8" s="75">
        <v>2</v>
      </c>
      <c r="BG8" s="22">
        <v>5.0000000000000044E-2</v>
      </c>
      <c r="BH8" s="21">
        <v>18</v>
      </c>
      <c r="BI8" s="75">
        <v>0</v>
      </c>
      <c r="BJ8" s="22">
        <v>0</v>
      </c>
      <c r="BK8" s="21">
        <f>SUM(BK9:BK40)</f>
        <v>30091</v>
      </c>
      <c r="BL8" s="75">
        <f>BU8-BX8</f>
        <v>2606</v>
      </c>
      <c r="BM8" s="22">
        <f t="shared" ref="BM8:BM39" si="1">BU8/BX8-1</f>
        <v>9.4784316578162553E-2</v>
      </c>
      <c r="BN8" s="21">
        <v>24</v>
      </c>
      <c r="BO8" s="75">
        <v>-1</v>
      </c>
      <c r="BP8" s="22">
        <v>-4.0000000000000036E-2</v>
      </c>
      <c r="BQ8" s="21">
        <v>167</v>
      </c>
      <c r="BR8" s="75">
        <v>1</v>
      </c>
      <c r="BS8" s="22">
        <v>1.2121212121212199E-2</v>
      </c>
      <c r="BT8" s="76" t="s">
        <v>84</v>
      </c>
      <c r="BU8" s="77">
        <v>30100</v>
      </c>
      <c r="BV8" s="77">
        <v>125912</v>
      </c>
      <c r="BW8" s="76" t="s">
        <v>84</v>
      </c>
      <c r="BX8" s="77">
        <v>27494</v>
      </c>
      <c r="BY8" s="77">
        <v>114294</v>
      </c>
      <c r="BZ8" s="4"/>
      <c r="CB8" s="128"/>
      <c r="CC8" s="129"/>
      <c r="CD8" s="129"/>
    </row>
    <row r="9" spans="1:82" s="4" customFormat="1" x14ac:dyDescent="0.25">
      <c r="A9" s="28"/>
      <c r="B9" s="24" t="s">
        <v>24</v>
      </c>
      <c r="C9" s="25">
        <f t="shared" si="0"/>
        <v>5907</v>
      </c>
      <c r="D9" s="29">
        <f t="shared" si="0"/>
        <v>674</v>
      </c>
      <c r="E9" s="78">
        <f t="shared" ref="E9:E39" si="2">C9/(C9-D9)-1</f>
        <v>0.12879801261226831</v>
      </c>
      <c r="F9" s="25">
        <v>67</v>
      </c>
      <c r="G9" s="29">
        <v>-1</v>
      </c>
      <c r="H9" s="78">
        <v>-1.4705882352941124E-2</v>
      </c>
      <c r="I9" s="27">
        <v>6</v>
      </c>
      <c r="J9" s="29">
        <v>0</v>
      </c>
      <c r="K9" s="78">
        <v>0</v>
      </c>
      <c r="L9" s="27">
        <v>1</v>
      </c>
      <c r="M9" s="29">
        <v>0</v>
      </c>
      <c r="N9" s="78">
        <v>0</v>
      </c>
      <c r="O9" s="27">
        <v>8</v>
      </c>
      <c r="P9" s="29">
        <v>0</v>
      </c>
      <c r="Q9" s="78">
        <v>0</v>
      </c>
      <c r="R9" s="27">
        <v>34</v>
      </c>
      <c r="S9" s="29">
        <v>0</v>
      </c>
      <c r="T9" s="78">
        <v>0</v>
      </c>
      <c r="U9" s="27">
        <v>10</v>
      </c>
      <c r="V9" s="29">
        <v>-1</v>
      </c>
      <c r="W9" s="78">
        <v>-9.0909090909090939E-2</v>
      </c>
      <c r="X9" s="27">
        <v>2</v>
      </c>
      <c r="Y9" s="29">
        <v>0</v>
      </c>
      <c r="Z9" s="78">
        <v>0</v>
      </c>
      <c r="AA9" s="27">
        <v>6</v>
      </c>
      <c r="AB9" s="29">
        <v>0</v>
      </c>
      <c r="AC9" s="78">
        <v>0</v>
      </c>
      <c r="AD9" s="27">
        <v>0</v>
      </c>
      <c r="AE9" s="29">
        <v>0</v>
      </c>
      <c r="AF9" s="78" t="s">
        <v>158</v>
      </c>
      <c r="AG9" s="27">
        <v>50</v>
      </c>
      <c r="AH9" s="29">
        <v>0</v>
      </c>
      <c r="AI9" s="78">
        <v>0</v>
      </c>
      <c r="AJ9" s="27">
        <v>5</v>
      </c>
      <c r="AK9" s="29">
        <v>0</v>
      </c>
      <c r="AL9" s="78">
        <v>0</v>
      </c>
      <c r="AM9" s="27">
        <v>17</v>
      </c>
      <c r="AN9" s="29">
        <v>0</v>
      </c>
      <c r="AO9" s="78">
        <v>0</v>
      </c>
      <c r="AP9" s="27">
        <v>11</v>
      </c>
      <c r="AQ9" s="29">
        <v>0</v>
      </c>
      <c r="AR9" s="78">
        <v>0</v>
      </c>
      <c r="AS9" s="27">
        <v>0</v>
      </c>
      <c r="AT9" s="29">
        <v>0</v>
      </c>
      <c r="AU9" s="78" t="s">
        <v>158</v>
      </c>
      <c r="AV9" s="27">
        <v>10</v>
      </c>
      <c r="AW9" s="29">
        <v>0</v>
      </c>
      <c r="AX9" s="78">
        <v>0</v>
      </c>
      <c r="AY9" s="27">
        <v>1</v>
      </c>
      <c r="AZ9" s="29">
        <v>0</v>
      </c>
      <c r="BA9" s="78">
        <v>0</v>
      </c>
      <c r="BB9" s="27">
        <v>1</v>
      </c>
      <c r="BC9" s="29">
        <v>0</v>
      </c>
      <c r="BD9" s="78">
        <v>0</v>
      </c>
      <c r="BE9" s="27">
        <v>1</v>
      </c>
      <c r="BF9" s="29">
        <v>0</v>
      </c>
      <c r="BG9" s="78">
        <v>0</v>
      </c>
      <c r="BH9" s="27">
        <v>4</v>
      </c>
      <c r="BI9" s="29">
        <v>0</v>
      </c>
      <c r="BJ9" s="78">
        <v>0</v>
      </c>
      <c r="BK9" s="27">
        <f>BU9</f>
        <v>5786</v>
      </c>
      <c r="BL9" s="29">
        <f t="shared" ref="BL9:BL38" si="3">BU9-BX9</f>
        <v>675</v>
      </c>
      <c r="BM9" s="78">
        <f t="shared" si="1"/>
        <v>0.13206808843670514</v>
      </c>
      <c r="BN9" s="27">
        <v>1</v>
      </c>
      <c r="BO9" s="29">
        <v>0</v>
      </c>
      <c r="BP9" s="78">
        <v>0</v>
      </c>
      <c r="BQ9" s="27">
        <v>3</v>
      </c>
      <c r="BR9" s="29">
        <v>0</v>
      </c>
      <c r="BS9" s="78">
        <v>0</v>
      </c>
      <c r="BT9" s="79" t="s">
        <v>24</v>
      </c>
      <c r="BU9" s="35">
        <v>5786</v>
      </c>
      <c r="BV9" s="35">
        <v>24543</v>
      </c>
      <c r="BW9" s="79" t="s">
        <v>24</v>
      </c>
      <c r="BX9">
        <v>5111</v>
      </c>
      <c r="BY9" s="35">
        <v>21833</v>
      </c>
      <c r="CB9" s="79"/>
      <c r="CC9"/>
      <c r="CD9"/>
    </row>
    <row r="10" spans="1:82" s="4" customFormat="1" x14ac:dyDescent="0.25">
      <c r="A10" s="28"/>
      <c r="B10" s="24" t="s">
        <v>25</v>
      </c>
      <c r="C10" s="25">
        <f t="shared" si="0"/>
        <v>75</v>
      </c>
      <c r="D10" s="29">
        <f t="shared" si="0"/>
        <v>6</v>
      </c>
      <c r="E10" s="78">
        <f t="shared" si="2"/>
        <v>8.6956521739130377E-2</v>
      </c>
      <c r="F10" s="25">
        <v>0</v>
      </c>
      <c r="G10" s="29">
        <v>0</v>
      </c>
      <c r="H10" s="78" t="s">
        <v>158</v>
      </c>
      <c r="I10" s="27">
        <v>0</v>
      </c>
      <c r="J10" s="29">
        <v>0</v>
      </c>
      <c r="K10" s="78" t="s">
        <v>158</v>
      </c>
      <c r="L10" s="27">
        <v>0</v>
      </c>
      <c r="M10" s="29">
        <v>0</v>
      </c>
      <c r="N10" s="78" t="s">
        <v>158</v>
      </c>
      <c r="O10" s="27">
        <v>0</v>
      </c>
      <c r="P10" s="29">
        <v>0</v>
      </c>
      <c r="Q10" s="78" t="s">
        <v>158</v>
      </c>
      <c r="R10" s="27">
        <v>0</v>
      </c>
      <c r="S10" s="29">
        <v>0</v>
      </c>
      <c r="T10" s="78" t="s">
        <v>158</v>
      </c>
      <c r="U10" s="27">
        <v>0</v>
      </c>
      <c r="V10" s="29">
        <v>0</v>
      </c>
      <c r="W10" s="78" t="s">
        <v>158</v>
      </c>
      <c r="X10" s="27">
        <v>0</v>
      </c>
      <c r="Y10" s="29">
        <v>0</v>
      </c>
      <c r="Z10" s="78" t="s">
        <v>158</v>
      </c>
      <c r="AA10" s="27">
        <v>0</v>
      </c>
      <c r="AB10" s="29">
        <v>0</v>
      </c>
      <c r="AC10" s="78" t="s">
        <v>158</v>
      </c>
      <c r="AD10" s="27">
        <v>0</v>
      </c>
      <c r="AE10" s="29">
        <v>0</v>
      </c>
      <c r="AF10" s="78" t="s">
        <v>158</v>
      </c>
      <c r="AG10" s="27">
        <v>0</v>
      </c>
      <c r="AH10" s="29">
        <v>0</v>
      </c>
      <c r="AI10" s="78" t="s">
        <v>158</v>
      </c>
      <c r="AJ10" s="27">
        <v>0</v>
      </c>
      <c r="AK10" s="29">
        <v>0</v>
      </c>
      <c r="AL10" s="78" t="s">
        <v>158</v>
      </c>
      <c r="AM10" s="27">
        <v>0</v>
      </c>
      <c r="AN10" s="29">
        <v>0</v>
      </c>
      <c r="AO10" s="78" t="s">
        <v>158</v>
      </c>
      <c r="AP10" s="27">
        <v>0</v>
      </c>
      <c r="AQ10" s="29">
        <v>0</v>
      </c>
      <c r="AR10" s="78" t="s">
        <v>158</v>
      </c>
      <c r="AS10" s="27">
        <v>0</v>
      </c>
      <c r="AT10" s="29">
        <v>0</v>
      </c>
      <c r="AU10" s="78" t="s">
        <v>158</v>
      </c>
      <c r="AV10" s="27">
        <v>0</v>
      </c>
      <c r="AW10" s="29">
        <v>0</v>
      </c>
      <c r="AX10" s="78" t="s">
        <v>158</v>
      </c>
      <c r="AY10" s="27">
        <v>0</v>
      </c>
      <c r="AZ10" s="29">
        <v>0</v>
      </c>
      <c r="BA10" s="78" t="s">
        <v>158</v>
      </c>
      <c r="BB10" s="27">
        <v>0</v>
      </c>
      <c r="BC10" s="29">
        <v>0</v>
      </c>
      <c r="BD10" s="78" t="s">
        <v>158</v>
      </c>
      <c r="BE10" s="27">
        <v>0</v>
      </c>
      <c r="BF10" s="29">
        <v>0</v>
      </c>
      <c r="BG10" s="78" t="s">
        <v>158</v>
      </c>
      <c r="BH10" s="27">
        <v>0</v>
      </c>
      <c r="BI10" s="29">
        <v>0</v>
      </c>
      <c r="BJ10" s="78" t="s">
        <v>158</v>
      </c>
      <c r="BK10" s="27">
        <f t="shared" ref="BK10:BK39" si="4">BU10</f>
        <v>72</v>
      </c>
      <c r="BL10" s="29">
        <f t="shared" si="3"/>
        <v>6</v>
      </c>
      <c r="BM10" s="78">
        <f t="shared" si="1"/>
        <v>9.0909090909090828E-2</v>
      </c>
      <c r="BN10" s="27">
        <v>0</v>
      </c>
      <c r="BO10" s="29">
        <v>0</v>
      </c>
      <c r="BP10" s="78" t="s">
        <v>158</v>
      </c>
      <c r="BQ10" s="27">
        <v>3</v>
      </c>
      <c r="BR10" s="29">
        <v>0</v>
      </c>
      <c r="BS10" s="78">
        <v>0</v>
      </c>
      <c r="BT10" s="79" t="s">
        <v>25</v>
      </c>
      <c r="BU10" s="35">
        <v>72</v>
      </c>
      <c r="BV10" s="35">
        <v>363</v>
      </c>
      <c r="BW10" s="79" t="s">
        <v>25</v>
      </c>
      <c r="BX10">
        <v>66</v>
      </c>
      <c r="BY10" s="35">
        <v>345</v>
      </c>
      <c r="CB10" s="79"/>
      <c r="CC10"/>
      <c r="CD10"/>
    </row>
    <row r="11" spans="1:82" s="4" customFormat="1" x14ac:dyDescent="0.25">
      <c r="A11" s="28"/>
      <c r="B11" s="24" t="s">
        <v>26</v>
      </c>
      <c r="C11" s="25">
        <f t="shared" si="0"/>
        <v>791</v>
      </c>
      <c r="D11" s="29">
        <f t="shared" si="0"/>
        <v>42</v>
      </c>
      <c r="E11" s="78">
        <f t="shared" si="2"/>
        <v>5.6074766355140193E-2</v>
      </c>
      <c r="F11" s="25">
        <v>1</v>
      </c>
      <c r="G11" s="29">
        <v>0</v>
      </c>
      <c r="H11" s="78">
        <v>0</v>
      </c>
      <c r="I11" s="27">
        <v>0</v>
      </c>
      <c r="J11" s="29">
        <v>0</v>
      </c>
      <c r="K11" s="78" t="s">
        <v>158</v>
      </c>
      <c r="L11" s="27">
        <v>1</v>
      </c>
      <c r="M11" s="29">
        <v>0</v>
      </c>
      <c r="N11" s="78">
        <v>0</v>
      </c>
      <c r="O11" s="27">
        <v>0</v>
      </c>
      <c r="P11" s="29">
        <v>0</v>
      </c>
      <c r="Q11" s="78" t="s">
        <v>158</v>
      </c>
      <c r="R11" s="27">
        <v>0</v>
      </c>
      <c r="S11" s="29">
        <v>0</v>
      </c>
      <c r="T11" s="78" t="s">
        <v>158</v>
      </c>
      <c r="U11" s="27">
        <v>0</v>
      </c>
      <c r="V11" s="29">
        <v>0</v>
      </c>
      <c r="W11" s="78" t="s">
        <v>158</v>
      </c>
      <c r="X11" s="27">
        <v>0</v>
      </c>
      <c r="Y11" s="29">
        <v>0</v>
      </c>
      <c r="Z11" s="78" t="s">
        <v>158</v>
      </c>
      <c r="AA11" s="27">
        <v>0</v>
      </c>
      <c r="AB11" s="29">
        <v>0</v>
      </c>
      <c r="AC11" s="78" t="s">
        <v>158</v>
      </c>
      <c r="AD11" s="27">
        <v>0</v>
      </c>
      <c r="AE11" s="29">
        <v>0</v>
      </c>
      <c r="AF11" s="78" t="s">
        <v>158</v>
      </c>
      <c r="AG11" s="27">
        <v>6</v>
      </c>
      <c r="AH11" s="29">
        <v>0</v>
      </c>
      <c r="AI11" s="78">
        <v>0</v>
      </c>
      <c r="AJ11" s="27">
        <v>0</v>
      </c>
      <c r="AK11" s="29">
        <v>0</v>
      </c>
      <c r="AL11" s="78" t="s">
        <v>158</v>
      </c>
      <c r="AM11" s="27">
        <v>0</v>
      </c>
      <c r="AN11" s="29">
        <v>0</v>
      </c>
      <c r="AO11" s="78" t="s">
        <v>158</v>
      </c>
      <c r="AP11" s="27">
        <v>0</v>
      </c>
      <c r="AQ11" s="29">
        <v>0</v>
      </c>
      <c r="AR11" s="78" t="s">
        <v>158</v>
      </c>
      <c r="AS11" s="27">
        <v>0</v>
      </c>
      <c r="AT11" s="29">
        <v>0</v>
      </c>
      <c r="AU11" s="78" t="s">
        <v>158</v>
      </c>
      <c r="AV11" s="27">
        <v>0</v>
      </c>
      <c r="AW11" s="29">
        <v>0</v>
      </c>
      <c r="AX11" s="78" t="s">
        <v>158</v>
      </c>
      <c r="AY11" s="27">
        <v>0</v>
      </c>
      <c r="AZ11" s="29">
        <v>0</v>
      </c>
      <c r="BA11" s="78" t="s">
        <v>158</v>
      </c>
      <c r="BB11" s="27">
        <v>0</v>
      </c>
      <c r="BC11" s="29">
        <v>0</v>
      </c>
      <c r="BD11" s="78" t="s">
        <v>158</v>
      </c>
      <c r="BE11" s="27">
        <v>1</v>
      </c>
      <c r="BF11" s="29">
        <v>0</v>
      </c>
      <c r="BG11" s="78">
        <v>0</v>
      </c>
      <c r="BH11" s="27">
        <v>5</v>
      </c>
      <c r="BI11" s="29">
        <v>0</v>
      </c>
      <c r="BJ11" s="78">
        <v>0</v>
      </c>
      <c r="BK11" s="27">
        <f t="shared" si="4"/>
        <v>771</v>
      </c>
      <c r="BL11" s="29">
        <f t="shared" si="3"/>
        <v>42</v>
      </c>
      <c r="BM11" s="78">
        <f t="shared" si="1"/>
        <v>5.7613168724279795E-2</v>
      </c>
      <c r="BN11" s="27">
        <v>0</v>
      </c>
      <c r="BO11" s="29">
        <v>0</v>
      </c>
      <c r="BP11" s="78" t="s">
        <v>158</v>
      </c>
      <c r="BQ11" s="27">
        <v>13</v>
      </c>
      <c r="BR11" s="29">
        <v>0</v>
      </c>
      <c r="BS11" s="78">
        <v>0</v>
      </c>
      <c r="BT11" s="79" t="s">
        <v>26</v>
      </c>
      <c r="BU11" s="35">
        <v>771</v>
      </c>
      <c r="BV11" s="35">
        <v>3494</v>
      </c>
      <c r="BW11" s="79" t="s">
        <v>26</v>
      </c>
      <c r="BX11">
        <v>729</v>
      </c>
      <c r="BY11" s="35">
        <v>3300</v>
      </c>
      <c r="CB11" s="79"/>
      <c r="CC11"/>
      <c r="CD11"/>
    </row>
    <row r="12" spans="1:82" s="4" customFormat="1" x14ac:dyDescent="0.25">
      <c r="A12" s="28"/>
      <c r="B12" s="24" t="s">
        <v>27</v>
      </c>
      <c r="C12" s="25">
        <f t="shared" si="0"/>
        <v>6787</v>
      </c>
      <c r="D12" s="29">
        <f t="shared" si="0"/>
        <v>611</v>
      </c>
      <c r="E12" s="78">
        <f t="shared" si="2"/>
        <v>9.8931347150259086E-2</v>
      </c>
      <c r="F12" s="25">
        <v>44</v>
      </c>
      <c r="G12" s="29">
        <v>0</v>
      </c>
      <c r="H12" s="78">
        <v>0</v>
      </c>
      <c r="I12" s="27">
        <v>10</v>
      </c>
      <c r="J12" s="29">
        <v>0</v>
      </c>
      <c r="K12" s="78">
        <v>0</v>
      </c>
      <c r="L12" s="27">
        <v>2</v>
      </c>
      <c r="M12" s="29">
        <v>0</v>
      </c>
      <c r="N12" s="78">
        <v>0</v>
      </c>
      <c r="O12" s="27">
        <v>6</v>
      </c>
      <c r="P12" s="29">
        <v>-1</v>
      </c>
      <c r="Q12" s="78">
        <v>-0.1428571428571429</v>
      </c>
      <c r="R12" s="27">
        <v>21</v>
      </c>
      <c r="S12" s="29">
        <v>0</v>
      </c>
      <c r="T12" s="78">
        <v>0</v>
      </c>
      <c r="U12" s="27">
        <v>3</v>
      </c>
      <c r="V12" s="29">
        <v>0</v>
      </c>
      <c r="W12" s="78">
        <v>0</v>
      </c>
      <c r="X12" s="27">
        <v>0</v>
      </c>
      <c r="Y12" s="29">
        <v>0</v>
      </c>
      <c r="Z12" s="78" t="s">
        <v>158</v>
      </c>
      <c r="AA12" s="27">
        <v>1</v>
      </c>
      <c r="AB12" s="29">
        <v>0</v>
      </c>
      <c r="AC12" s="78">
        <v>0</v>
      </c>
      <c r="AD12" s="27">
        <v>1</v>
      </c>
      <c r="AE12" s="29">
        <v>1</v>
      </c>
      <c r="AF12" s="78" t="s">
        <v>158</v>
      </c>
      <c r="AG12" s="27">
        <v>69</v>
      </c>
      <c r="AH12" s="29">
        <v>0</v>
      </c>
      <c r="AI12" s="78">
        <v>0</v>
      </c>
      <c r="AJ12" s="27">
        <v>19</v>
      </c>
      <c r="AK12" s="29">
        <v>0</v>
      </c>
      <c r="AL12" s="78">
        <v>0</v>
      </c>
      <c r="AM12" s="27">
        <v>20</v>
      </c>
      <c r="AN12" s="29">
        <v>-1</v>
      </c>
      <c r="AO12" s="78">
        <v>-4.7619047619047672E-2</v>
      </c>
      <c r="AP12" s="27">
        <v>17</v>
      </c>
      <c r="AQ12" s="29">
        <v>1</v>
      </c>
      <c r="AR12" s="78">
        <v>6.25E-2</v>
      </c>
      <c r="AS12" s="27">
        <v>1</v>
      </c>
      <c r="AT12" s="29">
        <v>0</v>
      </c>
      <c r="AU12" s="78">
        <v>0</v>
      </c>
      <c r="AV12" s="27">
        <v>9</v>
      </c>
      <c r="AW12" s="29">
        <v>0</v>
      </c>
      <c r="AX12" s="78">
        <v>0</v>
      </c>
      <c r="AY12" s="27">
        <v>3</v>
      </c>
      <c r="AZ12" s="29">
        <v>0</v>
      </c>
      <c r="BA12" s="78">
        <v>0</v>
      </c>
      <c r="BB12" s="27">
        <v>0</v>
      </c>
      <c r="BC12" s="29">
        <v>0</v>
      </c>
      <c r="BD12" s="78" t="s">
        <v>158</v>
      </c>
      <c r="BE12" s="27">
        <v>0</v>
      </c>
      <c r="BF12" s="29">
        <v>0</v>
      </c>
      <c r="BG12" s="78" t="s">
        <v>158</v>
      </c>
      <c r="BH12" s="27">
        <v>0</v>
      </c>
      <c r="BI12" s="29">
        <v>0</v>
      </c>
      <c r="BJ12" s="78" t="s">
        <v>158</v>
      </c>
      <c r="BK12" s="27">
        <f t="shared" si="4"/>
        <v>6668</v>
      </c>
      <c r="BL12" s="29">
        <f t="shared" si="3"/>
        <v>611</v>
      </c>
      <c r="BM12" s="78">
        <f t="shared" si="1"/>
        <v>0.10087502063727927</v>
      </c>
      <c r="BN12" s="27">
        <v>2</v>
      </c>
      <c r="BO12" s="29">
        <v>0</v>
      </c>
      <c r="BP12" s="78">
        <v>0</v>
      </c>
      <c r="BQ12" s="27">
        <v>4</v>
      </c>
      <c r="BR12" s="29">
        <v>0</v>
      </c>
      <c r="BS12" s="78">
        <v>0</v>
      </c>
      <c r="BT12" s="79" t="s">
        <v>27</v>
      </c>
      <c r="BU12" s="35">
        <v>6668</v>
      </c>
      <c r="BV12" s="35">
        <v>25033</v>
      </c>
      <c r="BW12" s="79" t="s">
        <v>27</v>
      </c>
      <c r="BX12">
        <v>6057</v>
      </c>
      <c r="BY12" s="35">
        <v>22787</v>
      </c>
      <c r="CB12" s="79"/>
      <c r="CC12"/>
      <c r="CD12"/>
    </row>
    <row r="13" spans="1:82" s="4" customFormat="1" x14ac:dyDescent="0.25">
      <c r="A13" s="80"/>
      <c r="B13" s="24" t="s">
        <v>28</v>
      </c>
      <c r="C13" s="25">
        <f t="shared" si="0"/>
        <v>116</v>
      </c>
      <c r="D13" s="29">
        <f t="shared" si="0"/>
        <v>19</v>
      </c>
      <c r="E13" s="78">
        <f t="shared" si="2"/>
        <v>0.19587628865979378</v>
      </c>
      <c r="F13" s="25">
        <v>1</v>
      </c>
      <c r="G13" s="29">
        <v>0</v>
      </c>
      <c r="H13" s="78">
        <v>0</v>
      </c>
      <c r="I13" s="27">
        <v>0</v>
      </c>
      <c r="J13" s="29">
        <v>0</v>
      </c>
      <c r="K13" s="78" t="s">
        <v>158</v>
      </c>
      <c r="L13" s="27">
        <v>0</v>
      </c>
      <c r="M13" s="29">
        <v>0</v>
      </c>
      <c r="N13" s="78" t="s">
        <v>158</v>
      </c>
      <c r="O13" s="27">
        <v>0</v>
      </c>
      <c r="P13" s="29">
        <v>0</v>
      </c>
      <c r="Q13" s="78" t="s">
        <v>158</v>
      </c>
      <c r="R13" s="27">
        <v>0</v>
      </c>
      <c r="S13" s="29">
        <v>0</v>
      </c>
      <c r="T13" s="78" t="s">
        <v>158</v>
      </c>
      <c r="U13" s="27">
        <v>0</v>
      </c>
      <c r="V13" s="29">
        <v>0</v>
      </c>
      <c r="W13" s="78" t="s">
        <v>158</v>
      </c>
      <c r="X13" s="27">
        <v>0</v>
      </c>
      <c r="Y13" s="29">
        <v>0</v>
      </c>
      <c r="Z13" s="78" t="s">
        <v>158</v>
      </c>
      <c r="AA13" s="27">
        <v>1</v>
      </c>
      <c r="AB13" s="29">
        <v>0</v>
      </c>
      <c r="AC13" s="78">
        <v>0</v>
      </c>
      <c r="AD13" s="27">
        <v>0</v>
      </c>
      <c r="AE13" s="29">
        <v>0</v>
      </c>
      <c r="AF13" s="78" t="s">
        <v>158</v>
      </c>
      <c r="AG13" s="27">
        <v>0</v>
      </c>
      <c r="AH13" s="29">
        <v>0</v>
      </c>
      <c r="AI13" s="78" t="s">
        <v>158</v>
      </c>
      <c r="AJ13" s="27">
        <v>0</v>
      </c>
      <c r="AK13" s="29">
        <v>0</v>
      </c>
      <c r="AL13" s="78" t="s">
        <v>158</v>
      </c>
      <c r="AM13" s="27">
        <v>0</v>
      </c>
      <c r="AN13" s="29">
        <v>0</v>
      </c>
      <c r="AO13" s="78" t="s">
        <v>158</v>
      </c>
      <c r="AP13" s="27">
        <v>0</v>
      </c>
      <c r="AQ13" s="29">
        <v>0</v>
      </c>
      <c r="AR13" s="78" t="s">
        <v>158</v>
      </c>
      <c r="AS13" s="27">
        <v>0</v>
      </c>
      <c r="AT13" s="29">
        <v>0</v>
      </c>
      <c r="AU13" s="78" t="s">
        <v>158</v>
      </c>
      <c r="AV13" s="27">
        <v>0</v>
      </c>
      <c r="AW13" s="29">
        <v>0</v>
      </c>
      <c r="AX13" s="78" t="s">
        <v>158</v>
      </c>
      <c r="AY13" s="27">
        <v>0</v>
      </c>
      <c r="AZ13" s="29">
        <v>0</v>
      </c>
      <c r="BA13" s="78" t="s">
        <v>158</v>
      </c>
      <c r="BB13" s="27">
        <v>0</v>
      </c>
      <c r="BC13" s="29">
        <v>0</v>
      </c>
      <c r="BD13" s="78" t="s">
        <v>158</v>
      </c>
      <c r="BE13" s="27">
        <v>0</v>
      </c>
      <c r="BF13" s="29">
        <v>0</v>
      </c>
      <c r="BG13" s="78" t="s">
        <v>158</v>
      </c>
      <c r="BH13" s="27">
        <v>0</v>
      </c>
      <c r="BI13" s="29">
        <v>0</v>
      </c>
      <c r="BJ13" s="78" t="s">
        <v>158</v>
      </c>
      <c r="BK13" s="27">
        <f t="shared" si="4"/>
        <v>102</v>
      </c>
      <c r="BL13" s="29">
        <f t="shared" si="3"/>
        <v>19</v>
      </c>
      <c r="BM13" s="78">
        <f t="shared" si="1"/>
        <v>0.22891566265060237</v>
      </c>
      <c r="BN13" s="27">
        <v>0</v>
      </c>
      <c r="BO13" s="29">
        <v>0</v>
      </c>
      <c r="BP13" s="78" t="s">
        <v>158</v>
      </c>
      <c r="BQ13" s="27">
        <v>13</v>
      </c>
      <c r="BR13" s="29">
        <v>0</v>
      </c>
      <c r="BS13" s="78">
        <v>0</v>
      </c>
      <c r="BT13" s="79" t="s">
        <v>85</v>
      </c>
      <c r="BU13" s="35">
        <v>102</v>
      </c>
      <c r="BV13" s="35">
        <v>460</v>
      </c>
      <c r="BW13" s="79" t="s">
        <v>85</v>
      </c>
      <c r="BX13">
        <v>83</v>
      </c>
      <c r="BY13" s="35">
        <v>376</v>
      </c>
      <c r="CB13" s="79"/>
      <c r="CC13"/>
      <c r="CD13"/>
    </row>
    <row r="14" spans="1:82" s="4" customFormat="1" x14ac:dyDescent="0.25">
      <c r="A14" s="80"/>
      <c r="B14" s="24" t="s">
        <v>29</v>
      </c>
      <c r="C14" s="25">
        <f t="shared" si="0"/>
        <v>645</v>
      </c>
      <c r="D14" s="29">
        <f t="shared" si="0"/>
        <v>50</v>
      </c>
      <c r="E14" s="78">
        <f t="shared" si="2"/>
        <v>8.4033613445378075E-2</v>
      </c>
      <c r="F14" s="25">
        <v>2</v>
      </c>
      <c r="G14" s="29">
        <v>0</v>
      </c>
      <c r="H14" s="78">
        <v>0</v>
      </c>
      <c r="I14" s="27">
        <v>0</v>
      </c>
      <c r="J14" s="29">
        <v>0</v>
      </c>
      <c r="K14" s="78" t="s">
        <v>158</v>
      </c>
      <c r="L14" s="27">
        <v>0</v>
      </c>
      <c r="M14" s="29">
        <v>0</v>
      </c>
      <c r="N14" s="78" t="s">
        <v>158</v>
      </c>
      <c r="O14" s="27">
        <v>1</v>
      </c>
      <c r="P14" s="29">
        <v>0</v>
      </c>
      <c r="Q14" s="78">
        <v>0</v>
      </c>
      <c r="R14" s="27">
        <v>1</v>
      </c>
      <c r="S14" s="29">
        <v>0</v>
      </c>
      <c r="T14" s="78">
        <v>0</v>
      </c>
      <c r="U14" s="27">
        <v>0</v>
      </c>
      <c r="V14" s="29">
        <v>0</v>
      </c>
      <c r="W14" s="78" t="s">
        <v>158</v>
      </c>
      <c r="X14" s="27">
        <v>0</v>
      </c>
      <c r="Y14" s="29">
        <v>0</v>
      </c>
      <c r="Z14" s="78" t="s">
        <v>158</v>
      </c>
      <c r="AA14" s="27">
        <v>0</v>
      </c>
      <c r="AB14" s="29">
        <v>0</v>
      </c>
      <c r="AC14" s="78" t="s">
        <v>158</v>
      </c>
      <c r="AD14" s="27">
        <v>0</v>
      </c>
      <c r="AE14" s="29">
        <v>0</v>
      </c>
      <c r="AF14" s="78" t="s">
        <v>158</v>
      </c>
      <c r="AG14" s="27">
        <v>3</v>
      </c>
      <c r="AH14" s="29">
        <v>0</v>
      </c>
      <c r="AI14" s="78">
        <v>0</v>
      </c>
      <c r="AJ14" s="27">
        <v>0</v>
      </c>
      <c r="AK14" s="29">
        <v>0</v>
      </c>
      <c r="AL14" s="78" t="s">
        <v>158</v>
      </c>
      <c r="AM14" s="27">
        <v>1</v>
      </c>
      <c r="AN14" s="29">
        <v>0</v>
      </c>
      <c r="AO14" s="78">
        <v>0</v>
      </c>
      <c r="AP14" s="27">
        <v>0</v>
      </c>
      <c r="AQ14" s="29">
        <v>0</v>
      </c>
      <c r="AR14" s="78" t="s">
        <v>158</v>
      </c>
      <c r="AS14" s="27">
        <v>0</v>
      </c>
      <c r="AT14" s="29">
        <v>0</v>
      </c>
      <c r="AU14" s="78" t="s">
        <v>158</v>
      </c>
      <c r="AV14" s="27">
        <v>0</v>
      </c>
      <c r="AW14" s="29">
        <v>0</v>
      </c>
      <c r="AX14" s="78" t="s">
        <v>158</v>
      </c>
      <c r="AY14" s="27">
        <v>0</v>
      </c>
      <c r="AZ14" s="29">
        <v>0</v>
      </c>
      <c r="BA14" s="78" t="s">
        <v>158</v>
      </c>
      <c r="BB14" s="27">
        <v>0</v>
      </c>
      <c r="BC14" s="29">
        <v>0</v>
      </c>
      <c r="BD14" s="78" t="s">
        <v>158</v>
      </c>
      <c r="BE14" s="27">
        <v>2</v>
      </c>
      <c r="BF14" s="29">
        <v>0</v>
      </c>
      <c r="BG14" s="78">
        <v>0</v>
      </c>
      <c r="BH14" s="27">
        <v>0</v>
      </c>
      <c r="BI14" s="29">
        <v>0</v>
      </c>
      <c r="BJ14" s="78" t="s">
        <v>158</v>
      </c>
      <c r="BK14" s="27">
        <f t="shared" si="4"/>
        <v>639</v>
      </c>
      <c r="BL14" s="29">
        <f t="shared" si="3"/>
        <v>50</v>
      </c>
      <c r="BM14" s="78">
        <f t="shared" si="1"/>
        <v>8.4889643463497366E-2</v>
      </c>
      <c r="BN14" s="27">
        <v>0</v>
      </c>
      <c r="BO14" s="29">
        <v>0</v>
      </c>
      <c r="BP14" s="78" t="s">
        <v>158</v>
      </c>
      <c r="BQ14" s="27">
        <v>1</v>
      </c>
      <c r="BR14" s="29">
        <v>0</v>
      </c>
      <c r="BS14" s="78">
        <v>0</v>
      </c>
      <c r="BT14" s="79" t="s">
        <v>86</v>
      </c>
      <c r="BU14" s="35">
        <v>639</v>
      </c>
      <c r="BV14" s="35">
        <v>2789</v>
      </c>
      <c r="BW14" s="79" t="s">
        <v>86</v>
      </c>
      <c r="BX14">
        <v>589</v>
      </c>
      <c r="BY14" s="35">
        <v>2519</v>
      </c>
      <c r="CB14" s="79"/>
      <c r="CC14"/>
      <c r="CD14"/>
    </row>
    <row r="15" spans="1:82" s="4" customFormat="1" x14ac:dyDescent="0.25">
      <c r="A15" s="80"/>
      <c r="B15" s="24" t="s">
        <v>30</v>
      </c>
      <c r="C15" s="25">
        <f t="shared" si="0"/>
        <v>97</v>
      </c>
      <c r="D15" s="29">
        <f t="shared" si="0"/>
        <v>6</v>
      </c>
      <c r="E15" s="78">
        <f t="shared" si="2"/>
        <v>6.5934065934065922E-2</v>
      </c>
      <c r="F15" s="25">
        <v>0</v>
      </c>
      <c r="G15" s="29">
        <v>0</v>
      </c>
      <c r="H15" s="78" t="s">
        <v>158</v>
      </c>
      <c r="I15" s="27">
        <v>0</v>
      </c>
      <c r="J15" s="29">
        <v>0</v>
      </c>
      <c r="K15" s="78" t="s">
        <v>158</v>
      </c>
      <c r="L15" s="27">
        <v>0</v>
      </c>
      <c r="M15" s="29">
        <v>0</v>
      </c>
      <c r="N15" s="78" t="s">
        <v>158</v>
      </c>
      <c r="O15" s="27">
        <v>0</v>
      </c>
      <c r="P15" s="29">
        <v>0</v>
      </c>
      <c r="Q15" s="78" t="s">
        <v>158</v>
      </c>
      <c r="R15" s="27">
        <v>0</v>
      </c>
      <c r="S15" s="29">
        <v>0</v>
      </c>
      <c r="T15" s="78" t="s">
        <v>158</v>
      </c>
      <c r="U15" s="27">
        <v>0</v>
      </c>
      <c r="V15" s="29">
        <v>0</v>
      </c>
      <c r="W15" s="78" t="s">
        <v>158</v>
      </c>
      <c r="X15" s="27">
        <v>0</v>
      </c>
      <c r="Y15" s="29">
        <v>0</v>
      </c>
      <c r="Z15" s="78" t="s">
        <v>158</v>
      </c>
      <c r="AA15" s="27">
        <v>0</v>
      </c>
      <c r="AB15" s="29">
        <v>0</v>
      </c>
      <c r="AC15" s="78" t="s">
        <v>158</v>
      </c>
      <c r="AD15" s="27">
        <v>0</v>
      </c>
      <c r="AE15" s="29">
        <v>0</v>
      </c>
      <c r="AF15" s="78" t="s">
        <v>158</v>
      </c>
      <c r="AG15" s="27">
        <v>1</v>
      </c>
      <c r="AH15" s="29">
        <v>0</v>
      </c>
      <c r="AI15" s="78">
        <v>0</v>
      </c>
      <c r="AJ15" s="27">
        <v>0</v>
      </c>
      <c r="AK15" s="29">
        <v>0</v>
      </c>
      <c r="AL15" s="78" t="s">
        <v>158</v>
      </c>
      <c r="AM15" s="27">
        <v>0</v>
      </c>
      <c r="AN15" s="29">
        <v>0</v>
      </c>
      <c r="AO15" s="78" t="s">
        <v>158</v>
      </c>
      <c r="AP15" s="27">
        <v>0</v>
      </c>
      <c r="AQ15" s="29">
        <v>0</v>
      </c>
      <c r="AR15" s="78" t="s">
        <v>158</v>
      </c>
      <c r="AS15" s="27">
        <v>0</v>
      </c>
      <c r="AT15" s="29">
        <v>0</v>
      </c>
      <c r="AU15" s="78" t="s">
        <v>158</v>
      </c>
      <c r="AV15" s="27">
        <v>0</v>
      </c>
      <c r="AW15" s="29">
        <v>0</v>
      </c>
      <c r="AX15" s="78" t="s">
        <v>158</v>
      </c>
      <c r="AY15" s="27">
        <v>0</v>
      </c>
      <c r="AZ15" s="29">
        <v>0</v>
      </c>
      <c r="BA15" s="78" t="s">
        <v>158</v>
      </c>
      <c r="BB15" s="27">
        <v>0</v>
      </c>
      <c r="BC15" s="29">
        <v>0</v>
      </c>
      <c r="BD15" s="78" t="s">
        <v>158</v>
      </c>
      <c r="BE15" s="27">
        <v>1</v>
      </c>
      <c r="BF15" s="29">
        <v>0</v>
      </c>
      <c r="BG15" s="78">
        <v>0</v>
      </c>
      <c r="BH15" s="27">
        <v>0</v>
      </c>
      <c r="BI15" s="29">
        <v>0</v>
      </c>
      <c r="BJ15" s="78" t="s">
        <v>158</v>
      </c>
      <c r="BK15" s="27">
        <f t="shared" si="4"/>
        <v>89</v>
      </c>
      <c r="BL15" s="29">
        <f t="shared" si="3"/>
        <v>6</v>
      </c>
      <c r="BM15" s="78">
        <f t="shared" si="1"/>
        <v>7.2289156626506035E-2</v>
      </c>
      <c r="BN15" s="27">
        <v>0</v>
      </c>
      <c r="BO15" s="29">
        <v>0</v>
      </c>
      <c r="BP15" s="78" t="s">
        <v>158</v>
      </c>
      <c r="BQ15" s="27">
        <v>7</v>
      </c>
      <c r="BR15" s="29">
        <v>0</v>
      </c>
      <c r="BS15" s="78">
        <v>0</v>
      </c>
      <c r="BT15" s="79" t="s">
        <v>30</v>
      </c>
      <c r="BU15" s="35">
        <v>89</v>
      </c>
      <c r="BV15" s="35">
        <v>402</v>
      </c>
      <c r="BW15" s="79" t="s">
        <v>30</v>
      </c>
      <c r="BX15">
        <v>83</v>
      </c>
      <c r="BY15" s="35">
        <v>382</v>
      </c>
      <c r="CB15" s="79"/>
      <c r="CC15"/>
      <c r="CD15"/>
    </row>
    <row r="16" spans="1:82" s="4" customFormat="1" x14ac:dyDescent="0.25">
      <c r="A16" s="80"/>
      <c r="B16" s="24" t="s">
        <v>31</v>
      </c>
      <c r="C16" s="25">
        <f t="shared" si="0"/>
        <v>233</v>
      </c>
      <c r="D16" s="29">
        <f t="shared" si="0"/>
        <v>19</v>
      </c>
      <c r="E16" s="78">
        <f t="shared" si="2"/>
        <v>8.8785046728971917E-2</v>
      </c>
      <c r="F16" s="25">
        <v>3</v>
      </c>
      <c r="G16" s="29">
        <v>0</v>
      </c>
      <c r="H16" s="78">
        <v>0</v>
      </c>
      <c r="I16" s="27">
        <v>1</v>
      </c>
      <c r="J16" s="29">
        <v>0</v>
      </c>
      <c r="K16" s="78">
        <v>0</v>
      </c>
      <c r="L16" s="27">
        <v>0</v>
      </c>
      <c r="M16" s="29">
        <v>0</v>
      </c>
      <c r="N16" s="78" t="s">
        <v>158</v>
      </c>
      <c r="O16" s="27">
        <v>0</v>
      </c>
      <c r="P16" s="29">
        <v>0</v>
      </c>
      <c r="Q16" s="78" t="s">
        <v>158</v>
      </c>
      <c r="R16" s="27">
        <v>1</v>
      </c>
      <c r="S16" s="29">
        <v>0</v>
      </c>
      <c r="T16" s="78">
        <v>0</v>
      </c>
      <c r="U16" s="27">
        <v>0</v>
      </c>
      <c r="V16" s="29">
        <v>0</v>
      </c>
      <c r="W16" s="78" t="s">
        <v>158</v>
      </c>
      <c r="X16" s="27">
        <v>0</v>
      </c>
      <c r="Y16" s="29">
        <v>0</v>
      </c>
      <c r="Z16" s="78" t="s">
        <v>158</v>
      </c>
      <c r="AA16" s="27">
        <v>0</v>
      </c>
      <c r="AB16" s="29">
        <v>0</v>
      </c>
      <c r="AC16" s="78" t="s">
        <v>158</v>
      </c>
      <c r="AD16" s="27">
        <v>1</v>
      </c>
      <c r="AE16" s="29">
        <v>0</v>
      </c>
      <c r="AF16" s="78">
        <v>0</v>
      </c>
      <c r="AG16" s="27">
        <v>8</v>
      </c>
      <c r="AH16" s="29">
        <v>0</v>
      </c>
      <c r="AI16" s="78">
        <v>0</v>
      </c>
      <c r="AJ16" s="27">
        <v>0</v>
      </c>
      <c r="AK16" s="29">
        <v>0</v>
      </c>
      <c r="AL16" s="78" t="s">
        <v>158</v>
      </c>
      <c r="AM16" s="27">
        <v>0</v>
      </c>
      <c r="AN16" s="29">
        <v>0</v>
      </c>
      <c r="AO16" s="78" t="s">
        <v>158</v>
      </c>
      <c r="AP16" s="27">
        <v>0</v>
      </c>
      <c r="AQ16" s="29">
        <v>0</v>
      </c>
      <c r="AR16" s="78" t="s">
        <v>158</v>
      </c>
      <c r="AS16" s="27">
        <v>0</v>
      </c>
      <c r="AT16" s="29">
        <v>0</v>
      </c>
      <c r="AU16" s="78" t="s">
        <v>158</v>
      </c>
      <c r="AV16" s="27">
        <v>0</v>
      </c>
      <c r="AW16" s="29">
        <v>0</v>
      </c>
      <c r="AX16" s="78" t="s">
        <v>158</v>
      </c>
      <c r="AY16" s="27">
        <v>0</v>
      </c>
      <c r="AZ16" s="29">
        <v>0</v>
      </c>
      <c r="BA16" s="78" t="s">
        <v>158</v>
      </c>
      <c r="BB16" s="27">
        <v>0</v>
      </c>
      <c r="BC16" s="29">
        <v>0</v>
      </c>
      <c r="BD16" s="78" t="s">
        <v>158</v>
      </c>
      <c r="BE16" s="27">
        <v>7</v>
      </c>
      <c r="BF16" s="29">
        <v>0</v>
      </c>
      <c r="BG16" s="78">
        <v>0</v>
      </c>
      <c r="BH16" s="27">
        <v>1</v>
      </c>
      <c r="BI16" s="29">
        <v>0</v>
      </c>
      <c r="BJ16" s="78">
        <v>0</v>
      </c>
      <c r="BK16" s="27">
        <f t="shared" si="4"/>
        <v>216</v>
      </c>
      <c r="BL16" s="29">
        <f t="shared" si="3"/>
        <v>19</v>
      </c>
      <c r="BM16" s="78">
        <f t="shared" si="1"/>
        <v>9.6446700507614169E-2</v>
      </c>
      <c r="BN16" s="27">
        <v>2</v>
      </c>
      <c r="BO16" s="29">
        <v>0</v>
      </c>
      <c r="BP16" s="78">
        <v>0</v>
      </c>
      <c r="BQ16" s="27">
        <v>4</v>
      </c>
      <c r="BR16" s="29">
        <v>0</v>
      </c>
      <c r="BS16" s="78">
        <v>0</v>
      </c>
      <c r="BT16" s="79" t="s">
        <v>31</v>
      </c>
      <c r="BU16" s="35">
        <v>216</v>
      </c>
      <c r="BV16" s="35">
        <v>1016</v>
      </c>
      <c r="BW16" s="79" t="s">
        <v>31</v>
      </c>
      <c r="BX16">
        <v>197</v>
      </c>
      <c r="BY16" s="35">
        <v>927</v>
      </c>
      <c r="CB16" s="79"/>
      <c r="CC16"/>
      <c r="CD16"/>
    </row>
    <row r="17" spans="2:82" s="4" customFormat="1" x14ac:dyDescent="0.25">
      <c r="B17" s="24" t="s">
        <v>32</v>
      </c>
      <c r="C17" s="25">
        <f t="shared" si="0"/>
        <v>2095</v>
      </c>
      <c r="D17" s="29">
        <f t="shared" si="0"/>
        <v>107</v>
      </c>
      <c r="E17" s="78">
        <f t="shared" si="2"/>
        <v>5.382293762575463E-2</v>
      </c>
      <c r="F17" s="25">
        <v>8</v>
      </c>
      <c r="G17" s="29">
        <v>0</v>
      </c>
      <c r="H17" s="78">
        <v>0</v>
      </c>
      <c r="I17" s="27">
        <v>2</v>
      </c>
      <c r="J17" s="29">
        <v>0</v>
      </c>
      <c r="K17" s="78">
        <v>0</v>
      </c>
      <c r="L17" s="27">
        <v>2</v>
      </c>
      <c r="M17" s="29">
        <v>0</v>
      </c>
      <c r="N17" s="78">
        <v>0</v>
      </c>
      <c r="O17" s="27">
        <v>3</v>
      </c>
      <c r="P17" s="29">
        <v>0</v>
      </c>
      <c r="Q17" s="78">
        <v>0</v>
      </c>
      <c r="R17" s="27">
        <v>1</v>
      </c>
      <c r="S17" s="29">
        <v>0</v>
      </c>
      <c r="T17" s="78">
        <v>0</v>
      </c>
      <c r="U17" s="27">
        <v>0</v>
      </c>
      <c r="V17" s="29">
        <v>0</v>
      </c>
      <c r="W17" s="78" t="s">
        <v>158</v>
      </c>
      <c r="X17" s="27">
        <v>0</v>
      </c>
      <c r="Y17" s="29">
        <v>0</v>
      </c>
      <c r="Z17" s="78" t="s">
        <v>158</v>
      </c>
      <c r="AA17" s="27">
        <v>0</v>
      </c>
      <c r="AB17" s="29">
        <v>0</v>
      </c>
      <c r="AC17" s="78" t="s">
        <v>158</v>
      </c>
      <c r="AD17" s="27">
        <v>0</v>
      </c>
      <c r="AE17" s="29">
        <v>0</v>
      </c>
      <c r="AF17" s="78" t="s">
        <v>158</v>
      </c>
      <c r="AG17" s="27">
        <v>8</v>
      </c>
      <c r="AH17" s="29">
        <v>0</v>
      </c>
      <c r="AI17" s="78">
        <v>0</v>
      </c>
      <c r="AJ17" s="27">
        <v>4</v>
      </c>
      <c r="AK17" s="29">
        <v>0</v>
      </c>
      <c r="AL17" s="78">
        <v>0</v>
      </c>
      <c r="AM17" s="27">
        <v>2</v>
      </c>
      <c r="AN17" s="29">
        <v>0</v>
      </c>
      <c r="AO17" s="78">
        <v>0</v>
      </c>
      <c r="AP17" s="27">
        <v>0</v>
      </c>
      <c r="AQ17" s="29">
        <v>0</v>
      </c>
      <c r="AR17" s="78" t="s">
        <v>158</v>
      </c>
      <c r="AS17" s="27">
        <v>0</v>
      </c>
      <c r="AT17" s="29">
        <v>0</v>
      </c>
      <c r="AU17" s="78" t="s">
        <v>158</v>
      </c>
      <c r="AV17" s="27">
        <v>0</v>
      </c>
      <c r="AW17" s="29">
        <v>0</v>
      </c>
      <c r="AX17" s="78" t="s">
        <v>158</v>
      </c>
      <c r="AY17" s="27">
        <v>0</v>
      </c>
      <c r="AZ17" s="29">
        <v>0</v>
      </c>
      <c r="BA17" s="78" t="s">
        <v>158</v>
      </c>
      <c r="BB17" s="27">
        <v>0</v>
      </c>
      <c r="BC17" s="29">
        <v>0</v>
      </c>
      <c r="BD17" s="78" t="s">
        <v>158</v>
      </c>
      <c r="BE17" s="27">
        <v>1</v>
      </c>
      <c r="BF17" s="29">
        <v>0</v>
      </c>
      <c r="BG17" s="78">
        <v>0</v>
      </c>
      <c r="BH17" s="27">
        <v>1</v>
      </c>
      <c r="BI17" s="29">
        <v>0</v>
      </c>
      <c r="BJ17" s="78">
        <v>0</v>
      </c>
      <c r="BK17" s="27">
        <f t="shared" si="4"/>
        <v>2066</v>
      </c>
      <c r="BL17" s="29">
        <f t="shared" si="3"/>
        <v>108</v>
      </c>
      <c r="BM17" s="78">
        <f t="shared" si="1"/>
        <v>5.5158324821246163E-2</v>
      </c>
      <c r="BN17" s="27">
        <v>2</v>
      </c>
      <c r="BO17" s="29">
        <v>0</v>
      </c>
      <c r="BP17" s="78">
        <v>0</v>
      </c>
      <c r="BQ17" s="27">
        <v>11</v>
      </c>
      <c r="BR17" s="29">
        <v>-1</v>
      </c>
      <c r="BS17" s="78">
        <v>-8.333333333333337E-2</v>
      </c>
      <c r="BT17" s="79" t="s">
        <v>87</v>
      </c>
      <c r="BU17" s="35">
        <v>2066</v>
      </c>
      <c r="BV17" s="35">
        <v>8996</v>
      </c>
      <c r="BW17" s="79" t="s">
        <v>87</v>
      </c>
      <c r="BX17">
        <v>1958</v>
      </c>
      <c r="BY17" s="35">
        <v>8470</v>
      </c>
      <c r="CB17" s="79"/>
      <c r="CC17"/>
      <c r="CD17"/>
    </row>
    <row r="18" spans="2:82" s="4" customFormat="1" x14ac:dyDescent="0.25">
      <c r="B18" s="24" t="s">
        <v>33</v>
      </c>
      <c r="C18" s="25">
        <f t="shared" si="0"/>
        <v>102</v>
      </c>
      <c r="D18" s="29">
        <f t="shared" si="0"/>
        <v>12</v>
      </c>
      <c r="E18" s="78">
        <f t="shared" si="2"/>
        <v>0.1333333333333333</v>
      </c>
      <c r="F18" s="25">
        <v>0</v>
      </c>
      <c r="G18" s="29">
        <v>0</v>
      </c>
      <c r="H18" s="78" t="s">
        <v>158</v>
      </c>
      <c r="I18" s="27">
        <v>0</v>
      </c>
      <c r="J18" s="29">
        <v>0</v>
      </c>
      <c r="K18" s="78" t="s">
        <v>158</v>
      </c>
      <c r="L18" s="27">
        <v>0</v>
      </c>
      <c r="M18" s="29">
        <v>0</v>
      </c>
      <c r="N18" s="78" t="s">
        <v>158</v>
      </c>
      <c r="O18" s="27">
        <v>0</v>
      </c>
      <c r="P18" s="29">
        <v>0</v>
      </c>
      <c r="Q18" s="78" t="s">
        <v>158</v>
      </c>
      <c r="R18" s="27">
        <v>0</v>
      </c>
      <c r="S18" s="29">
        <v>0</v>
      </c>
      <c r="T18" s="78" t="s">
        <v>158</v>
      </c>
      <c r="U18" s="27">
        <v>0</v>
      </c>
      <c r="V18" s="29">
        <v>0</v>
      </c>
      <c r="W18" s="78" t="s">
        <v>158</v>
      </c>
      <c r="X18" s="27">
        <v>0</v>
      </c>
      <c r="Y18" s="29">
        <v>0</v>
      </c>
      <c r="Z18" s="78" t="s">
        <v>158</v>
      </c>
      <c r="AA18" s="27">
        <v>0</v>
      </c>
      <c r="AB18" s="29">
        <v>0</v>
      </c>
      <c r="AC18" s="78" t="s">
        <v>158</v>
      </c>
      <c r="AD18" s="27">
        <v>0</v>
      </c>
      <c r="AE18" s="29">
        <v>0</v>
      </c>
      <c r="AF18" s="78" t="s">
        <v>158</v>
      </c>
      <c r="AG18" s="27">
        <v>0</v>
      </c>
      <c r="AH18" s="29">
        <v>0</v>
      </c>
      <c r="AI18" s="78" t="s">
        <v>158</v>
      </c>
      <c r="AJ18" s="27">
        <v>0</v>
      </c>
      <c r="AK18" s="29">
        <v>0</v>
      </c>
      <c r="AL18" s="78" t="s">
        <v>158</v>
      </c>
      <c r="AM18" s="27">
        <v>0</v>
      </c>
      <c r="AN18" s="29">
        <v>0</v>
      </c>
      <c r="AO18" s="78" t="s">
        <v>158</v>
      </c>
      <c r="AP18" s="27">
        <v>0</v>
      </c>
      <c r="AQ18" s="29">
        <v>0</v>
      </c>
      <c r="AR18" s="78" t="s">
        <v>158</v>
      </c>
      <c r="AS18" s="27">
        <v>0</v>
      </c>
      <c r="AT18" s="29">
        <v>0</v>
      </c>
      <c r="AU18" s="78" t="s">
        <v>158</v>
      </c>
      <c r="AV18" s="27">
        <v>0</v>
      </c>
      <c r="AW18" s="29">
        <v>0</v>
      </c>
      <c r="AX18" s="78" t="s">
        <v>158</v>
      </c>
      <c r="AY18" s="27">
        <v>0</v>
      </c>
      <c r="AZ18" s="29">
        <v>0</v>
      </c>
      <c r="BA18" s="78" t="s">
        <v>158</v>
      </c>
      <c r="BB18" s="27">
        <v>0</v>
      </c>
      <c r="BC18" s="29">
        <v>0</v>
      </c>
      <c r="BD18" s="78" t="s">
        <v>158</v>
      </c>
      <c r="BE18" s="27">
        <v>0</v>
      </c>
      <c r="BF18" s="29">
        <v>0</v>
      </c>
      <c r="BG18" s="78" t="s">
        <v>158</v>
      </c>
      <c r="BH18" s="27">
        <v>0</v>
      </c>
      <c r="BI18" s="29">
        <v>0</v>
      </c>
      <c r="BJ18" s="78" t="s">
        <v>158</v>
      </c>
      <c r="BK18" s="27">
        <f t="shared" si="4"/>
        <v>101</v>
      </c>
      <c r="BL18" s="29">
        <f t="shared" si="3"/>
        <v>12</v>
      </c>
      <c r="BM18" s="78">
        <f t="shared" si="1"/>
        <v>0.13483146067415741</v>
      </c>
      <c r="BN18" s="27">
        <v>0</v>
      </c>
      <c r="BO18" s="29">
        <v>0</v>
      </c>
      <c r="BP18" s="78" t="s">
        <v>158</v>
      </c>
      <c r="BQ18" s="27">
        <v>1</v>
      </c>
      <c r="BR18" s="29">
        <v>0</v>
      </c>
      <c r="BS18" s="78">
        <v>0</v>
      </c>
      <c r="BT18" s="79" t="s">
        <v>33</v>
      </c>
      <c r="BU18" s="35">
        <v>101</v>
      </c>
      <c r="BV18" s="35">
        <v>466</v>
      </c>
      <c r="BW18" s="79" t="s">
        <v>33</v>
      </c>
      <c r="BX18">
        <v>89</v>
      </c>
      <c r="BY18" s="35">
        <v>405</v>
      </c>
      <c r="CB18" s="79"/>
      <c r="CC18"/>
      <c r="CD18"/>
    </row>
    <row r="19" spans="2:82" s="4" customFormat="1" x14ac:dyDescent="0.25">
      <c r="B19" s="24" t="s">
        <v>146</v>
      </c>
      <c r="C19" s="25">
        <f t="shared" si="0"/>
        <v>890</v>
      </c>
      <c r="D19" s="29">
        <f t="shared" si="0"/>
        <v>73</v>
      </c>
      <c r="E19" s="78">
        <f t="shared" si="2"/>
        <v>8.9351285189718466E-2</v>
      </c>
      <c r="F19" s="25">
        <v>8</v>
      </c>
      <c r="G19" s="29">
        <v>0</v>
      </c>
      <c r="H19" s="78">
        <v>0</v>
      </c>
      <c r="I19" s="27">
        <v>3</v>
      </c>
      <c r="J19" s="29">
        <v>0</v>
      </c>
      <c r="K19" s="78">
        <v>0</v>
      </c>
      <c r="L19" s="27">
        <v>1</v>
      </c>
      <c r="M19" s="29">
        <v>0</v>
      </c>
      <c r="N19" s="78">
        <v>0</v>
      </c>
      <c r="O19" s="27">
        <v>1</v>
      </c>
      <c r="P19" s="29">
        <v>0</v>
      </c>
      <c r="Q19" s="78">
        <v>0</v>
      </c>
      <c r="R19" s="27">
        <v>1</v>
      </c>
      <c r="S19" s="29">
        <v>0</v>
      </c>
      <c r="T19" s="78">
        <v>0</v>
      </c>
      <c r="U19" s="27">
        <v>0</v>
      </c>
      <c r="V19" s="29">
        <v>0</v>
      </c>
      <c r="W19" s="78" t="s">
        <v>158</v>
      </c>
      <c r="X19" s="27">
        <v>1</v>
      </c>
      <c r="Y19" s="29">
        <v>0</v>
      </c>
      <c r="Z19" s="78">
        <v>0</v>
      </c>
      <c r="AA19" s="27">
        <v>1</v>
      </c>
      <c r="AB19" s="29">
        <v>0</v>
      </c>
      <c r="AC19" s="78">
        <v>0</v>
      </c>
      <c r="AD19" s="27">
        <v>0</v>
      </c>
      <c r="AE19" s="29">
        <v>0</v>
      </c>
      <c r="AF19" s="78" t="s">
        <v>158</v>
      </c>
      <c r="AG19" s="27">
        <v>1</v>
      </c>
      <c r="AH19" s="29">
        <v>0</v>
      </c>
      <c r="AI19" s="78">
        <v>0</v>
      </c>
      <c r="AJ19" s="27">
        <v>0</v>
      </c>
      <c r="AK19" s="29">
        <v>0</v>
      </c>
      <c r="AL19" s="78" t="s">
        <v>158</v>
      </c>
      <c r="AM19" s="27">
        <v>0</v>
      </c>
      <c r="AN19" s="29">
        <v>0</v>
      </c>
      <c r="AO19" s="78" t="s">
        <v>158</v>
      </c>
      <c r="AP19" s="27">
        <v>0</v>
      </c>
      <c r="AQ19" s="29">
        <v>0</v>
      </c>
      <c r="AR19" s="78" t="s">
        <v>158</v>
      </c>
      <c r="AS19" s="27">
        <v>0</v>
      </c>
      <c r="AT19" s="29">
        <v>0</v>
      </c>
      <c r="AU19" s="78" t="s">
        <v>158</v>
      </c>
      <c r="AV19" s="27">
        <v>0</v>
      </c>
      <c r="AW19" s="29">
        <v>0</v>
      </c>
      <c r="AX19" s="78" t="s">
        <v>158</v>
      </c>
      <c r="AY19" s="27">
        <v>0</v>
      </c>
      <c r="AZ19" s="29">
        <v>0</v>
      </c>
      <c r="BA19" s="78" t="s">
        <v>158</v>
      </c>
      <c r="BB19" s="27">
        <v>1</v>
      </c>
      <c r="BC19" s="29">
        <v>0</v>
      </c>
      <c r="BD19" s="78">
        <v>0</v>
      </c>
      <c r="BE19" s="27">
        <v>0</v>
      </c>
      <c r="BF19" s="29">
        <v>0</v>
      </c>
      <c r="BG19" s="78" t="s">
        <v>158</v>
      </c>
      <c r="BH19" s="27">
        <v>0</v>
      </c>
      <c r="BI19" s="29">
        <v>0</v>
      </c>
      <c r="BJ19" s="78" t="s">
        <v>158</v>
      </c>
      <c r="BK19" s="27">
        <f t="shared" si="4"/>
        <v>870</v>
      </c>
      <c r="BL19" s="29">
        <f t="shared" si="3"/>
        <v>73</v>
      </c>
      <c r="BM19" s="78">
        <f t="shared" si="1"/>
        <v>9.1593475533249702E-2</v>
      </c>
      <c r="BN19" s="27">
        <v>1</v>
      </c>
      <c r="BO19" s="29">
        <v>0</v>
      </c>
      <c r="BP19" s="78">
        <v>0</v>
      </c>
      <c r="BQ19" s="27">
        <v>10</v>
      </c>
      <c r="BR19" s="29">
        <v>0</v>
      </c>
      <c r="BS19" s="78">
        <v>0</v>
      </c>
      <c r="BT19" s="79" t="s">
        <v>88</v>
      </c>
      <c r="BU19" s="35">
        <v>870</v>
      </c>
      <c r="BV19" s="35">
        <v>3900</v>
      </c>
      <c r="BW19" s="79" t="s">
        <v>88</v>
      </c>
      <c r="BX19">
        <v>797</v>
      </c>
      <c r="BY19" s="35">
        <v>3530</v>
      </c>
      <c r="CB19" s="79"/>
      <c r="CC19"/>
      <c r="CD19"/>
    </row>
    <row r="20" spans="2:82" s="4" customFormat="1" x14ac:dyDescent="0.25">
      <c r="B20" s="24" t="s">
        <v>147</v>
      </c>
      <c r="C20" s="25">
        <f t="shared" si="0"/>
        <v>517</v>
      </c>
      <c r="D20" s="29">
        <f t="shared" si="0"/>
        <v>16</v>
      </c>
      <c r="E20" s="78">
        <f t="shared" si="2"/>
        <v>3.1936127744510934E-2</v>
      </c>
      <c r="F20" s="25">
        <v>1</v>
      </c>
      <c r="G20" s="29">
        <v>0</v>
      </c>
      <c r="H20" s="78">
        <v>0</v>
      </c>
      <c r="I20" s="27">
        <v>0</v>
      </c>
      <c r="J20" s="29">
        <v>0</v>
      </c>
      <c r="K20" s="78" t="s">
        <v>158</v>
      </c>
      <c r="L20" s="27">
        <v>0</v>
      </c>
      <c r="M20" s="29">
        <v>0</v>
      </c>
      <c r="N20" s="78" t="s">
        <v>158</v>
      </c>
      <c r="O20" s="27">
        <v>0</v>
      </c>
      <c r="P20" s="29">
        <v>0</v>
      </c>
      <c r="Q20" s="78" t="s">
        <v>158</v>
      </c>
      <c r="R20" s="27">
        <v>0</v>
      </c>
      <c r="S20" s="29">
        <v>0</v>
      </c>
      <c r="T20" s="78" t="s">
        <v>158</v>
      </c>
      <c r="U20" s="27">
        <v>0</v>
      </c>
      <c r="V20" s="29">
        <v>0</v>
      </c>
      <c r="W20" s="78" t="s">
        <v>158</v>
      </c>
      <c r="X20" s="27">
        <v>0</v>
      </c>
      <c r="Y20" s="29">
        <v>0</v>
      </c>
      <c r="Z20" s="78" t="s">
        <v>158</v>
      </c>
      <c r="AA20" s="27">
        <v>0</v>
      </c>
      <c r="AB20" s="29">
        <v>0</v>
      </c>
      <c r="AC20" s="78" t="s">
        <v>158</v>
      </c>
      <c r="AD20" s="27">
        <v>1</v>
      </c>
      <c r="AE20" s="29">
        <v>0</v>
      </c>
      <c r="AF20" s="78">
        <v>0</v>
      </c>
      <c r="AG20" s="27">
        <v>1</v>
      </c>
      <c r="AH20" s="29">
        <v>0</v>
      </c>
      <c r="AI20" s="78">
        <v>0</v>
      </c>
      <c r="AJ20" s="27">
        <v>0</v>
      </c>
      <c r="AK20" s="29">
        <v>0</v>
      </c>
      <c r="AL20" s="78" t="s">
        <v>158</v>
      </c>
      <c r="AM20" s="27">
        <v>0</v>
      </c>
      <c r="AN20" s="29">
        <v>0</v>
      </c>
      <c r="AO20" s="78" t="s">
        <v>158</v>
      </c>
      <c r="AP20" s="27">
        <v>0</v>
      </c>
      <c r="AQ20" s="29">
        <v>0</v>
      </c>
      <c r="AR20" s="78" t="s">
        <v>158</v>
      </c>
      <c r="AS20" s="27">
        <v>0</v>
      </c>
      <c r="AT20" s="29">
        <v>0</v>
      </c>
      <c r="AU20" s="78" t="s">
        <v>158</v>
      </c>
      <c r="AV20" s="27">
        <v>0</v>
      </c>
      <c r="AW20" s="29">
        <v>0</v>
      </c>
      <c r="AX20" s="78" t="s">
        <v>158</v>
      </c>
      <c r="AY20" s="27">
        <v>0</v>
      </c>
      <c r="AZ20" s="29">
        <v>0</v>
      </c>
      <c r="BA20" s="78" t="s">
        <v>158</v>
      </c>
      <c r="BB20" s="27">
        <v>0</v>
      </c>
      <c r="BC20" s="29">
        <v>0</v>
      </c>
      <c r="BD20" s="78" t="s">
        <v>158</v>
      </c>
      <c r="BE20" s="27">
        <v>1</v>
      </c>
      <c r="BF20" s="29">
        <v>0</v>
      </c>
      <c r="BG20" s="78">
        <v>0</v>
      </c>
      <c r="BH20" s="27">
        <v>0</v>
      </c>
      <c r="BI20" s="29">
        <v>0</v>
      </c>
      <c r="BJ20" s="78" t="s">
        <v>158</v>
      </c>
      <c r="BK20" s="27">
        <f t="shared" si="4"/>
        <v>506</v>
      </c>
      <c r="BL20" s="29">
        <f t="shared" si="3"/>
        <v>16</v>
      </c>
      <c r="BM20" s="78">
        <f t="shared" si="1"/>
        <v>3.2653061224489743E-2</v>
      </c>
      <c r="BN20" s="27">
        <v>4</v>
      </c>
      <c r="BO20" s="29">
        <v>-1</v>
      </c>
      <c r="BP20" s="78">
        <v>-0.19999999999999996</v>
      </c>
      <c r="BQ20" s="27">
        <v>5</v>
      </c>
      <c r="BR20" s="29">
        <v>1</v>
      </c>
      <c r="BS20" s="78">
        <v>0.25</v>
      </c>
      <c r="BT20" s="79" t="s">
        <v>89</v>
      </c>
      <c r="BU20" s="35">
        <v>506</v>
      </c>
      <c r="BV20" s="35">
        <v>2189</v>
      </c>
      <c r="BW20" s="79" t="s">
        <v>89</v>
      </c>
      <c r="BX20">
        <v>490</v>
      </c>
      <c r="BY20" s="35">
        <v>2138</v>
      </c>
      <c r="CB20" s="79"/>
      <c r="CC20"/>
      <c r="CD20"/>
    </row>
    <row r="21" spans="2:82" s="4" customFormat="1" x14ac:dyDescent="0.25">
      <c r="B21" s="24" t="s">
        <v>36</v>
      </c>
      <c r="C21" s="25">
        <f t="shared" si="0"/>
        <v>788</v>
      </c>
      <c r="D21" s="29">
        <f t="shared" si="0"/>
        <v>42</v>
      </c>
      <c r="E21" s="78">
        <f t="shared" si="2"/>
        <v>5.6300268096514783E-2</v>
      </c>
      <c r="F21" s="25">
        <v>3</v>
      </c>
      <c r="G21" s="29">
        <v>0</v>
      </c>
      <c r="H21" s="78">
        <v>0</v>
      </c>
      <c r="I21" s="27">
        <v>0</v>
      </c>
      <c r="J21" s="29">
        <v>0</v>
      </c>
      <c r="K21" s="78" t="s">
        <v>158</v>
      </c>
      <c r="L21" s="27">
        <v>0</v>
      </c>
      <c r="M21" s="29">
        <v>0</v>
      </c>
      <c r="N21" s="78" t="s">
        <v>158</v>
      </c>
      <c r="O21" s="27">
        <v>1</v>
      </c>
      <c r="P21" s="29">
        <v>0</v>
      </c>
      <c r="Q21" s="78">
        <v>0</v>
      </c>
      <c r="R21" s="27">
        <v>0</v>
      </c>
      <c r="S21" s="29">
        <v>0</v>
      </c>
      <c r="T21" s="78" t="s">
        <v>158</v>
      </c>
      <c r="U21" s="27">
        <v>0</v>
      </c>
      <c r="V21" s="29">
        <v>0</v>
      </c>
      <c r="W21" s="78" t="s">
        <v>158</v>
      </c>
      <c r="X21" s="27">
        <v>0</v>
      </c>
      <c r="Y21" s="29">
        <v>0</v>
      </c>
      <c r="Z21" s="78" t="s">
        <v>158</v>
      </c>
      <c r="AA21" s="27">
        <v>0</v>
      </c>
      <c r="AB21" s="29">
        <v>0</v>
      </c>
      <c r="AC21" s="78" t="s">
        <v>158</v>
      </c>
      <c r="AD21" s="27">
        <v>2</v>
      </c>
      <c r="AE21" s="29">
        <v>0</v>
      </c>
      <c r="AF21" s="78">
        <v>0</v>
      </c>
      <c r="AG21" s="27">
        <v>3</v>
      </c>
      <c r="AH21" s="29">
        <v>0</v>
      </c>
      <c r="AI21" s="78">
        <v>0</v>
      </c>
      <c r="AJ21" s="27">
        <v>0</v>
      </c>
      <c r="AK21" s="29">
        <v>0</v>
      </c>
      <c r="AL21" s="78" t="s">
        <v>158</v>
      </c>
      <c r="AM21" s="27">
        <v>0</v>
      </c>
      <c r="AN21" s="29">
        <v>0</v>
      </c>
      <c r="AO21" s="78" t="s">
        <v>158</v>
      </c>
      <c r="AP21" s="27">
        <v>0</v>
      </c>
      <c r="AQ21" s="29">
        <v>0</v>
      </c>
      <c r="AR21" s="78" t="s">
        <v>158</v>
      </c>
      <c r="AS21" s="27">
        <v>0</v>
      </c>
      <c r="AT21" s="29">
        <v>0</v>
      </c>
      <c r="AU21" s="78" t="s">
        <v>158</v>
      </c>
      <c r="AV21" s="27">
        <v>0</v>
      </c>
      <c r="AW21" s="29">
        <v>0</v>
      </c>
      <c r="AX21" s="78" t="s">
        <v>158</v>
      </c>
      <c r="AY21" s="27">
        <v>0</v>
      </c>
      <c r="AZ21" s="29">
        <v>0</v>
      </c>
      <c r="BA21" s="78" t="s">
        <v>158</v>
      </c>
      <c r="BB21" s="27">
        <v>0</v>
      </c>
      <c r="BC21" s="29">
        <v>0</v>
      </c>
      <c r="BD21" s="78" t="s">
        <v>158</v>
      </c>
      <c r="BE21" s="27">
        <v>3</v>
      </c>
      <c r="BF21" s="29">
        <v>0</v>
      </c>
      <c r="BG21" s="78">
        <v>0</v>
      </c>
      <c r="BH21" s="27">
        <v>0</v>
      </c>
      <c r="BI21" s="29">
        <v>0</v>
      </c>
      <c r="BJ21" s="78" t="s">
        <v>158</v>
      </c>
      <c r="BK21" s="27">
        <f t="shared" si="4"/>
        <v>761</v>
      </c>
      <c r="BL21" s="29">
        <f t="shared" si="3"/>
        <v>42</v>
      </c>
      <c r="BM21" s="78">
        <f t="shared" si="1"/>
        <v>5.8414464534075172E-2</v>
      </c>
      <c r="BN21" s="27">
        <v>0</v>
      </c>
      <c r="BO21" s="29">
        <v>0</v>
      </c>
      <c r="BP21" s="78" t="s">
        <v>158</v>
      </c>
      <c r="BQ21" s="27">
        <v>21</v>
      </c>
      <c r="BR21" s="29">
        <v>0</v>
      </c>
      <c r="BS21" s="78">
        <v>0</v>
      </c>
      <c r="BT21" s="79" t="s">
        <v>90</v>
      </c>
      <c r="BU21" s="35">
        <v>761</v>
      </c>
      <c r="BV21" s="35">
        <v>3413</v>
      </c>
      <c r="BW21" s="79" t="s">
        <v>90</v>
      </c>
      <c r="BX21">
        <v>719</v>
      </c>
      <c r="BY21" s="35">
        <v>3097</v>
      </c>
      <c r="CB21" s="79"/>
      <c r="CC21"/>
      <c r="CD21"/>
    </row>
    <row r="22" spans="2:82" s="4" customFormat="1" x14ac:dyDescent="0.25">
      <c r="B22" s="24" t="s">
        <v>37</v>
      </c>
      <c r="C22" s="25">
        <f t="shared" si="0"/>
        <v>1195</v>
      </c>
      <c r="D22" s="29">
        <f t="shared" si="0"/>
        <v>58</v>
      </c>
      <c r="E22" s="78">
        <f t="shared" si="2"/>
        <v>5.1011433597185629E-2</v>
      </c>
      <c r="F22" s="25">
        <v>16</v>
      </c>
      <c r="G22" s="29">
        <v>2</v>
      </c>
      <c r="H22" s="78">
        <v>0.14285714285714279</v>
      </c>
      <c r="I22" s="27">
        <v>6</v>
      </c>
      <c r="J22" s="29">
        <v>0</v>
      </c>
      <c r="K22" s="78">
        <v>0</v>
      </c>
      <c r="L22" s="27">
        <v>2</v>
      </c>
      <c r="M22" s="29">
        <v>0</v>
      </c>
      <c r="N22" s="78">
        <v>0</v>
      </c>
      <c r="O22" s="27">
        <v>2</v>
      </c>
      <c r="P22" s="29">
        <v>0</v>
      </c>
      <c r="Q22" s="78">
        <v>0</v>
      </c>
      <c r="R22" s="27">
        <v>3</v>
      </c>
      <c r="S22" s="29">
        <v>0</v>
      </c>
      <c r="T22" s="78">
        <v>0</v>
      </c>
      <c r="U22" s="27">
        <v>0</v>
      </c>
      <c r="V22" s="29">
        <v>0</v>
      </c>
      <c r="W22" s="78" t="s">
        <v>158</v>
      </c>
      <c r="X22" s="27">
        <v>0</v>
      </c>
      <c r="Y22" s="29">
        <v>0</v>
      </c>
      <c r="Z22" s="78" t="s">
        <v>158</v>
      </c>
      <c r="AA22" s="27">
        <v>0</v>
      </c>
      <c r="AB22" s="29">
        <v>0</v>
      </c>
      <c r="AC22" s="78" t="s">
        <v>158</v>
      </c>
      <c r="AD22" s="27">
        <v>1</v>
      </c>
      <c r="AE22" s="29">
        <v>0</v>
      </c>
      <c r="AF22" s="78">
        <v>0</v>
      </c>
      <c r="AG22" s="27">
        <v>7</v>
      </c>
      <c r="AH22" s="29">
        <v>2</v>
      </c>
      <c r="AI22" s="78">
        <v>0.39999999999999991</v>
      </c>
      <c r="AJ22" s="27">
        <v>1</v>
      </c>
      <c r="AK22" s="29">
        <v>0</v>
      </c>
      <c r="AL22" s="78">
        <v>0</v>
      </c>
      <c r="AM22" s="27">
        <v>0</v>
      </c>
      <c r="AN22" s="29">
        <v>0</v>
      </c>
      <c r="AO22" s="78" t="s">
        <v>158</v>
      </c>
      <c r="AP22" s="27">
        <v>0</v>
      </c>
      <c r="AQ22" s="29">
        <v>0</v>
      </c>
      <c r="AR22" s="78" t="s">
        <v>158</v>
      </c>
      <c r="AS22" s="27">
        <v>0</v>
      </c>
      <c r="AT22" s="29">
        <v>0</v>
      </c>
      <c r="AU22" s="78" t="s">
        <v>158</v>
      </c>
      <c r="AV22" s="27">
        <v>0</v>
      </c>
      <c r="AW22" s="29">
        <v>0</v>
      </c>
      <c r="AX22" s="78" t="s">
        <v>158</v>
      </c>
      <c r="AY22" s="27">
        <v>0</v>
      </c>
      <c r="AZ22" s="29">
        <v>0</v>
      </c>
      <c r="BA22" s="78" t="s">
        <v>158</v>
      </c>
      <c r="BB22" s="27">
        <v>0</v>
      </c>
      <c r="BC22" s="29">
        <v>0</v>
      </c>
      <c r="BD22" s="78" t="s">
        <v>158</v>
      </c>
      <c r="BE22" s="27">
        <v>5</v>
      </c>
      <c r="BF22" s="29">
        <v>2</v>
      </c>
      <c r="BG22" s="78">
        <v>0.66666666666666674</v>
      </c>
      <c r="BH22" s="27">
        <v>1</v>
      </c>
      <c r="BI22" s="29">
        <v>0</v>
      </c>
      <c r="BJ22" s="78">
        <v>0</v>
      </c>
      <c r="BK22" s="27">
        <f t="shared" si="4"/>
        <v>1159</v>
      </c>
      <c r="BL22" s="29">
        <f t="shared" si="3"/>
        <v>54</v>
      </c>
      <c r="BM22" s="78">
        <f t="shared" si="1"/>
        <v>4.8868778280543035E-2</v>
      </c>
      <c r="BN22" s="27">
        <v>1</v>
      </c>
      <c r="BO22" s="29">
        <v>0</v>
      </c>
      <c r="BP22" s="78">
        <v>0</v>
      </c>
      <c r="BQ22" s="27">
        <v>12</v>
      </c>
      <c r="BR22" s="29">
        <v>0</v>
      </c>
      <c r="BS22" s="78">
        <v>0</v>
      </c>
      <c r="BT22" s="79" t="s">
        <v>91</v>
      </c>
      <c r="BU22" s="35">
        <v>1159</v>
      </c>
      <c r="BV22" s="35">
        <v>4841</v>
      </c>
      <c r="BW22" s="79" t="s">
        <v>91</v>
      </c>
      <c r="BX22">
        <v>1105</v>
      </c>
      <c r="BY22" s="35">
        <v>4603</v>
      </c>
      <c r="CB22" s="79"/>
      <c r="CC22"/>
      <c r="CD22"/>
    </row>
    <row r="23" spans="2:82" s="4" customFormat="1" x14ac:dyDescent="0.25">
      <c r="B23" s="24" t="s">
        <v>38</v>
      </c>
      <c r="C23" s="25">
        <f t="shared" si="0"/>
        <v>224</v>
      </c>
      <c r="D23" s="29">
        <f t="shared" si="0"/>
        <v>11</v>
      </c>
      <c r="E23" s="78">
        <f t="shared" si="2"/>
        <v>5.164319248826299E-2</v>
      </c>
      <c r="F23" s="25">
        <v>0</v>
      </c>
      <c r="G23" s="29">
        <v>0</v>
      </c>
      <c r="H23" s="78" t="s">
        <v>158</v>
      </c>
      <c r="I23" s="27">
        <v>0</v>
      </c>
      <c r="J23" s="29">
        <v>0</v>
      </c>
      <c r="K23" s="78" t="s">
        <v>158</v>
      </c>
      <c r="L23" s="27">
        <v>0</v>
      </c>
      <c r="M23" s="29">
        <v>0</v>
      </c>
      <c r="N23" s="78" t="s">
        <v>158</v>
      </c>
      <c r="O23" s="27">
        <v>0</v>
      </c>
      <c r="P23" s="29">
        <v>0</v>
      </c>
      <c r="Q23" s="78" t="s">
        <v>158</v>
      </c>
      <c r="R23" s="27">
        <v>0</v>
      </c>
      <c r="S23" s="29">
        <v>0</v>
      </c>
      <c r="T23" s="78" t="s">
        <v>158</v>
      </c>
      <c r="U23" s="27">
        <v>0</v>
      </c>
      <c r="V23" s="29">
        <v>0</v>
      </c>
      <c r="W23" s="78" t="s">
        <v>158</v>
      </c>
      <c r="X23" s="27">
        <v>0</v>
      </c>
      <c r="Y23" s="29">
        <v>0</v>
      </c>
      <c r="Z23" s="78" t="s">
        <v>158</v>
      </c>
      <c r="AA23" s="27">
        <v>0</v>
      </c>
      <c r="AB23" s="29">
        <v>0</v>
      </c>
      <c r="AC23" s="78" t="s">
        <v>158</v>
      </c>
      <c r="AD23" s="27">
        <v>0</v>
      </c>
      <c r="AE23" s="29">
        <v>0</v>
      </c>
      <c r="AF23" s="78" t="s">
        <v>158</v>
      </c>
      <c r="AG23" s="27">
        <v>0</v>
      </c>
      <c r="AH23" s="29">
        <v>0</v>
      </c>
      <c r="AI23" s="78" t="s">
        <v>158</v>
      </c>
      <c r="AJ23" s="27">
        <v>0</v>
      </c>
      <c r="AK23" s="29">
        <v>0</v>
      </c>
      <c r="AL23" s="78" t="s">
        <v>158</v>
      </c>
      <c r="AM23" s="27">
        <v>0</v>
      </c>
      <c r="AN23" s="29">
        <v>0</v>
      </c>
      <c r="AO23" s="78" t="s">
        <v>158</v>
      </c>
      <c r="AP23" s="27">
        <v>0</v>
      </c>
      <c r="AQ23" s="29">
        <v>0</v>
      </c>
      <c r="AR23" s="78" t="s">
        <v>158</v>
      </c>
      <c r="AS23" s="27">
        <v>0</v>
      </c>
      <c r="AT23" s="29">
        <v>0</v>
      </c>
      <c r="AU23" s="78" t="s">
        <v>158</v>
      </c>
      <c r="AV23" s="27">
        <v>0</v>
      </c>
      <c r="AW23" s="29">
        <v>0</v>
      </c>
      <c r="AX23" s="78" t="s">
        <v>158</v>
      </c>
      <c r="AY23" s="27">
        <v>0</v>
      </c>
      <c r="AZ23" s="29">
        <v>0</v>
      </c>
      <c r="BA23" s="78" t="s">
        <v>158</v>
      </c>
      <c r="BB23" s="27">
        <v>0</v>
      </c>
      <c r="BC23" s="29">
        <v>0</v>
      </c>
      <c r="BD23" s="78" t="s">
        <v>158</v>
      </c>
      <c r="BE23" s="27">
        <v>0</v>
      </c>
      <c r="BF23" s="29">
        <v>0</v>
      </c>
      <c r="BG23" s="78" t="s">
        <v>158</v>
      </c>
      <c r="BH23" s="27">
        <v>0</v>
      </c>
      <c r="BI23" s="29">
        <v>0</v>
      </c>
      <c r="BJ23" s="78" t="s">
        <v>158</v>
      </c>
      <c r="BK23" s="27">
        <f t="shared" si="4"/>
        <v>219</v>
      </c>
      <c r="BL23" s="29">
        <f t="shared" si="3"/>
        <v>11</v>
      </c>
      <c r="BM23" s="78">
        <f t="shared" si="1"/>
        <v>5.2884615384615419E-2</v>
      </c>
      <c r="BN23" s="27">
        <v>0</v>
      </c>
      <c r="BO23" s="29">
        <v>0</v>
      </c>
      <c r="BP23" s="78" t="s">
        <v>158</v>
      </c>
      <c r="BQ23" s="27">
        <v>5</v>
      </c>
      <c r="BR23" s="29">
        <v>0</v>
      </c>
      <c r="BS23" s="78">
        <v>0</v>
      </c>
      <c r="BT23" s="79" t="s">
        <v>92</v>
      </c>
      <c r="BU23" s="35">
        <v>219</v>
      </c>
      <c r="BV23" s="35">
        <v>985</v>
      </c>
      <c r="BW23" s="79" t="s">
        <v>92</v>
      </c>
      <c r="BX23">
        <v>208</v>
      </c>
      <c r="BY23" s="35">
        <v>902</v>
      </c>
      <c r="CB23" s="79"/>
      <c r="CC23"/>
      <c r="CD23"/>
    </row>
    <row r="24" spans="2:82" s="4" customFormat="1" x14ac:dyDescent="0.25">
      <c r="B24" s="24" t="s">
        <v>39</v>
      </c>
      <c r="C24" s="25">
        <f t="shared" si="0"/>
        <v>433</v>
      </c>
      <c r="D24" s="29">
        <f t="shared" si="0"/>
        <v>41</v>
      </c>
      <c r="E24" s="78">
        <f t="shared" si="2"/>
        <v>0.10459183673469385</v>
      </c>
      <c r="F24" s="25">
        <v>5</v>
      </c>
      <c r="G24" s="29">
        <v>0</v>
      </c>
      <c r="H24" s="78">
        <v>0</v>
      </c>
      <c r="I24" s="27">
        <v>1</v>
      </c>
      <c r="J24" s="29">
        <v>0</v>
      </c>
      <c r="K24" s="78">
        <v>0</v>
      </c>
      <c r="L24" s="27">
        <v>2</v>
      </c>
      <c r="M24" s="29">
        <v>0</v>
      </c>
      <c r="N24" s="78">
        <v>0</v>
      </c>
      <c r="O24" s="27">
        <v>1</v>
      </c>
      <c r="P24" s="29">
        <v>0</v>
      </c>
      <c r="Q24" s="78">
        <v>0</v>
      </c>
      <c r="R24" s="27">
        <v>0</v>
      </c>
      <c r="S24" s="29">
        <v>0</v>
      </c>
      <c r="T24" s="78" t="s">
        <v>158</v>
      </c>
      <c r="U24" s="27">
        <v>0</v>
      </c>
      <c r="V24" s="29">
        <v>0</v>
      </c>
      <c r="W24" s="78" t="s">
        <v>158</v>
      </c>
      <c r="X24" s="27">
        <v>0</v>
      </c>
      <c r="Y24" s="29">
        <v>0</v>
      </c>
      <c r="Z24" s="78" t="s">
        <v>158</v>
      </c>
      <c r="AA24" s="27">
        <v>0</v>
      </c>
      <c r="AB24" s="29">
        <v>0</v>
      </c>
      <c r="AC24" s="78" t="s">
        <v>158</v>
      </c>
      <c r="AD24" s="27">
        <v>1</v>
      </c>
      <c r="AE24" s="29">
        <v>0</v>
      </c>
      <c r="AF24" s="78">
        <v>0</v>
      </c>
      <c r="AG24" s="27">
        <v>3</v>
      </c>
      <c r="AH24" s="29">
        <v>0</v>
      </c>
      <c r="AI24" s="78">
        <v>0</v>
      </c>
      <c r="AJ24" s="27">
        <v>1</v>
      </c>
      <c r="AK24" s="29">
        <v>0</v>
      </c>
      <c r="AL24" s="78">
        <v>0</v>
      </c>
      <c r="AM24" s="27">
        <v>0</v>
      </c>
      <c r="AN24" s="29">
        <v>0</v>
      </c>
      <c r="AO24" s="78" t="s">
        <v>158</v>
      </c>
      <c r="AP24" s="27">
        <v>0</v>
      </c>
      <c r="AQ24" s="29">
        <v>0</v>
      </c>
      <c r="AR24" s="78" t="s">
        <v>158</v>
      </c>
      <c r="AS24" s="27">
        <v>0</v>
      </c>
      <c r="AT24" s="29">
        <v>0</v>
      </c>
      <c r="AU24" s="78" t="s">
        <v>158</v>
      </c>
      <c r="AV24" s="27">
        <v>0</v>
      </c>
      <c r="AW24" s="29">
        <v>0</v>
      </c>
      <c r="AX24" s="78" t="s">
        <v>158</v>
      </c>
      <c r="AY24" s="27">
        <v>0</v>
      </c>
      <c r="AZ24" s="29">
        <v>0</v>
      </c>
      <c r="BA24" s="78" t="s">
        <v>158</v>
      </c>
      <c r="BB24" s="27">
        <v>0</v>
      </c>
      <c r="BC24" s="29">
        <v>0</v>
      </c>
      <c r="BD24" s="78" t="s">
        <v>158</v>
      </c>
      <c r="BE24" s="27">
        <v>1</v>
      </c>
      <c r="BF24" s="29">
        <v>0</v>
      </c>
      <c r="BG24" s="78">
        <v>0</v>
      </c>
      <c r="BH24" s="27">
        <v>1</v>
      </c>
      <c r="BI24" s="29">
        <v>0</v>
      </c>
      <c r="BJ24" s="78">
        <v>0</v>
      </c>
      <c r="BK24" s="27">
        <f t="shared" si="4"/>
        <v>415</v>
      </c>
      <c r="BL24" s="29">
        <f t="shared" si="3"/>
        <v>40</v>
      </c>
      <c r="BM24" s="78">
        <f t="shared" si="1"/>
        <v>0.10666666666666669</v>
      </c>
      <c r="BN24" s="27">
        <v>1</v>
      </c>
      <c r="BO24" s="29">
        <v>0</v>
      </c>
      <c r="BP24" s="78">
        <v>0</v>
      </c>
      <c r="BQ24" s="27">
        <v>9</v>
      </c>
      <c r="BR24" s="29">
        <v>1</v>
      </c>
      <c r="BS24" s="78">
        <v>0.125</v>
      </c>
      <c r="BT24" s="79" t="s">
        <v>39</v>
      </c>
      <c r="BU24" s="35">
        <v>415</v>
      </c>
      <c r="BV24" s="35">
        <v>2100</v>
      </c>
      <c r="BW24" s="79" t="s">
        <v>39</v>
      </c>
      <c r="BX24">
        <v>375</v>
      </c>
      <c r="BY24" s="35">
        <v>1849</v>
      </c>
      <c r="CB24" s="79"/>
      <c r="CC24"/>
      <c r="CD24"/>
    </row>
    <row r="25" spans="2:82" s="4" customFormat="1" x14ac:dyDescent="0.25">
      <c r="B25" s="24" t="s">
        <v>40</v>
      </c>
      <c r="C25" s="25">
        <f t="shared" si="0"/>
        <v>2062</v>
      </c>
      <c r="D25" s="29">
        <f t="shared" si="0"/>
        <v>139</v>
      </c>
      <c r="E25" s="78">
        <f t="shared" si="2"/>
        <v>7.2282891315652575E-2</v>
      </c>
      <c r="F25" s="25">
        <v>62</v>
      </c>
      <c r="G25" s="29">
        <v>2</v>
      </c>
      <c r="H25" s="78">
        <v>3.3333333333333437E-2</v>
      </c>
      <c r="I25" s="27">
        <v>4</v>
      </c>
      <c r="J25" s="29">
        <v>0</v>
      </c>
      <c r="K25" s="78">
        <v>0</v>
      </c>
      <c r="L25" s="27">
        <v>10</v>
      </c>
      <c r="M25" s="29">
        <v>0</v>
      </c>
      <c r="N25" s="78">
        <v>0</v>
      </c>
      <c r="O25" s="27">
        <v>17</v>
      </c>
      <c r="P25" s="29">
        <v>1</v>
      </c>
      <c r="Q25" s="78">
        <v>6.25E-2</v>
      </c>
      <c r="R25" s="27">
        <v>29</v>
      </c>
      <c r="S25" s="29">
        <v>0</v>
      </c>
      <c r="T25" s="78">
        <v>0</v>
      </c>
      <c r="U25" s="27">
        <v>1</v>
      </c>
      <c r="V25" s="29">
        <v>1</v>
      </c>
      <c r="W25" s="78" t="s">
        <v>158</v>
      </c>
      <c r="X25" s="27">
        <v>1</v>
      </c>
      <c r="Y25" s="29">
        <v>0</v>
      </c>
      <c r="Z25" s="78">
        <v>0</v>
      </c>
      <c r="AA25" s="27">
        <v>0</v>
      </c>
      <c r="AB25" s="29">
        <v>0</v>
      </c>
      <c r="AC25" s="78" t="s">
        <v>158</v>
      </c>
      <c r="AD25" s="27">
        <v>0</v>
      </c>
      <c r="AE25" s="29">
        <v>0</v>
      </c>
      <c r="AF25" s="78" t="s">
        <v>158</v>
      </c>
      <c r="AG25" s="27">
        <v>23</v>
      </c>
      <c r="AH25" s="29">
        <v>-2</v>
      </c>
      <c r="AI25" s="78">
        <v>-7.999999999999996E-2</v>
      </c>
      <c r="AJ25" s="27">
        <v>2</v>
      </c>
      <c r="AK25" s="29">
        <v>0</v>
      </c>
      <c r="AL25" s="78">
        <v>0</v>
      </c>
      <c r="AM25" s="27">
        <v>5</v>
      </c>
      <c r="AN25" s="29">
        <v>-1</v>
      </c>
      <c r="AO25" s="78">
        <v>-0.16666666666666663</v>
      </c>
      <c r="AP25" s="27">
        <v>8</v>
      </c>
      <c r="AQ25" s="29">
        <v>-2</v>
      </c>
      <c r="AR25" s="78">
        <v>-0.19999999999999996</v>
      </c>
      <c r="AS25" s="27">
        <v>0</v>
      </c>
      <c r="AT25" s="29">
        <v>0</v>
      </c>
      <c r="AU25" s="78" t="s">
        <v>158</v>
      </c>
      <c r="AV25" s="27">
        <v>3</v>
      </c>
      <c r="AW25" s="29">
        <v>1</v>
      </c>
      <c r="AX25" s="78">
        <v>0.5</v>
      </c>
      <c r="AY25" s="27">
        <v>4</v>
      </c>
      <c r="AZ25" s="29">
        <v>0</v>
      </c>
      <c r="BA25" s="78">
        <v>0</v>
      </c>
      <c r="BB25" s="27">
        <v>0</v>
      </c>
      <c r="BC25" s="29">
        <v>0</v>
      </c>
      <c r="BD25" s="78" t="s">
        <v>158</v>
      </c>
      <c r="BE25" s="27">
        <v>1</v>
      </c>
      <c r="BF25" s="29">
        <v>0</v>
      </c>
      <c r="BG25" s="78">
        <v>0</v>
      </c>
      <c r="BH25" s="27">
        <v>0</v>
      </c>
      <c r="BI25" s="29">
        <v>0</v>
      </c>
      <c r="BJ25" s="78" t="s">
        <v>158</v>
      </c>
      <c r="BK25" s="27">
        <f t="shared" si="4"/>
        <v>1976</v>
      </c>
      <c r="BL25" s="29">
        <f t="shared" si="3"/>
        <v>139</v>
      </c>
      <c r="BM25" s="78">
        <f t="shared" si="1"/>
        <v>7.5666848121938024E-2</v>
      </c>
      <c r="BN25" s="27">
        <v>0</v>
      </c>
      <c r="BO25" s="29">
        <v>0</v>
      </c>
      <c r="BP25" s="78" t="s">
        <v>158</v>
      </c>
      <c r="BQ25" s="27">
        <v>1</v>
      </c>
      <c r="BR25" s="29">
        <v>0</v>
      </c>
      <c r="BS25" s="78">
        <v>0</v>
      </c>
      <c r="BT25" s="79" t="s">
        <v>93</v>
      </c>
      <c r="BU25" s="35">
        <v>1976</v>
      </c>
      <c r="BV25" s="35">
        <v>6958</v>
      </c>
      <c r="BW25" s="79" t="s">
        <v>93</v>
      </c>
      <c r="BX25">
        <v>1837</v>
      </c>
      <c r="BY25" s="35">
        <v>6452</v>
      </c>
      <c r="CB25" s="79"/>
      <c r="CC25"/>
      <c r="CD25"/>
    </row>
    <row r="26" spans="2:82" s="4" customFormat="1" x14ac:dyDescent="0.25">
      <c r="B26" s="24" t="s">
        <v>41</v>
      </c>
      <c r="C26" s="25">
        <f t="shared" si="0"/>
        <v>381</v>
      </c>
      <c r="D26" s="29">
        <f t="shared" si="0"/>
        <v>54</v>
      </c>
      <c r="E26" s="78">
        <f t="shared" si="2"/>
        <v>0.16513761467889898</v>
      </c>
      <c r="F26" s="25">
        <v>5</v>
      </c>
      <c r="G26" s="29">
        <v>0</v>
      </c>
      <c r="H26" s="78">
        <v>0</v>
      </c>
      <c r="I26" s="27">
        <v>0</v>
      </c>
      <c r="J26" s="29">
        <v>0</v>
      </c>
      <c r="K26" s="78" t="s">
        <v>158</v>
      </c>
      <c r="L26" s="27">
        <v>0</v>
      </c>
      <c r="M26" s="29">
        <v>0</v>
      </c>
      <c r="N26" s="78" t="s">
        <v>158</v>
      </c>
      <c r="O26" s="27">
        <v>2</v>
      </c>
      <c r="P26" s="29">
        <v>0</v>
      </c>
      <c r="Q26" s="78">
        <v>0</v>
      </c>
      <c r="R26" s="27">
        <v>3</v>
      </c>
      <c r="S26" s="29">
        <v>0</v>
      </c>
      <c r="T26" s="78">
        <v>0</v>
      </c>
      <c r="U26" s="27">
        <v>0</v>
      </c>
      <c r="V26" s="29">
        <v>0</v>
      </c>
      <c r="W26" s="78" t="s">
        <v>158</v>
      </c>
      <c r="X26" s="27">
        <v>0</v>
      </c>
      <c r="Y26" s="29">
        <v>0</v>
      </c>
      <c r="Z26" s="78" t="s">
        <v>158</v>
      </c>
      <c r="AA26" s="27">
        <v>0</v>
      </c>
      <c r="AB26" s="29">
        <v>0</v>
      </c>
      <c r="AC26" s="78" t="s">
        <v>158</v>
      </c>
      <c r="AD26" s="27">
        <v>0</v>
      </c>
      <c r="AE26" s="29">
        <v>0</v>
      </c>
      <c r="AF26" s="78" t="s">
        <v>158</v>
      </c>
      <c r="AG26" s="27">
        <v>4</v>
      </c>
      <c r="AH26" s="29">
        <v>0</v>
      </c>
      <c r="AI26" s="78">
        <v>0</v>
      </c>
      <c r="AJ26" s="27">
        <v>1</v>
      </c>
      <c r="AK26" s="29">
        <v>0</v>
      </c>
      <c r="AL26" s="78">
        <v>0</v>
      </c>
      <c r="AM26" s="27">
        <v>0</v>
      </c>
      <c r="AN26" s="29">
        <v>0</v>
      </c>
      <c r="AO26" s="78" t="s">
        <v>158</v>
      </c>
      <c r="AP26" s="27">
        <v>1</v>
      </c>
      <c r="AQ26" s="29">
        <v>0</v>
      </c>
      <c r="AR26" s="78">
        <v>0</v>
      </c>
      <c r="AS26" s="27">
        <v>0</v>
      </c>
      <c r="AT26" s="29">
        <v>0</v>
      </c>
      <c r="AU26" s="78" t="s">
        <v>158</v>
      </c>
      <c r="AV26" s="27">
        <v>0</v>
      </c>
      <c r="AW26" s="29">
        <v>0</v>
      </c>
      <c r="AX26" s="78" t="s">
        <v>158</v>
      </c>
      <c r="AY26" s="27">
        <v>0</v>
      </c>
      <c r="AZ26" s="29">
        <v>0</v>
      </c>
      <c r="BA26" s="78" t="s">
        <v>158</v>
      </c>
      <c r="BB26" s="27">
        <v>0</v>
      </c>
      <c r="BC26" s="29">
        <v>0</v>
      </c>
      <c r="BD26" s="78" t="s">
        <v>158</v>
      </c>
      <c r="BE26" s="27">
        <v>2</v>
      </c>
      <c r="BF26" s="29">
        <v>0</v>
      </c>
      <c r="BG26" s="78">
        <v>0</v>
      </c>
      <c r="BH26" s="27">
        <v>0</v>
      </c>
      <c r="BI26" s="29">
        <v>0</v>
      </c>
      <c r="BJ26" s="78" t="s">
        <v>158</v>
      </c>
      <c r="BK26" s="27">
        <f t="shared" si="4"/>
        <v>354</v>
      </c>
      <c r="BL26" s="29">
        <f t="shared" si="3"/>
        <v>53</v>
      </c>
      <c r="BM26" s="78">
        <f t="shared" si="1"/>
        <v>0.17607973421926904</v>
      </c>
      <c r="BN26" s="27">
        <v>3</v>
      </c>
      <c r="BO26" s="29">
        <v>0</v>
      </c>
      <c r="BP26" s="78">
        <v>0</v>
      </c>
      <c r="BQ26" s="27">
        <v>15</v>
      </c>
      <c r="BR26" s="29">
        <v>1</v>
      </c>
      <c r="BS26" s="78">
        <v>7.1428571428571397E-2</v>
      </c>
      <c r="BT26" s="79" t="s">
        <v>41</v>
      </c>
      <c r="BU26" s="35">
        <v>354</v>
      </c>
      <c r="BV26" s="35">
        <v>1615</v>
      </c>
      <c r="BW26" s="79" t="s">
        <v>41</v>
      </c>
      <c r="BX26">
        <v>301</v>
      </c>
      <c r="BY26" s="35">
        <v>1349</v>
      </c>
      <c r="CB26" s="79"/>
      <c r="CC26"/>
      <c r="CD26"/>
    </row>
    <row r="27" spans="2:82" s="4" customFormat="1" x14ac:dyDescent="0.25">
      <c r="B27" s="24" t="s">
        <v>42</v>
      </c>
      <c r="C27" s="25">
        <f t="shared" si="0"/>
        <v>450</v>
      </c>
      <c r="D27" s="29">
        <f t="shared" si="0"/>
        <v>34</v>
      </c>
      <c r="E27" s="78">
        <f t="shared" si="2"/>
        <v>8.1730769230769162E-2</v>
      </c>
      <c r="F27" s="25">
        <v>2</v>
      </c>
      <c r="G27" s="29">
        <v>0</v>
      </c>
      <c r="H27" s="78">
        <v>0</v>
      </c>
      <c r="I27" s="27">
        <v>1</v>
      </c>
      <c r="J27" s="29">
        <v>0</v>
      </c>
      <c r="K27" s="78">
        <v>0</v>
      </c>
      <c r="L27" s="27">
        <v>1</v>
      </c>
      <c r="M27" s="29">
        <v>0</v>
      </c>
      <c r="N27" s="78">
        <v>0</v>
      </c>
      <c r="O27" s="27">
        <v>0</v>
      </c>
      <c r="P27" s="29">
        <v>0</v>
      </c>
      <c r="Q27" s="78" t="s">
        <v>158</v>
      </c>
      <c r="R27" s="27">
        <v>0</v>
      </c>
      <c r="S27" s="29">
        <v>0</v>
      </c>
      <c r="T27" s="78" t="s">
        <v>158</v>
      </c>
      <c r="U27" s="27">
        <v>0</v>
      </c>
      <c r="V27" s="29">
        <v>0</v>
      </c>
      <c r="W27" s="78" t="s">
        <v>158</v>
      </c>
      <c r="X27" s="27">
        <v>0</v>
      </c>
      <c r="Y27" s="29">
        <v>0</v>
      </c>
      <c r="Z27" s="78" t="s">
        <v>158</v>
      </c>
      <c r="AA27" s="27">
        <v>0</v>
      </c>
      <c r="AB27" s="29">
        <v>0</v>
      </c>
      <c r="AC27" s="78" t="s">
        <v>158</v>
      </c>
      <c r="AD27" s="27">
        <v>0</v>
      </c>
      <c r="AE27" s="29">
        <v>0</v>
      </c>
      <c r="AF27" s="78" t="s">
        <v>158</v>
      </c>
      <c r="AG27" s="27">
        <v>1</v>
      </c>
      <c r="AH27" s="29">
        <v>0</v>
      </c>
      <c r="AI27" s="78">
        <v>0</v>
      </c>
      <c r="AJ27" s="27">
        <v>0</v>
      </c>
      <c r="AK27" s="29">
        <v>0</v>
      </c>
      <c r="AL27" s="78" t="s">
        <v>158</v>
      </c>
      <c r="AM27" s="27">
        <v>0</v>
      </c>
      <c r="AN27" s="29">
        <v>0</v>
      </c>
      <c r="AO27" s="78" t="s">
        <v>158</v>
      </c>
      <c r="AP27" s="27">
        <v>0</v>
      </c>
      <c r="AQ27" s="29">
        <v>0</v>
      </c>
      <c r="AR27" s="78" t="s">
        <v>158</v>
      </c>
      <c r="AS27" s="27">
        <v>0</v>
      </c>
      <c r="AT27" s="29">
        <v>0</v>
      </c>
      <c r="AU27" s="78" t="s">
        <v>158</v>
      </c>
      <c r="AV27" s="27">
        <v>0</v>
      </c>
      <c r="AW27" s="29">
        <v>0</v>
      </c>
      <c r="AX27" s="78" t="s">
        <v>158</v>
      </c>
      <c r="AY27" s="27">
        <v>0</v>
      </c>
      <c r="AZ27" s="29">
        <v>0</v>
      </c>
      <c r="BA27" s="78" t="s">
        <v>158</v>
      </c>
      <c r="BB27" s="27">
        <v>0</v>
      </c>
      <c r="BC27" s="29">
        <v>0</v>
      </c>
      <c r="BD27" s="78" t="s">
        <v>158</v>
      </c>
      <c r="BE27" s="27">
        <v>0</v>
      </c>
      <c r="BF27" s="29">
        <v>0</v>
      </c>
      <c r="BG27" s="78" t="s">
        <v>158</v>
      </c>
      <c r="BH27" s="27">
        <v>1</v>
      </c>
      <c r="BI27" s="29">
        <v>0</v>
      </c>
      <c r="BJ27" s="78">
        <v>0</v>
      </c>
      <c r="BK27" s="27">
        <f t="shared" si="4"/>
        <v>443</v>
      </c>
      <c r="BL27" s="29">
        <f t="shared" si="3"/>
        <v>34</v>
      </c>
      <c r="BM27" s="78">
        <f t="shared" si="1"/>
        <v>8.312958435207829E-2</v>
      </c>
      <c r="BN27" s="27">
        <v>1</v>
      </c>
      <c r="BO27" s="29">
        <v>0</v>
      </c>
      <c r="BP27" s="78">
        <v>0</v>
      </c>
      <c r="BQ27" s="27">
        <v>3</v>
      </c>
      <c r="BR27" s="29">
        <v>0</v>
      </c>
      <c r="BS27" s="78">
        <v>0</v>
      </c>
      <c r="BT27" s="79" t="s">
        <v>42</v>
      </c>
      <c r="BU27" s="35">
        <v>443</v>
      </c>
      <c r="BV27" s="35">
        <v>2283</v>
      </c>
      <c r="BW27" s="79" t="s">
        <v>42</v>
      </c>
      <c r="BX27">
        <v>409</v>
      </c>
      <c r="BY27" s="35">
        <v>2087</v>
      </c>
      <c r="CB27" s="79"/>
      <c r="CC27"/>
      <c r="CD27"/>
    </row>
    <row r="28" spans="2:82" s="4" customFormat="1" x14ac:dyDescent="0.25">
      <c r="B28" s="24" t="s">
        <v>43</v>
      </c>
      <c r="C28" s="25">
        <f t="shared" si="0"/>
        <v>79</v>
      </c>
      <c r="D28" s="29">
        <f t="shared" si="0"/>
        <v>14</v>
      </c>
      <c r="E28" s="78">
        <f t="shared" si="2"/>
        <v>0.21538461538461529</v>
      </c>
      <c r="F28" s="25">
        <v>0</v>
      </c>
      <c r="G28" s="29">
        <v>0</v>
      </c>
      <c r="H28" s="78">
        <f>(D28/(D28-G28))-1</f>
        <v>0</v>
      </c>
      <c r="I28" s="27"/>
      <c r="J28" s="29">
        <v>0</v>
      </c>
      <c r="K28" s="78" t="s">
        <v>158</v>
      </c>
      <c r="L28" s="27">
        <v>0</v>
      </c>
      <c r="M28" s="29">
        <v>0</v>
      </c>
      <c r="N28" s="78" t="s">
        <v>158</v>
      </c>
      <c r="O28" s="27">
        <v>0</v>
      </c>
      <c r="P28" s="29">
        <v>0</v>
      </c>
      <c r="Q28" s="78" t="s">
        <v>158</v>
      </c>
      <c r="R28" s="27">
        <v>0</v>
      </c>
      <c r="S28" s="29">
        <v>0</v>
      </c>
      <c r="T28" s="78" t="s">
        <v>158</v>
      </c>
      <c r="U28" s="27">
        <v>0</v>
      </c>
      <c r="V28" s="29">
        <v>0</v>
      </c>
      <c r="W28" s="78" t="s">
        <v>158</v>
      </c>
      <c r="X28" s="27">
        <v>0</v>
      </c>
      <c r="Y28" s="29">
        <v>0</v>
      </c>
      <c r="Z28" s="78" t="s">
        <v>158</v>
      </c>
      <c r="AA28" s="27">
        <v>0</v>
      </c>
      <c r="AB28" s="29">
        <v>0</v>
      </c>
      <c r="AC28" s="78" t="s">
        <v>158</v>
      </c>
      <c r="AD28" s="27">
        <v>0</v>
      </c>
      <c r="AE28" s="29">
        <v>0</v>
      </c>
      <c r="AF28" s="78" t="s">
        <v>158</v>
      </c>
      <c r="AG28" s="27">
        <v>3</v>
      </c>
      <c r="AH28" s="29">
        <v>0</v>
      </c>
      <c r="AI28" s="78">
        <v>0</v>
      </c>
      <c r="AJ28" s="27">
        <v>0</v>
      </c>
      <c r="AK28" s="29">
        <v>0</v>
      </c>
      <c r="AL28" s="78" t="s">
        <v>158</v>
      </c>
      <c r="AM28" s="27">
        <v>0</v>
      </c>
      <c r="AN28" s="29">
        <v>0</v>
      </c>
      <c r="AO28" s="78" t="s">
        <v>158</v>
      </c>
      <c r="AP28" s="27">
        <v>0</v>
      </c>
      <c r="AQ28" s="29">
        <v>0</v>
      </c>
      <c r="AR28" s="78" t="s">
        <v>158</v>
      </c>
      <c r="AS28" s="27">
        <v>0</v>
      </c>
      <c r="AT28" s="29">
        <v>0</v>
      </c>
      <c r="AU28" s="78" t="s">
        <v>158</v>
      </c>
      <c r="AV28" s="27">
        <v>0</v>
      </c>
      <c r="AW28" s="29">
        <v>0</v>
      </c>
      <c r="AX28" s="78" t="s">
        <v>158</v>
      </c>
      <c r="AY28" s="27">
        <v>0</v>
      </c>
      <c r="AZ28" s="29">
        <v>0</v>
      </c>
      <c r="BA28" s="78" t="s">
        <v>158</v>
      </c>
      <c r="BB28" s="27">
        <v>0</v>
      </c>
      <c r="BC28" s="29">
        <v>0</v>
      </c>
      <c r="BD28" s="78" t="s">
        <v>158</v>
      </c>
      <c r="BE28" s="27">
        <v>3</v>
      </c>
      <c r="BF28" s="29">
        <v>0</v>
      </c>
      <c r="BG28" s="78">
        <v>0</v>
      </c>
      <c r="BH28" s="27">
        <v>0</v>
      </c>
      <c r="BI28" s="29">
        <v>0</v>
      </c>
      <c r="BJ28" s="78" t="s">
        <v>158</v>
      </c>
      <c r="BK28" s="27">
        <f t="shared" si="4"/>
        <v>72</v>
      </c>
      <c r="BL28" s="29">
        <f t="shared" si="3"/>
        <v>14</v>
      </c>
      <c r="BM28" s="78">
        <f t="shared" si="1"/>
        <v>0.24137931034482762</v>
      </c>
      <c r="BN28" s="27">
        <v>1</v>
      </c>
      <c r="BO28" s="29">
        <v>0</v>
      </c>
      <c r="BP28" s="78">
        <v>0</v>
      </c>
      <c r="BQ28" s="27">
        <v>3</v>
      </c>
      <c r="BR28" s="29">
        <v>0</v>
      </c>
      <c r="BS28" s="78">
        <v>0</v>
      </c>
      <c r="BT28" s="79" t="s">
        <v>94</v>
      </c>
      <c r="BU28" s="35">
        <v>72</v>
      </c>
      <c r="BV28" s="35">
        <v>317</v>
      </c>
      <c r="BW28" s="79" t="s">
        <v>94</v>
      </c>
      <c r="BX28">
        <v>58</v>
      </c>
      <c r="BY28" s="35">
        <v>253</v>
      </c>
      <c r="CB28" s="79"/>
      <c r="CC28"/>
      <c r="CD28"/>
    </row>
    <row r="29" spans="2:82" s="4" customFormat="1" x14ac:dyDescent="0.25">
      <c r="B29" s="24" t="s">
        <v>44</v>
      </c>
      <c r="C29" s="25">
        <f t="shared" si="0"/>
        <v>1539</v>
      </c>
      <c r="D29" s="29">
        <f t="shared" si="0"/>
        <v>133</v>
      </c>
      <c r="E29" s="78">
        <f t="shared" si="2"/>
        <v>9.4594594594594517E-2</v>
      </c>
      <c r="F29" s="25">
        <v>7</v>
      </c>
      <c r="G29" s="29">
        <v>0</v>
      </c>
      <c r="H29" s="78" t="e">
        <f>VLOOKUP($D$1,'estab aut municipio x tip y cat'!$B$8:$BU$39,62+2,FALSE)</f>
        <v>#N/A</v>
      </c>
      <c r="I29" s="27">
        <v>0</v>
      </c>
      <c r="J29" s="29">
        <v>0</v>
      </c>
      <c r="K29" s="78" t="s">
        <v>158</v>
      </c>
      <c r="L29" s="27">
        <v>0</v>
      </c>
      <c r="M29" s="29">
        <v>0</v>
      </c>
      <c r="N29" s="78" t="s">
        <v>158</v>
      </c>
      <c r="O29" s="27">
        <v>1</v>
      </c>
      <c r="P29" s="29">
        <v>0</v>
      </c>
      <c r="Q29" s="78">
        <v>0</v>
      </c>
      <c r="R29" s="27">
        <v>2</v>
      </c>
      <c r="S29" s="29">
        <v>0</v>
      </c>
      <c r="T29" s="78">
        <v>0</v>
      </c>
      <c r="U29" s="27">
        <v>3</v>
      </c>
      <c r="V29" s="29">
        <v>0</v>
      </c>
      <c r="W29" s="78">
        <v>0</v>
      </c>
      <c r="X29" s="27">
        <v>0</v>
      </c>
      <c r="Y29" s="29">
        <v>0</v>
      </c>
      <c r="Z29" s="78" t="s">
        <v>158</v>
      </c>
      <c r="AA29" s="27">
        <v>0</v>
      </c>
      <c r="AB29" s="29">
        <v>0</v>
      </c>
      <c r="AC29" s="78" t="s">
        <v>158</v>
      </c>
      <c r="AD29" s="27">
        <v>1</v>
      </c>
      <c r="AE29" s="29">
        <v>0</v>
      </c>
      <c r="AF29" s="78">
        <v>0</v>
      </c>
      <c r="AG29" s="27">
        <v>14</v>
      </c>
      <c r="AH29" s="29">
        <v>0</v>
      </c>
      <c r="AI29" s="78">
        <v>0</v>
      </c>
      <c r="AJ29" s="27">
        <v>3</v>
      </c>
      <c r="AK29" s="29">
        <v>0</v>
      </c>
      <c r="AL29" s="78">
        <v>0</v>
      </c>
      <c r="AM29" s="27">
        <v>2</v>
      </c>
      <c r="AN29" s="29">
        <v>0</v>
      </c>
      <c r="AO29" s="78">
        <v>0</v>
      </c>
      <c r="AP29" s="27">
        <v>3</v>
      </c>
      <c r="AQ29" s="29">
        <v>0</v>
      </c>
      <c r="AR29" s="78">
        <v>0</v>
      </c>
      <c r="AS29" s="27">
        <v>0</v>
      </c>
      <c r="AT29" s="29">
        <v>0</v>
      </c>
      <c r="AU29" s="78" t="s">
        <v>158</v>
      </c>
      <c r="AV29" s="27">
        <v>3</v>
      </c>
      <c r="AW29" s="29">
        <v>0</v>
      </c>
      <c r="AX29" s="78">
        <v>0</v>
      </c>
      <c r="AY29" s="27">
        <v>0</v>
      </c>
      <c r="AZ29" s="29">
        <v>0</v>
      </c>
      <c r="BA29" s="78" t="s">
        <v>158</v>
      </c>
      <c r="BB29" s="27">
        <v>1</v>
      </c>
      <c r="BC29" s="29">
        <v>0</v>
      </c>
      <c r="BD29" s="78">
        <v>0</v>
      </c>
      <c r="BE29" s="27">
        <v>2</v>
      </c>
      <c r="BF29" s="29">
        <v>0</v>
      </c>
      <c r="BG29" s="78">
        <v>0</v>
      </c>
      <c r="BH29" s="27">
        <v>0</v>
      </c>
      <c r="BI29" s="29">
        <v>0</v>
      </c>
      <c r="BJ29" s="78" t="s">
        <v>158</v>
      </c>
      <c r="BK29" s="27">
        <f t="shared" si="4"/>
        <v>1514</v>
      </c>
      <c r="BL29" s="29">
        <f t="shared" si="3"/>
        <v>133</v>
      </c>
      <c r="BM29" s="78">
        <f t="shared" si="1"/>
        <v>9.6307023895727761E-2</v>
      </c>
      <c r="BN29" s="27">
        <v>1</v>
      </c>
      <c r="BO29" s="29">
        <v>0</v>
      </c>
      <c r="BP29" s="78">
        <v>0</v>
      </c>
      <c r="BQ29" s="27">
        <v>3</v>
      </c>
      <c r="BR29" s="29">
        <v>0</v>
      </c>
      <c r="BS29" s="78">
        <v>0</v>
      </c>
      <c r="BT29" s="79" t="s">
        <v>95</v>
      </c>
      <c r="BU29" s="35">
        <v>1514</v>
      </c>
      <c r="BV29" s="35">
        <v>6207</v>
      </c>
      <c r="BW29" s="79" t="s">
        <v>95</v>
      </c>
      <c r="BX29">
        <v>1381</v>
      </c>
      <c r="BY29" s="35">
        <v>5555</v>
      </c>
      <c r="CB29" s="79"/>
      <c r="CC29"/>
      <c r="CD29"/>
    </row>
    <row r="30" spans="2:82" s="4" customFormat="1" x14ac:dyDescent="0.25">
      <c r="B30" s="24" t="s">
        <v>45</v>
      </c>
      <c r="C30" s="25">
        <f t="shared" si="0"/>
        <v>2352</v>
      </c>
      <c r="D30" s="29">
        <f t="shared" si="0"/>
        <v>184</v>
      </c>
      <c r="E30" s="78">
        <f t="shared" si="2"/>
        <v>8.4870848708487046E-2</v>
      </c>
      <c r="F30" s="25">
        <v>34</v>
      </c>
      <c r="G30" s="29">
        <v>2</v>
      </c>
      <c r="H30" s="78">
        <v>6.25E-2</v>
      </c>
      <c r="I30" s="27">
        <v>8</v>
      </c>
      <c r="J30" s="29">
        <v>0</v>
      </c>
      <c r="K30" s="78">
        <v>0</v>
      </c>
      <c r="L30" s="27">
        <v>7</v>
      </c>
      <c r="M30" s="29">
        <v>1</v>
      </c>
      <c r="N30" s="78">
        <v>0.16666666666666674</v>
      </c>
      <c r="O30" s="27">
        <v>6</v>
      </c>
      <c r="P30" s="29">
        <v>-1</v>
      </c>
      <c r="Q30" s="78">
        <v>-0.1428571428571429</v>
      </c>
      <c r="R30" s="27">
        <v>8</v>
      </c>
      <c r="S30" s="29">
        <v>0</v>
      </c>
      <c r="T30" s="78">
        <v>0</v>
      </c>
      <c r="U30" s="27">
        <v>1</v>
      </c>
      <c r="V30" s="29">
        <v>0</v>
      </c>
      <c r="W30" s="78">
        <v>0</v>
      </c>
      <c r="X30" s="27">
        <v>0</v>
      </c>
      <c r="Y30" s="29">
        <v>0</v>
      </c>
      <c r="Z30" s="78" t="s">
        <v>158</v>
      </c>
      <c r="AA30" s="27">
        <v>0</v>
      </c>
      <c r="AB30" s="29">
        <v>0</v>
      </c>
      <c r="AC30" s="78" t="s">
        <v>158</v>
      </c>
      <c r="AD30" s="27">
        <v>1</v>
      </c>
      <c r="AE30" s="29">
        <v>0</v>
      </c>
      <c r="AF30" s="78">
        <v>0</v>
      </c>
      <c r="AG30" s="27">
        <v>8</v>
      </c>
      <c r="AH30" s="29">
        <v>0</v>
      </c>
      <c r="AI30" s="78">
        <v>0</v>
      </c>
      <c r="AJ30" s="27">
        <v>0</v>
      </c>
      <c r="AK30" s="29">
        <v>0</v>
      </c>
      <c r="AL30" s="78" t="s">
        <v>158</v>
      </c>
      <c r="AM30" s="27">
        <v>0</v>
      </c>
      <c r="AN30" s="29">
        <v>0</v>
      </c>
      <c r="AO30" s="78" t="s">
        <v>158</v>
      </c>
      <c r="AP30" s="27">
        <v>0</v>
      </c>
      <c r="AQ30" s="29">
        <v>0</v>
      </c>
      <c r="AR30" s="78" t="s">
        <v>158</v>
      </c>
      <c r="AS30" s="27">
        <v>0</v>
      </c>
      <c r="AT30" s="29">
        <v>0</v>
      </c>
      <c r="AU30" s="78" t="s">
        <v>158</v>
      </c>
      <c r="AV30" s="27">
        <v>0</v>
      </c>
      <c r="AW30" s="29">
        <v>0</v>
      </c>
      <c r="AX30" s="78" t="s">
        <v>158</v>
      </c>
      <c r="AY30" s="27">
        <v>0</v>
      </c>
      <c r="AZ30" s="29">
        <v>0</v>
      </c>
      <c r="BA30" s="78" t="s">
        <v>158</v>
      </c>
      <c r="BB30" s="27">
        <v>0</v>
      </c>
      <c r="BC30" s="29">
        <v>0</v>
      </c>
      <c r="BD30" s="78" t="s">
        <v>158</v>
      </c>
      <c r="BE30" s="27">
        <v>7</v>
      </c>
      <c r="BF30" s="29">
        <v>0</v>
      </c>
      <c r="BG30" s="78">
        <v>0</v>
      </c>
      <c r="BH30" s="27">
        <v>1</v>
      </c>
      <c r="BI30" s="29">
        <v>0</v>
      </c>
      <c r="BJ30" s="78">
        <v>0</v>
      </c>
      <c r="BK30" s="27">
        <f t="shared" si="4"/>
        <v>2307</v>
      </c>
      <c r="BL30" s="29">
        <f t="shared" si="3"/>
        <v>182</v>
      </c>
      <c r="BM30" s="78">
        <f t="shared" si="1"/>
        <v>8.5647058823529409E-2</v>
      </c>
      <c r="BN30" s="27">
        <v>0</v>
      </c>
      <c r="BO30" s="29">
        <v>0</v>
      </c>
      <c r="BP30" s="78" t="s">
        <v>158</v>
      </c>
      <c r="BQ30" s="27">
        <v>3</v>
      </c>
      <c r="BR30" s="29">
        <v>0</v>
      </c>
      <c r="BS30" s="78">
        <v>0</v>
      </c>
      <c r="BT30" s="79" t="s">
        <v>96</v>
      </c>
      <c r="BU30" s="35">
        <v>2307</v>
      </c>
      <c r="BV30" s="35">
        <v>10427</v>
      </c>
      <c r="BW30" s="79" t="s">
        <v>96</v>
      </c>
      <c r="BX30">
        <v>2125</v>
      </c>
      <c r="BY30" s="35">
        <v>9346</v>
      </c>
      <c r="CB30" s="79"/>
      <c r="CC30"/>
      <c r="CD30"/>
    </row>
    <row r="31" spans="2:82" s="4" customFormat="1" x14ac:dyDescent="0.25">
      <c r="B31" s="24" t="s">
        <v>46</v>
      </c>
      <c r="C31" s="25">
        <f t="shared" si="0"/>
        <v>415</v>
      </c>
      <c r="D31" s="29">
        <f t="shared" si="0"/>
        <v>47</v>
      </c>
      <c r="E31" s="78">
        <f t="shared" si="2"/>
        <v>0.12771739130434789</v>
      </c>
      <c r="F31" s="25">
        <v>0</v>
      </c>
      <c r="G31" s="29">
        <v>0</v>
      </c>
      <c r="H31" s="78" t="s">
        <v>158</v>
      </c>
      <c r="I31" s="27">
        <v>0</v>
      </c>
      <c r="J31" s="29">
        <v>0</v>
      </c>
      <c r="K31" s="78" t="s">
        <v>158</v>
      </c>
      <c r="L31" s="27">
        <v>0</v>
      </c>
      <c r="M31" s="29">
        <v>0</v>
      </c>
      <c r="N31" s="78" t="s">
        <v>158</v>
      </c>
      <c r="O31" s="27">
        <v>0</v>
      </c>
      <c r="P31" s="29">
        <v>0</v>
      </c>
      <c r="Q31" s="78" t="s">
        <v>158</v>
      </c>
      <c r="R31" s="27">
        <v>0</v>
      </c>
      <c r="S31" s="29">
        <v>0</v>
      </c>
      <c r="T31" s="78" t="s">
        <v>158</v>
      </c>
      <c r="U31" s="27">
        <v>0</v>
      </c>
      <c r="V31" s="29">
        <v>0</v>
      </c>
      <c r="W31" s="78" t="s">
        <v>158</v>
      </c>
      <c r="X31" s="27">
        <v>0</v>
      </c>
      <c r="Y31" s="29">
        <v>0</v>
      </c>
      <c r="Z31" s="78" t="s">
        <v>158</v>
      </c>
      <c r="AA31" s="27">
        <v>0</v>
      </c>
      <c r="AB31" s="29">
        <v>0</v>
      </c>
      <c r="AC31" s="78" t="s">
        <v>158</v>
      </c>
      <c r="AD31" s="27">
        <v>0</v>
      </c>
      <c r="AE31" s="29">
        <v>0</v>
      </c>
      <c r="AF31" s="78" t="s">
        <v>158</v>
      </c>
      <c r="AG31" s="27">
        <v>0</v>
      </c>
      <c r="AH31" s="29">
        <v>0</v>
      </c>
      <c r="AI31" s="78" t="s">
        <v>158</v>
      </c>
      <c r="AJ31" s="27">
        <v>0</v>
      </c>
      <c r="AK31" s="29">
        <v>0</v>
      </c>
      <c r="AL31" s="78" t="s">
        <v>158</v>
      </c>
      <c r="AM31" s="27">
        <v>0</v>
      </c>
      <c r="AN31" s="29">
        <v>0</v>
      </c>
      <c r="AO31" s="78" t="s">
        <v>158</v>
      </c>
      <c r="AP31" s="27">
        <v>0</v>
      </c>
      <c r="AQ31" s="29">
        <v>0</v>
      </c>
      <c r="AR31" s="78" t="s">
        <v>158</v>
      </c>
      <c r="AS31" s="27">
        <v>0</v>
      </c>
      <c r="AT31" s="29">
        <v>0</v>
      </c>
      <c r="AU31" s="78" t="s">
        <v>158</v>
      </c>
      <c r="AV31" s="27">
        <v>0</v>
      </c>
      <c r="AW31" s="29">
        <v>0</v>
      </c>
      <c r="AX31" s="78" t="s">
        <v>158</v>
      </c>
      <c r="AY31" s="27">
        <v>0</v>
      </c>
      <c r="AZ31" s="29">
        <v>0</v>
      </c>
      <c r="BA31" s="78" t="s">
        <v>158</v>
      </c>
      <c r="BB31" s="27">
        <v>0</v>
      </c>
      <c r="BC31" s="29">
        <v>0</v>
      </c>
      <c r="BD31" s="78" t="s">
        <v>158</v>
      </c>
      <c r="BE31" s="27">
        <v>0</v>
      </c>
      <c r="BF31" s="29">
        <v>0</v>
      </c>
      <c r="BG31" s="78" t="s">
        <v>158</v>
      </c>
      <c r="BH31" s="27">
        <v>0</v>
      </c>
      <c r="BI31" s="29">
        <v>0</v>
      </c>
      <c r="BJ31" s="78" t="s">
        <v>158</v>
      </c>
      <c r="BK31" s="27">
        <f t="shared" si="4"/>
        <v>415</v>
      </c>
      <c r="BL31" s="29">
        <f t="shared" si="3"/>
        <v>47</v>
      </c>
      <c r="BM31" s="78">
        <f t="shared" si="1"/>
        <v>0.12771739130434789</v>
      </c>
      <c r="BN31" s="27">
        <v>0</v>
      </c>
      <c r="BO31" s="29">
        <v>0</v>
      </c>
      <c r="BP31" s="78" t="s">
        <v>158</v>
      </c>
      <c r="BQ31" s="27">
        <v>0</v>
      </c>
      <c r="BR31" s="29">
        <v>0</v>
      </c>
      <c r="BS31" s="78" t="s">
        <v>158</v>
      </c>
      <c r="BT31" s="79" t="s">
        <v>46</v>
      </c>
      <c r="BU31" s="35">
        <v>415</v>
      </c>
      <c r="BV31" s="35">
        <v>2110</v>
      </c>
      <c r="BW31" s="79" t="s">
        <v>46</v>
      </c>
      <c r="BX31">
        <v>368</v>
      </c>
      <c r="BY31" s="35">
        <v>1729</v>
      </c>
      <c r="CB31" s="79"/>
      <c r="CC31"/>
      <c r="CD31"/>
    </row>
    <row r="32" spans="2:82" s="4" customFormat="1" x14ac:dyDescent="0.25">
      <c r="B32" s="24" t="s">
        <v>47</v>
      </c>
      <c r="C32" s="25">
        <f t="shared" si="0"/>
        <v>1544</v>
      </c>
      <c r="D32" s="29">
        <f t="shared" si="0"/>
        <v>127</v>
      </c>
      <c r="E32" s="78">
        <f t="shared" si="2"/>
        <v>8.9625970359915375E-2</v>
      </c>
      <c r="F32" s="25">
        <v>8</v>
      </c>
      <c r="G32" s="29">
        <v>0</v>
      </c>
      <c r="H32" s="78">
        <v>0</v>
      </c>
      <c r="I32" s="27">
        <v>0</v>
      </c>
      <c r="J32" s="29">
        <v>0</v>
      </c>
      <c r="K32" s="78" t="s">
        <v>158</v>
      </c>
      <c r="L32" s="27">
        <v>0</v>
      </c>
      <c r="M32" s="29">
        <v>0</v>
      </c>
      <c r="N32" s="78" t="s">
        <v>158</v>
      </c>
      <c r="O32" s="27">
        <v>2</v>
      </c>
      <c r="P32" s="29">
        <v>0</v>
      </c>
      <c r="Q32" s="78">
        <v>0</v>
      </c>
      <c r="R32" s="27">
        <v>6</v>
      </c>
      <c r="S32" s="29">
        <v>0</v>
      </c>
      <c r="T32" s="78">
        <v>0</v>
      </c>
      <c r="U32" s="27">
        <v>0</v>
      </c>
      <c r="V32" s="29">
        <v>0</v>
      </c>
      <c r="W32" s="78" t="s">
        <v>158</v>
      </c>
      <c r="X32" s="27">
        <v>0</v>
      </c>
      <c r="Y32" s="29">
        <v>0</v>
      </c>
      <c r="Z32" s="78" t="s">
        <v>158</v>
      </c>
      <c r="AA32" s="27">
        <v>0</v>
      </c>
      <c r="AB32" s="29">
        <v>0</v>
      </c>
      <c r="AC32" s="78" t="s">
        <v>158</v>
      </c>
      <c r="AD32" s="27">
        <v>0</v>
      </c>
      <c r="AE32" s="29">
        <v>0</v>
      </c>
      <c r="AF32" s="78" t="s">
        <v>158</v>
      </c>
      <c r="AG32" s="27">
        <v>15</v>
      </c>
      <c r="AH32" s="29">
        <v>0</v>
      </c>
      <c r="AI32" s="78">
        <v>0</v>
      </c>
      <c r="AJ32" s="27">
        <v>9</v>
      </c>
      <c r="AK32" s="29">
        <v>0</v>
      </c>
      <c r="AL32" s="78">
        <v>0</v>
      </c>
      <c r="AM32" s="27">
        <v>3</v>
      </c>
      <c r="AN32" s="29">
        <v>0</v>
      </c>
      <c r="AO32" s="78">
        <v>0</v>
      </c>
      <c r="AP32" s="27">
        <v>0</v>
      </c>
      <c r="AQ32" s="29">
        <v>0</v>
      </c>
      <c r="AR32" s="78" t="s">
        <v>158</v>
      </c>
      <c r="AS32" s="27">
        <v>0</v>
      </c>
      <c r="AT32" s="29">
        <v>0</v>
      </c>
      <c r="AU32" s="78" t="s">
        <v>158</v>
      </c>
      <c r="AV32" s="27">
        <v>0</v>
      </c>
      <c r="AW32" s="29">
        <v>0</v>
      </c>
      <c r="AX32" s="78" t="s">
        <v>158</v>
      </c>
      <c r="AY32" s="27">
        <v>1</v>
      </c>
      <c r="AZ32" s="29">
        <v>0</v>
      </c>
      <c r="BA32" s="78">
        <v>0</v>
      </c>
      <c r="BB32" s="27">
        <v>2</v>
      </c>
      <c r="BC32" s="29">
        <v>0</v>
      </c>
      <c r="BD32" s="78">
        <v>0</v>
      </c>
      <c r="BE32" s="27">
        <v>0</v>
      </c>
      <c r="BF32" s="29">
        <v>0</v>
      </c>
      <c r="BG32" s="78" t="s">
        <v>158</v>
      </c>
      <c r="BH32" s="27">
        <v>0</v>
      </c>
      <c r="BI32" s="29">
        <v>0</v>
      </c>
      <c r="BJ32" s="78" t="s">
        <v>158</v>
      </c>
      <c r="BK32" s="27">
        <f t="shared" si="4"/>
        <v>1521</v>
      </c>
      <c r="BL32" s="29">
        <f t="shared" si="3"/>
        <v>127</v>
      </c>
      <c r="BM32" s="78">
        <f t="shared" si="1"/>
        <v>9.1104734576757496E-2</v>
      </c>
      <c r="BN32" s="27">
        <v>0</v>
      </c>
      <c r="BO32" s="29">
        <v>0</v>
      </c>
      <c r="BP32" s="78" t="s">
        <v>158</v>
      </c>
      <c r="BQ32" s="27">
        <v>0</v>
      </c>
      <c r="BR32" s="29">
        <v>0</v>
      </c>
      <c r="BS32" s="78" t="s">
        <v>158</v>
      </c>
      <c r="BT32" s="79" t="s">
        <v>97</v>
      </c>
      <c r="BU32" s="35">
        <v>1521</v>
      </c>
      <c r="BV32" s="35">
        <v>5926</v>
      </c>
      <c r="BW32" s="79" t="s">
        <v>97</v>
      </c>
      <c r="BX32">
        <v>1394</v>
      </c>
      <c r="BY32" s="35">
        <v>5463</v>
      </c>
      <c r="CB32" s="79"/>
      <c r="CC32"/>
      <c r="CD32"/>
    </row>
    <row r="33" spans="2:82" s="4" customFormat="1" x14ac:dyDescent="0.25">
      <c r="B33" s="24" t="s">
        <v>48</v>
      </c>
      <c r="C33" s="25">
        <f t="shared" si="0"/>
        <v>161</v>
      </c>
      <c r="D33" s="29">
        <f t="shared" si="0"/>
        <v>18</v>
      </c>
      <c r="E33" s="78">
        <f t="shared" si="2"/>
        <v>0.12587412587412583</v>
      </c>
      <c r="F33" s="25">
        <v>1</v>
      </c>
      <c r="G33" s="29">
        <v>0</v>
      </c>
      <c r="H33" s="78">
        <v>0</v>
      </c>
      <c r="I33" s="27">
        <v>0</v>
      </c>
      <c r="J33" s="29">
        <v>0</v>
      </c>
      <c r="K33" s="78" t="s">
        <v>158</v>
      </c>
      <c r="L33" s="27">
        <v>1</v>
      </c>
      <c r="M33" s="29">
        <v>0</v>
      </c>
      <c r="N33" s="78">
        <v>0</v>
      </c>
      <c r="O33" s="27">
        <v>0</v>
      </c>
      <c r="P33" s="29">
        <v>0</v>
      </c>
      <c r="Q33" s="78" t="s">
        <v>158</v>
      </c>
      <c r="R33" s="27">
        <v>0</v>
      </c>
      <c r="S33" s="29">
        <v>0</v>
      </c>
      <c r="T33" s="78" t="s">
        <v>158</v>
      </c>
      <c r="U33" s="27">
        <v>0</v>
      </c>
      <c r="V33" s="29">
        <v>0</v>
      </c>
      <c r="W33" s="78" t="s">
        <v>158</v>
      </c>
      <c r="X33" s="27">
        <v>0</v>
      </c>
      <c r="Y33" s="29">
        <v>0</v>
      </c>
      <c r="Z33" s="78" t="s">
        <v>158</v>
      </c>
      <c r="AA33" s="27">
        <v>0</v>
      </c>
      <c r="AB33" s="29">
        <v>0</v>
      </c>
      <c r="AC33" s="78" t="s">
        <v>158</v>
      </c>
      <c r="AD33" s="27">
        <v>0</v>
      </c>
      <c r="AE33" s="29">
        <v>0</v>
      </c>
      <c r="AF33" s="78" t="s">
        <v>158</v>
      </c>
      <c r="AG33" s="27">
        <v>0</v>
      </c>
      <c r="AH33" s="29">
        <v>0</v>
      </c>
      <c r="AI33" s="78" t="s">
        <v>158</v>
      </c>
      <c r="AJ33" s="27">
        <v>0</v>
      </c>
      <c r="AK33" s="29">
        <v>0</v>
      </c>
      <c r="AL33" s="78" t="s">
        <v>158</v>
      </c>
      <c r="AM33" s="27">
        <v>0</v>
      </c>
      <c r="AN33" s="29">
        <v>0</v>
      </c>
      <c r="AO33" s="78" t="s">
        <v>158</v>
      </c>
      <c r="AP33" s="27">
        <v>0</v>
      </c>
      <c r="AQ33" s="29">
        <v>0</v>
      </c>
      <c r="AR33" s="78" t="s">
        <v>158</v>
      </c>
      <c r="AS33" s="27">
        <v>0</v>
      </c>
      <c r="AT33" s="29">
        <v>0</v>
      </c>
      <c r="AU33" s="78" t="s">
        <v>158</v>
      </c>
      <c r="AV33" s="27">
        <v>0</v>
      </c>
      <c r="AW33" s="29">
        <v>0</v>
      </c>
      <c r="AX33" s="78" t="s">
        <v>158</v>
      </c>
      <c r="AY33" s="27">
        <v>0</v>
      </c>
      <c r="AZ33" s="29">
        <v>0</v>
      </c>
      <c r="BA33" s="78" t="s">
        <v>158</v>
      </c>
      <c r="BB33" s="27">
        <v>0</v>
      </c>
      <c r="BC33" s="29">
        <v>0</v>
      </c>
      <c r="BD33" s="78" t="s">
        <v>158</v>
      </c>
      <c r="BE33" s="27">
        <v>0</v>
      </c>
      <c r="BF33" s="29">
        <v>0</v>
      </c>
      <c r="BG33" s="78" t="s">
        <v>158</v>
      </c>
      <c r="BH33" s="27">
        <v>0</v>
      </c>
      <c r="BI33" s="29">
        <v>0</v>
      </c>
      <c r="BJ33" s="78" t="s">
        <v>158</v>
      </c>
      <c r="BK33" s="27">
        <f t="shared" si="4"/>
        <v>157</v>
      </c>
      <c r="BL33" s="29">
        <f t="shared" si="3"/>
        <v>18</v>
      </c>
      <c r="BM33" s="78">
        <f t="shared" si="1"/>
        <v>0.12949640287769792</v>
      </c>
      <c r="BN33" s="27">
        <v>1</v>
      </c>
      <c r="BO33" s="29">
        <v>0</v>
      </c>
      <c r="BP33" s="78">
        <v>0</v>
      </c>
      <c r="BQ33" s="27">
        <v>2</v>
      </c>
      <c r="BR33" s="29">
        <v>0</v>
      </c>
      <c r="BS33" s="78">
        <v>0</v>
      </c>
      <c r="BT33" s="79" t="s">
        <v>48</v>
      </c>
      <c r="BU33" s="35">
        <v>157</v>
      </c>
      <c r="BV33" s="35">
        <v>828</v>
      </c>
      <c r="BW33" s="79" t="s">
        <v>48</v>
      </c>
      <c r="BX33">
        <v>139</v>
      </c>
      <c r="BY33" s="35">
        <v>727</v>
      </c>
      <c r="CB33" s="79"/>
      <c r="CC33"/>
      <c r="CD33"/>
    </row>
    <row r="34" spans="2:82" s="4" customFormat="1" x14ac:dyDescent="0.25">
      <c r="B34" s="24" t="s">
        <v>49</v>
      </c>
      <c r="C34" s="25">
        <f t="shared" si="0"/>
        <v>139</v>
      </c>
      <c r="D34" s="29">
        <f t="shared" si="0"/>
        <v>-5</v>
      </c>
      <c r="E34" s="78">
        <f t="shared" si="2"/>
        <v>-3.472222222222221E-2</v>
      </c>
      <c r="F34" s="25">
        <v>1</v>
      </c>
      <c r="G34" s="29">
        <v>0</v>
      </c>
      <c r="H34" s="78">
        <v>0</v>
      </c>
      <c r="I34" s="27">
        <v>0</v>
      </c>
      <c r="J34" s="29">
        <v>0</v>
      </c>
      <c r="K34" s="78" t="s">
        <v>158</v>
      </c>
      <c r="L34" s="27">
        <v>0</v>
      </c>
      <c r="M34" s="29">
        <v>0</v>
      </c>
      <c r="N34" s="78" t="s">
        <v>158</v>
      </c>
      <c r="O34" s="27">
        <v>0</v>
      </c>
      <c r="P34" s="29">
        <v>0</v>
      </c>
      <c r="Q34" s="78" t="s">
        <v>158</v>
      </c>
      <c r="R34" s="27">
        <v>1</v>
      </c>
      <c r="S34" s="29">
        <v>0</v>
      </c>
      <c r="T34" s="78">
        <v>0</v>
      </c>
      <c r="U34" s="27">
        <v>0</v>
      </c>
      <c r="V34" s="29">
        <v>0</v>
      </c>
      <c r="W34" s="78" t="s">
        <v>158</v>
      </c>
      <c r="X34" s="27">
        <v>0</v>
      </c>
      <c r="Y34" s="29">
        <v>0</v>
      </c>
      <c r="Z34" s="78" t="s">
        <v>158</v>
      </c>
      <c r="AA34" s="27">
        <v>0</v>
      </c>
      <c r="AB34" s="29">
        <v>0</v>
      </c>
      <c r="AC34" s="78" t="s">
        <v>158</v>
      </c>
      <c r="AD34" s="27">
        <v>0</v>
      </c>
      <c r="AE34" s="29">
        <v>0</v>
      </c>
      <c r="AF34" s="78" t="s">
        <v>158</v>
      </c>
      <c r="AG34" s="27">
        <v>2</v>
      </c>
      <c r="AH34" s="29">
        <v>0</v>
      </c>
      <c r="AI34" s="78">
        <v>0</v>
      </c>
      <c r="AJ34" s="27">
        <v>0</v>
      </c>
      <c r="AK34" s="29">
        <v>0</v>
      </c>
      <c r="AL34" s="78" t="s">
        <v>158</v>
      </c>
      <c r="AM34" s="27">
        <v>0</v>
      </c>
      <c r="AN34" s="29">
        <v>0</v>
      </c>
      <c r="AO34" s="78" t="s">
        <v>158</v>
      </c>
      <c r="AP34" s="27">
        <v>0</v>
      </c>
      <c r="AQ34" s="29">
        <v>0</v>
      </c>
      <c r="AR34" s="78" t="s">
        <v>158</v>
      </c>
      <c r="AS34" s="27">
        <v>0</v>
      </c>
      <c r="AT34" s="29">
        <v>0</v>
      </c>
      <c r="AU34" s="78" t="s">
        <v>158</v>
      </c>
      <c r="AV34" s="27">
        <v>0</v>
      </c>
      <c r="AW34" s="29">
        <v>0</v>
      </c>
      <c r="AX34" s="78" t="s">
        <v>158</v>
      </c>
      <c r="AY34" s="27">
        <v>0</v>
      </c>
      <c r="AZ34" s="29">
        <v>0</v>
      </c>
      <c r="BA34" s="78" t="s">
        <v>158</v>
      </c>
      <c r="BB34" s="27">
        <v>0</v>
      </c>
      <c r="BC34" s="29">
        <v>0</v>
      </c>
      <c r="BD34" s="78" t="s">
        <v>158</v>
      </c>
      <c r="BE34" s="27">
        <v>1</v>
      </c>
      <c r="BF34" s="29">
        <v>0</v>
      </c>
      <c r="BG34" s="78">
        <v>0</v>
      </c>
      <c r="BH34" s="27">
        <v>1</v>
      </c>
      <c r="BI34" s="29">
        <v>0</v>
      </c>
      <c r="BJ34" s="78">
        <v>0</v>
      </c>
      <c r="BK34" s="27">
        <f t="shared" si="4"/>
        <v>133</v>
      </c>
      <c r="BL34" s="29">
        <f t="shared" si="3"/>
        <v>-5</v>
      </c>
      <c r="BM34" s="78">
        <f t="shared" si="1"/>
        <v>-3.6231884057971064E-2</v>
      </c>
      <c r="BN34" s="27">
        <v>1</v>
      </c>
      <c r="BO34" s="29">
        <v>0</v>
      </c>
      <c r="BP34" s="78">
        <v>0</v>
      </c>
      <c r="BQ34" s="27">
        <v>2</v>
      </c>
      <c r="BR34" s="29">
        <v>0</v>
      </c>
      <c r="BS34" s="78">
        <v>0</v>
      </c>
      <c r="BT34" s="79" t="s">
        <v>49</v>
      </c>
      <c r="BU34" s="35">
        <v>133</v>
      </c>
      <c r="BV34" s="35">
        <v>571</v>
      </c>
      <c r="BW34" s="79" t="s">
        <v>49</v>
      </c>
      <c r="BX34">
        <v>138</v>
      </c>
      <c r="BY34" s="35">
        <v>599</v>
      </c>
      <c r="CB34" s="79"/>
      <c r="CC34"/>
      <c r="CD34"/>
    </row>
    <row r="35" spans="2:82" s="4" customFormat="1" x14ac:dyDescent="0.25">
      <c r="B35" s="24" t="s">
        <v>50</v>
      </c>
      <c r="C35" s="25">
        <f t="shared" si="0"/>
        <v>455</v>
      </c>
      <c r="D35" s="29">
        <f t="shared" si="0"/>
        <v>39</v>
      </c>
      <c r="E35" s="78">
        <f t="shared" si="2"/>
        <v>9.375E-2</v>
      </c>
      <c r="F35" s="25">
        <v>1</v>
      </c>
      <c r="G35" s="29">
        <v>0</v>
      </c>
      <c r="H35" s="78">
        <v>0</v>
      </c>
      <c r="I35" s="27">
        <v>0</v>
      </c>
      <c r="J35" s="29">
        <v>0</v>
      </c>
      <c r="K35" s="78" t="s">
        <v>158</v>
      </c>
      <c r="L35" s="27">
        <v>0</v>
      </c>
      <c r="M35" s="29">
        <v>0</v>
      </c>
      <c r="N35" s="78" t="s">
        <v>158</v>
      </c>
      <c r="O35" s="27">
        <v>0</v>
      </c>
      <c r="P35" s="29">
        <v>0</v>
      </c>
      <c r="Q35" s="78" t="s">
        <v>158</v>
      </c>
      <c r="R35" s="27">
        <v>0</v>
      </c>
      <c r="S35" s="29">
        <v>0</v>
      </c>
      <c r="T35" s="78" t="s">
        <v>158</v>
      </c>
      <c r="U35" s="27">
        <v>0</v>
      </c>
      <c r="V35" s="29">
        <v>0</v>
      </c>
      <c r="W35" s="78" t="s">
        <v>158</v>
      </c>
      <c r="X35" s="27">
        <v>0</v>
      </c>
      <c r="Y35" s="29">
        <v>0</v>
      </c>
      <c r="Z35" s="78" t="s">
        <v>158</v>
      </c>
      <c r="AA35" s="27">
        <v>0</v>
      </c>
      <c r="AB35" s="29">
        <v>0</v>
      </c>
      <c r="AC35" s="78" t="s">
        <v>158</v>
      </c>
      <c r="AD35" s="27">
        <v>1</v>
      </c>
      <c r="AE35" s="29">
        <v>0</v>
      </c>
      <c r="AF35" s="78">
        <v>0</v>
      </c>
      <c r="AG35" s="27">
        <v>1</v>
      </c>
      <c r="AH35" s="29">
        <v>0</v>
      </c>
      <c r="AI35" s="78">
        <v>0</v>
      </c>
      <c r="AJ35" s="27">
        <v>0</v>
      </c>
      <c r="AK35" s="29">
        <v>0</v>
      </c>
      <c r="AL35" s="78" t="s">
        <v>158</v>
      </c>
      <c r="AM35" s="27">
        <v>0</v>
      </c>
      <c r="AN35" s="29">
        <v>0</v>
      </c>
      <c r="AO35" s="78" t="s">
        <v>158</v>
      </c>
      <c r="AP35" s="27">
        <v>1</v>
      </c>
      <c r="AQ35" s="29">
        <v>0</v>
      </c>
      <c r="AR35" s="78">
        <v>0</v>
      </c>
      <c r="AS35" s="27">
        <v>0</v>
      </c>
      <c r="AT35" s="29">
        <v>0</v>
      </c>
      <c r="AU35" s="78" t="s">
        <v>158</v>
      </c>
      <c r="AV35" s="27">
        <v>0</v>
      </c>
      <c r="AW35" s="29">
        <v>0</v>
      </c>
      <c r="AX35" s="78" t="s">
        <v>158</v>
      </c>
      <c r="AY35" s="27">
        <v>0</v>
      </c>
      <c r="AZ35" s="29">
        <v>0</v>
      </c>
      <c r="BA35" s="78" t="s">
        <v>158</v>
      </c>
      <c r="BB35" s="27">
        <v>0</v>
      </c>
      <c r="BC35" s="29">
        <v>0</v>
      </c>
      <c r="BD35" s="78" t="s">
        <v>158</v>
      </c>
      <c r="BE35" s="27">
        <v>0</v>
      </c>
      <c r="BF35" s="29">
        <v>0</v>
      </c>
      <c r="BG35" s="78" t="s">
        <v>158</v>
      </c>
      <c r="BH35" s="27">
        <v>0</v>
      </c>
      <c r="BI35" s="29">
        <v>0</v>
      </c>
      <c r="BJ35" s="78" t="s">
        <v>158</v>
      </c>
      <c r="BK35" s="27">
        <f t="shared" si="4"/>
        <v>448</v>
      </c>
      <c r="BL35" s="29">
        <f t="shared" si="3"/>
        <v>39</v>
      </c>
      <c r="BM35" s="78">
        <f t="shared" si="1"/>
        <v>9.5354523227383803E-2</v>
      </c>
      <c r="BN35" s="27">
        <v>0</v>
      </c>
      <c r="BO35" s="29">
        <v>0</v>
      </c>
      <c r="BP35" s="78" t="s">
        <v>158</v>
      </c>
      <c r="BQ35" s="27">
        <v>5</v>
      </c>
      <c r="BR35" s="29">
        <v>0</v>
      </c>
      <c r="BS35" s="78">
        <v>0</v>
      </c>
      <c r="BT35" s="79" t="s">
        <v>50</v>
      </c>
      <c r="BU35" s="35">
        <v>448</v>
      </c>
      <c r="BV35" s="35">
        <v>2051</v>
      </c>
      <c r="BW35" s="79" t="s">
        <v>50</v>
      </c>
      <c r="BX35">
        <v>409</v>
      </c>
      <c r="BY35" s="35">
        <v>1833</v>
      </c>
      <c r="CB35" s="79"/>
      <c r="CC35"/>
      <c r="CD35"/>
    </row>
    <row r="36" spans="2:82" s="4" customFormat="1" x14ac:dyDescent="0.25">
      <c r="B36" s="24" t="s">
        <v>148</v>
      </c>
      <c r="C36" s="25">
        <f t="shared" si="0"/>
        <v>73</v>
      </c>
      <c r="D36" s="29">
        <f t="shared" si="0"/>
        <v>7</v>
      </c>
      <c r="E36" s="78">
        <f t="shared" si="2"/>
        <v>0.10606060606060597</v>
      </c>
      <c r="F36" s="25">
        <v>0</v>
      </c>
      <c r="G36" s="29">
        <v>0</v>
      </c>
      <c r="H36" s="78" t="s">
        <v>158</v>
      </c>
      <c r="I36" s="27">
        <v>0</v>
      </c>
      <c r="J36" s="29">
        <v>0</v>
      </c>
      <c r="K36" s="78" t="s">
        <v>158</v>
      </c>
      <c r="L36" s="27">
        <v>0</v>
      </c>
      <c r="M36" s="29">
        <v>0</v>
      </c>
      <c r="N36" s="78" t="s">
        <v>158</v>
      </c>
      <c r="O36" s="27">
        <v>0</v>
      </c>
      <c r="P36" s="29">
        <v>0</v>
      </c>
      <c r="Q36" s="78" t="s">
        <v>158</v>
      </c>
      <c r="R36" s="27">
        <v>0</v>
      </c>
      <c r="S36" s="29">
        <v>0</v>
      </c>
      <c r="T36" s="78" t="s">
        <v>158</v>
      </c>
      <c r="U36" s="27">
        <v>0</v>
      </c>
      <c r="V36" s="29">
        <v>0</v>
      </c>
      <c r="W36" s="78" t="s">
        <v>158</v>
      </c>
      <c r="X36" s="27">
        <v>0</v>
      </c>
      <c r="Y36" s="29">
        <v>0</v>
      </c>
      <c r="Z36" s="78" t="s">
        <v>158</v>
      </c>
      <c r="AA36" s="27">
        <v>0</v>
      </c>
      <c r="AB36" s="29">
        <v>0</v>
      </c>
      <c r="AC36" s="78" t="s">
        <v>158</v>
      </c>
      <c r="AD36" s="27">
        <v>0</v>
      </c>
      <c r="AE36" s="29">
        <v>0</v>
      </c>
      <c r="AF36" s="78" t="s">
        <v>158</v>
      </c>
      <c r="AG36" s="27">
        <v>1</v>
      </c>
      <c r="AH36" s="29">
        <v>0</v>
      </c>
      <c r="AI36" s="78">
        <v>0</v>
      </c>
      <c r="AJ36" s="27">
        <v>0</v>
      </c>
      <c r="AK36" s="29">
        <v>0</v>
      </c>
      <c r="AL36" s="78" t="s">
        <v>158</v>
      </c>
      <c r="AM36" s="27">
        <v>0</v>
      </c>
      <c r="AN36" s="29">
        <v>0</v>
      </c>
      <c r="AO36" s="78" t="s">
        <v>158</v>
      </c>
      <c r="AP36" s="27">
        <v>0</v>
      </c>
      <c r="AQ36" s="29">
        <v>0</v>
      </c>
      <c r="AR36" s="78" t="s">
        <v>158</v>
      </c>
      <c r="AS36" s="27">
        <v>0</v>
      </c>
      <c r="AT36" s="29">
        <v>0</v>
      </c>
      <c r="AU36" s="78" t="s">
        <v>158</v>
      </c>
      <c r="AV36" s="27">
        <v>0</v>
      </c>
      <c r="AW36" s="29">
        <v>0</v>
      </c>
      <c r="AX36" s="78" t="s">
        <v>158</v>
      </c>
      <c r="AY36" s="27">
        <v>0</v>
      </c>
      <c r="AZ36" s="29">
        <v>0</v>
      </c>
      <c r="BA36" s="78" t="s">
        <v>158</v>
      </c>
      <c r="BB36" s="27">
        <v>0</v>
      </c>
      <c r="BC36" s="29">
        <v>0</v>
      </c>
      <c r="BD36" s="78" t="s">
        <v>158</v>
      </c>
      <c r="BE36" s="27">
        <v>1</v>
      </c>
      <c r="BF36" s="29">
        <v>0</v>
      </c>
      <c r="BG36" s="78">
        <v>0</v>
      </c>
      <c r="BH36" s="27">
        <v>0</v>
      </c>
      <c r="BI36" s="29">
        <v>0</v>
      </c>
      <c r="BJ36" s="78" t="s">
        <v>158</v>
      </c>
      <c r="BK36" s="27">
        <f t="shared" si="4"/>
        <v>68</v>
      </c>
      <c r="BL36" s="29">
        <f t="shared" si="3"/>
        <v>7</v>
      </c>
      <c r="BM36" s="78">
        <f t="shared" si="1"/>
        <v>0.11475409836065564</v>
      </c>
      <c r="BN36" s="27">
        <v>1</v>
      </c>
      <c r="BO36" s="29">
        <v>0</v>
      </c>
      <c r="BP36" s="78">
        <v>0</v>
      </c>
      <c r="BQ36" s="27">
        <v>3</v>
      </c>
      <c r="BR36" s="29">
        <v>0</v>
      </c>
      <c r="BS36" s="78" t="s">
        <v>158</v>
      </c>
      <c r="BT36" s="79" t="s">
        <v>51</v>
      </c>
      <c r="BU36" s="35">
        <v>68</v>
      </c>
      <c r="BV36" s="35">
        <v>314</v>
      </c>
      <c r="BW36" s="79" t="s">
        <v>51</v>
      </c>
      <c r="BX36">
        <v>61</v>
      </c>
      <c r="BY36" s="35">
        <v>277</v>
      </c>
      <c r="CB36" s="79"/>
      <c r="CC36"/>
      <c r="CD36"/>
    </row>
    <row r="37" spans="2:82" s="4" customFormat="1" x14ac:dyDescent="0.25">
      <c r="B37" s="24" t="s">
        <v>52</v>
      </c>
      <c r="C37" s="25">
        <f t="shared" si="0"/>
        <v>92</v>
      </c>
      <c r="D37" s="29">
        <f t="shared" si="0"/>
        <v>9</v>
      </c>
      <c r="E37" s="78">
        <f t="shared" si="2"/>
        <v>0.10843373493975905</v>
      </c>
      <c r="F37" s="25">
        <v>1</v>
      </c>
      <c r="G37" s="29">
        <v>0</v>
      </c>
      <c r="H37" s="78">
        <v>0</v>
      </c>
      <c r="I37" s="27">
        <v>0</v>
      </c>
      <c r="J37" s="29">
        <v>0</v>
      </c>
      <c r="K37" s="78" t="s">
        <v>158</v>
      </c>
      <c r="L37" s="27">
        <v>0</v>
      </c>
      <c r="M37" s="29">
        <v>0</v>
      </c>
      <c r="N37" s="78" t="s">
        <v>158</v>
      </c>
      <c r="O37" s="27">
        <v>0</v>
      </c>
      <c r="P37" s="29">
        <v>0</v>
      </c>
      <c r="Q37" s="78" t="s">
        <v>158</v>
      </c>
      <c r="R37" s="27">
        <v>0</v>
      </c>
      <c r="S37" s="29">
        <v>0</v>
      </c>
      <c r="T37" s="78" t="s">
        <v>158</v>
      </c>
      <c r="U37" s="27">
        <v>0</v>
      </c>
      <c r="V37" s="29">
        <v>0</v>
      </c>
      <c r="W37" s="78" t="s">
        <v>158</v>
      </c>
      <c r="X37" s="27">
        <v>0</v>
      </c>
      <c r="Y37" s="29">
        <v>0</v>
      </c>
      <c r="Z37" s="78" t="s">
        <v>158</v>
      </c>
      <c r="AA37" s="27">
        <v>0</v>
      </c>
      <c r="AB37" s="29">
        <v>0</v>
      </c>
      <c r="AC37" s="78" t="s">
        <v>158</v>
      </c>
      <c r="AD37" s="27">
        <v>1</v>
      </c>
      <c r="AE37" s="29">
        <v>0</v>
      </c>
      <c r="AF37" s="78">
        <v>0</v>
      </c>
      <c r="AG37" s="27">
        <v>3</v>
      </c>
      <c r="AH37" s="29">
        <v>0</v>
      </c>
      <c r="AI37" s="78">
        <v>0</v>
      </c>
      <c r="AJ37" s="27">
        <v>0</v>
      </c>
      <c r="AK37" s="29">
        <v>0</v>
      </c>
      <c r="AL37" s="78" t="s">
        <v>158</v>
      </c>
      <c r="AM37" s="27">
        <v>0</v>
      </c>
      <c r="AN37" s="29">
        <v>0</v>
      </c>
      <c r="AO37" s="78" t="s">
        <v>158</v>
      </c>
      <c r="AP37" s="27">
        <v>0</v>
      </c>
      <c r="AQ37" s="29">
        <v>0</v>
      </c>
      <c r="AR37" s="78" t="s">
        <v>158</v>
      </c>
      <c r="AS37" s="27">
        <v>0</v>
      </c>
      <c r="AT37" s="29">
        <v>0</v>
      </c>
      <c r="AU37" s="78" t="s">
        <v>158</v>
      </c>
      <c r="AV37" s="27">
        <v>0</v>
      </c>
      <c r="AW37" s="29">
        <v>0</v>
      </c>
      <c r="AX37" s="78" t="s">
        <v>158</v>
      </c>
      <c r="AY37" s="27">
        <v>0</v>
      </c>
      <c r="AZ37" s="29">
        <v>0</v>
      </c>
      <c r="BA37" s="78" t="s">
        <v>158</v>
      </c>
      <c r="BB37" s="27">
        <v>0</v>
      </c>
      <c r="BC37" s="29">
        <v>0</v>
      </c>
      <c r="BD37" s="78" t="s">
        <v>158</v>
      </c>
      <c r="BE37" s="27">
        <v>2</v>
      </c>
      <c r="BF37" s="29">
        <v>0</v>
      </c>
      <c r="BG37" s="78">
        <v>0</v>
      </c>
      <c r="BH37" s="27">
        <v>1</v>
      </c>
      <c r="BI37" s="29">
        <v>0</v>
      </c>
      <c r="BJ37" s="78">
        <v>0</v>
      </c>
      <c r="BK37" s="27">
        <f t="shared" si="4"/>
        <v>85</v>
      </c>
      <c r="BL37" s="29">
        <f t="shared" si="3"/>
        <v>9</v>
      </c>
      <c r="BM37" s="78">
        <f t="shared" si="1"/>
        <v>0.11842105263157898</v>
      </c>
      <c r="BN37" s="27">
        <v>0</v>
      </c>
      <c r="BO37" s="29">
        <v>0</v>
      </c>
      <c r="BP37" s="78" t="s">
        <v>158</v>
      </c>
      <c r="BQ37" s="27">
        <v>3</v>
      </c>
      <c r="BR37" s="29">
        <v>0</v>
      </c>
      <c r="BS37" s="78">
        <v>0</v>
      </c>
      <c r="BT37" s="79" t="s">
        <v>52</v>
      </c>
      <c r="BU37" s="35">
        <v>85</v>
      </c>
      <c r="BV37" s="35">
        <v>390</v>
      </c>
      <c r="BW37" s="79" t="s">
        <v>52</v>
      </c>
      <c r="BX37">
        <v>76</v>
      </c>
      <c r="BY37" s="35">
        <v>342</v>
      </c>
      <c r="CB37" s="79"/>
      <c r="CC37"/>
      <c r="CD37"/>
    </row>
    <row r="38" spans="2:82" s="4" customFormat="1" x14ac:dyDescent="0.25">
      <c r="B38" s="24" t="s">
        <v>53</v>
      </c>
      <c r="C38" s="25">
        <f t="shared" si="0"/>
        <v>80</v>
      </c>
      <c r="D38" s="29">
        <f t="shared" si="0"/>
        <v>10</v>
      </c>
      <c r="E38" s="78">
        <f t="shared" si="2"/>
        <v>0.14285714285714279</v>
      </c>
      <c r="F38" s="25">
        <v>0</v>
      </c>
      <c r="G38" s="29">
        <v>0</v>
      </c>
      <c r="H38" s="78" t="s">
        <v>158</v>
      </c>
      <c r="I38" s="27">
        <v>0</v>
      </c>
      <c r="J38" s="29">
        <v>0</v>
      </c>
      <c r="K38" s="78" t="s">
        <v>158</v>
      </c>
      <c r="L38" s="27">
        <v>0</v>
      </c>
      <c r="M38" s="29">
        <v>0</v>
      </c>
      <c r="N38" s="78" t="s">
        <v>158</v>
      </c>
      <c r="O38" s="27">
        <v>0</v>
      </c>
      <c r="P38" s="29">
        <v>0</v>
      </c>
      <c r="Q38" s="78" t="s">
        <v>158</v>
      </c>
      <c r="R38" s="27">
        <v>0</v>
      </c>
      <c r="S38" s="29">
        <v>0</v>
      </c>
      <c r="T38" s="78" t="s">
        <v>158</v>
      </c>
      <c r="U38" s="27">
        <v>0</v>
      </c>
      <c r="V38" s="29">
        <v>0</v>
      </c>
      <c r="W38" s="78" t="s">
        <v>158</v>
      </c>
      <c r="X38" s="27">
        <v>0</v>
      </c>
      <c r="Y38" s="29">
        <v>0</v>
      </c>
      <c r="Z38" s="78" t="s">
        <v>158</v>
      </c>
      <c r="AA38" s="27">
        <v>0</v>
      </c>
      <c r="AB38" s="29">
        <v>0</v>
      </c>
      <c r="AC38" s="78" t="s">
        <v>158</v>
      </c>
      <c r="AD38" s="27">
        <v>0</v>
      </c>
      <c r="AE38" s="29">
        <v>0</v>
      </c>
      <c r="AF38" s="78" t="s">
        <v>158</v>
      </c>
      <c r="AG38" s="27">
        <v>0</v>
      </c>
      <c r="AH38" s="29">
        <v>0</v>
      </c>
      <c r="AI38" s="78" t="s">
        <v>158</v>
      </c>
      <c r="AJ38" s="27">
        <v>0</v>
      </c>
      <c r="AK38" s="29">
        <v>0</v>
      </c>
      <c r="AL38" s="78" t="s">
        <v>158</v>
      </c>
      <c r="AM38" s="27">
        <v>0</v>
      </c>
      <c r="AN38" s="29">
        <v>0</v>
      </c>
      <c r="AO38" s="78" t="s">
        <v>158</v>
      </c>
      <c r="AP38" s="27">
        <v>0</v>
      </c>
      <c r="AQ38" s="29">
        <v>0</v>
      </c>
      <c r="AR38" s="78" t="s">
        <v>158</v>
      </c>
      <c r="AS38" s="27">
        <v>0</v>
      </c>
      <c r="AT38" s="29">
        <v>0</v>
      </c>
      <c r="AU38" s="78" t="s">
        <v>158</v>
      </c>
      <c r="AV38" s="27">
        <v>0</v>
      </c>
      <c r="AW38" s="29">
        <v>0</v>
      </c>
      <c r="AX38" s="78" t="s">
        <v>158</v>
      </c>
      <c r="AY38" s="27">
        <v>0</v>
      </c>
      <c r="AZ38" s="29">
        <v>0</v>
      </c>
      <c r="BA38" s="78" t="s">
        <v>158</v>
      </c>
      <c r="BB38" s="27">
        <v>0</v>
      </c>
      <c r="BC38" s="29">
        <v>0</v>
      </c>
      <c r="BD38" s="78" t="s">
        <v>158</v>
      </c>
      <c r="BE38" s="27">
        <v>0</v>
      </c>
      <c r="BF38" s="29">
        <v>0</v>
      </c>
      <c r="BG38" s="78" t="s">
        <v>158</v>
      </c>
      <c r="BH38" s="27">
        <v>0</v>
      </c>
      <c r="BI38" s="29">
        <v>0</v>
      </c>
      <c r="BJ38" s="78" t="s">
        <v>158</v>
      </c>
      <c r="BK38" s="27">
        <f t="shared" si="4"/>
        <v>79</v>
      </c>
      <c r="BL38" s="29">
        <f t="shared" si="3"/>
        <v>10</v>
      </c>
      <c r="BM38" s="78">
        <f t="shared" si="1"/>
        <v>0.14492753623188404</v>
      </c>
      <c r="BN38" s="27">
        <v>0</v>
      </c>
      <c r="BO38" s="29">
        <v>0</v>
      </c>
      <c r="BP38" s="78" t="s">
        <v>158</v>
      </c>
      <c r="BQ38" s="27">
        <v>1</v>
      </c>
      <c r="BR38" s="29">
        <v>0</v>
      </c>
      <c r="BS38" s="78">
        <v>0</v>
      </c>
      <c r="BT38" s="79" t="s">
        <v>98</v>
      </c>
      <c r="BU38" s="35">
        <v>79</v>
      </c>
      <c r="BV38" s="35">
        <v>402</v>
      </c>
      <c r="BW38" s="79" t="s">
        <v>98</v>
      </c>
      <c r="BX38">
        <v>69</v>
      </c>
      <c r="BY38" s="35">
        <v>353</v>
      </c>
      <c r="CB38" s="79"/>
      <c r="CC38"/>
      <c r="CD38"/>
    </row>
    <row r="39" spans="2:82" s="4" customFormat="1" x14ac:dyDescent="0.25">
      <c r="B39" s="24" t="s">
        <v>54</v>
      </c>
      <c r="C39" s="25">
        <f t="shared" si="0"/>
        <v>86</v>
      </c>
      <c r="D39" s="29">
        <f t="shared" si="0"/>
        <v>7</v>
      </c>
      <c r="E39" s="78">
        <f t="shared" si="2"/>
        <v>8.8607594936708889E-2</v>
      </c>
      <c r="F39" s="25">
        <v>4</v>
      </c>
      <c r="G39" s="29">
        <v>0</v>
      </c>
      <c r="H39" s="78">
        <v>0</v>
      </c>
      <c r="I39" s="27">
        <v>1</v>
      </c>
      <c r="J39" s="29">
        <v>0</v>
      </c>
      <c r="K39" s="78">
        <v>0</v>
      </c>
      <c r="L39" s="27">
        <v>1</v>
      </c>
      <c r="M39" s="29">
        <v>0</v>
      </c>
      <c r="N39" s="78">
        <v>0</v>
      </c>
      <c r="O39" s="27">
        <v>1</v>
      </c>
      <c r="P39" s="29">
        <v>0</v>
      </c>
      <c r="Q39" s="78">
        <v>0</v>
      </c>
      <c r="R39" s="27">
        <v>1</v>
      </c>
      <c r="S39" s="29">
        <v>0</v>
      </c>
      <c r="T39" s="78">
        <v>0</v>
      </c>
      <c r="U39" s="27">
        <v>0</v>
      </c>
      <c r="V39" s="29">
        <v>0</v>
      </c>
      <c r="W39" s="78" t="s">
        <v>158</v>
      </c>
      <c r="X39" s="27">
        <v>0</v>
      </c>
      <c r="Y39" s="29">
        <v>0</v>
      </c>
      <c r="Z39" s="78" t="s">
        <v>158</v>
      </c>
      <c r="AA39" s="27">
        <v>0</v>
      </c>
      <c r="AB39" s="29">
        <v>0</v>
      </c>
      <c r="AC39" s="78" t="s">
        <v>158</v>
      </c>
      <c r="AD39" s="27">
        <v>0</v>
      </c>
      <c r="AE39" s="29">
        <v>0</v>
      </c>
      <c r="AF39" s="78" t="s">
        <v>158</v>
      </c>
      <c r="AG39" s="27">
        <v>1</v>
      </c>
      <c r="AH39" s="29">
        <v>0</v>
      </c>
      <c r="AI39" s="78">
        <v>0</v>
      </c>
      <c r="AJ39" s="27">
        <v>0</v>
      </c>
      <c r="AK39" s="29">
        <v>0</v>
      </c>
      <c r="AL39" s="78" t="s">
        <v>158</v>
      </c>
      <c r="AM39" s="27">
        <v>0</v>
      </c>
      <c r="AN39" s="29">
        <v>0</v>
      </c>
      <c r="AO39" s="78" t="s">
        <v>158</v>
      </c>
      <c r="AP39" s="27">
        <v>0</v>
      </c>
      <c r="AQ39" s="29">
        <v>0</v>
      </c>
      <c r="AR39" s="78" t="s">
        <v>158</v>
      </c>
      <c r="AS39" s="27">
        <v>0</v>
      </c>
      <c r="AT39" s="29">
        <v>0</v>
      </c>
      <c r="AU39" s="78" t="s">
        <v>158</v>
      </c>
      <c r="AV39" s="27">
        <v>0</v>
      </c>
      <c r="AW39" s="29">
        <v>0</v>
      </c>
      <c r="AX39" s="78" t="s">
        <v>158</v>
      </c>
      <c r="AY39" s="27">
        <v>0</v>
      </c>
      <c r="AZ39" s="29">
        <v>0</v>
      </c>
      <c r="BA39" s="78" t="s">
        <v>158</v>
      </c>
      <c r="BB39" s="27">
        <v>0</v>
      </c>
      <c r="BC39" s="29">
        <v>0</v>
      </c>
      <c r="BD39" s="78" t="s">
        <v>158</v>
      </c>
      <c r="BE39" s="27">
        <v>0</v>
      </c>
      <c r="BF39" s="29">
        <v>0</v>
      </c>
      <c r="BG39" s="78" t="s">
        <v>158</v>
      </c>
      <c r="BH39" s="27">
        <v>1</v>
      </c>
      <c r="BI39" s="29">
        <v>0</v>
      </c>
      <c r="BJ39" s="78">
        <v>0</v>
      </c>
      <c r="BK39" s="27">
        <f t="shared" si="4"/>
        <v>79</v>
      </c>
      <c r="BL39" s="29">
        <f>BU39-BX39</f>
        <v>7</v>
      </c>
      <c r="BM39" s="78">
        <f t="shared" si="1"/>
        <v>9.7222222222222321E-2</v>
      </c>
      <c r="BN39" s="27">
        <v>1</v>
      </c>
      <c r="BO39" s="29">
        <v>0</v>
      </c>
      <c r="BP39" s="78">
        <v>0</v>
      </c>
      <c r="BQ39" s="27">
        <v>1</v>
      </c>
      <c r="BR39" s="29">
        <v>0</v>
      </c>
      <c r="BS39" s="78">
        <v>0</v>
      </c>
      <c r="BT39" s="79" t="s">
        <v>99</v>
      </c>
      <c r="BU39" s="35">
        <v>79</v>
      </c>
      <c r="BV39" s="35">
        <v>486</v>
      </c>
      <c r="BW39" s="79" t="s">
        <v>99</v>
      </c>
      <c r="BX39">
        <v>72</v>
      </c>
      <c r="BY39" s="35">
        <v>462</v>
      </c>
      <c r="CB39" s="79"/>
      <c r="CC39"/>
      <c r="CD39"/>
    </row>
    <row r="40" spans="2:82" s="4" customFormat="1" ht="13.5" customHeight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78"/>
      <c r="L40" s="32"/>
      <c r="M40" s="32"/>
      <c r="N40" s="78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78"/>
      <c r="BN40" s="32"/>
      <c r="BO40" s="32"/>
      <c r="BP40" s="32"/>
      <c r="BQ40" s="32"/>
      <c r="BR40" s="32"/>
      <c r="BS40" s="32"/>
      <c r="BT40" s="79" t="s">
        <v>100</v>
      </c>
      <c r="BU40" s="35">
        <v>1</v>
      </c>
      <c r="BV40" s="35">
        <v>4</v>
      </c>
      <c r="BW40" s="79" t="s">
        <v>100</v>
      </c>
      <c r="BX40">
        <v>1</v>
      </c>
      <c r="BY40" s="35">
        <v>4</v>
      </c>
      <c r="CB40" s="79"/>
      <c r="CC40"/>
      <c r="CD40"/>
    </row>
    <row r="41" spans="2:82" s="4" customFormat="1" ht="29.25" customHeight="1" x14ac:dyDescent="0.25">
      <c r="B41" s="81" t="s">
        <v>55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2"/>
      <c r="Z41" s="83"/>
      <c r="AA41" s="83"/>
      <c r="AB41" s="82"/>
      <c r="AC41" s="83"/>
      <c r="AD41" s="83"/>
      <c r="AE41" s="82"/>
      <c r="AF41" s="83"/>
      <c r="AG41" s="83"/>
      <c r="AH41" s="82"/>
      <c r="AI41" s="83"/>
      <c r="AJ41" s="83"/>
      <c r="AK41" s="82"/>
      <c r="AL41" s="83"/>
      <c r="AM41" s="83"/>
      <c r="AN41" s="82"/>
      <c r="AO41" s="83"/>
      <c r="AP41" s="83"/>
      <c r="AQ41" s="82"/>
      <c r="AR41" s="83"/>
      <c r="AS41" s="83"/>
      <c r="AT41" s="82"/>
      <c r="AU41" s="83"/>
      <c r="AV41" s="83"/>
      <c r="AW41" s="82"/>
      <c r="AX41" s="83"/>
      <c r="AY41" s="83"/>
      <c r="AZ41" s="82"/>
      <c r="BA41" s="83"/>
      <c r="BB41" s="83"/>
      <c r="BC41" s="82"/>
      <c r="BD41" s="83"/>
      <c r="BE41" s="83"/>
      <c r="BF41" s="82"/>
      <c r="BG41" s="83"/>
      <c r="BH41" s="83"/>
      <c r="BI41" s="82"/>
      <c r="BJ41" s="83"/>
      <c r="BK41" s="83"/>
      <c r="BL41" s="82"/>
      <c r="BM41" s="83"/>
      <c r="BN41" s="83"/>
      <c r="BO41" s="82"/>
      <c r="BP41" s="83"/>
      <c r="BQ41" s="83"/>
      <c r="BR41" s="82"/>
      <c r="BS41" s="83"/>
      <c r="BT41" s="79" t="s">
        <v>101</v>
      </c>
      <c r="BU41" s="35">
        <v>8</v>
      </c>
      <c r="BV41" s="35">
        <v>33</v>
      </c>
      <c r="BW41" s="79" t="s">
        <v>101</v>
      </c>
      <c r="BX41"/>
      <c r="BY41"/>
      <c r="CB41" s="79"/>
      <c r="CC41"/>
      <c r="CD41"/>
    </row>
    <row r="42" spans="2:82" s="4" customFormat="1" x14ac:dyDescent="0.25">
      <c r="BT42"/>
      <c r="BU42"/>
      <c r="BV42"/>
    </row>
    <row r="43" spans="2:82" x14ac:dyDescent="0.25">
      <c r="B43" t="s">
        <v>56</v>
      </c>
      <c r="C43" s="35">
        <f>SUM(C9:C12,C14:C15,C17,C19,C20,C27,C29,C32,C39)</f>
        <v>21423</v>
      </c>
      <c r="D43" s="35"/>
      <c r="E43" s="26"/>
      <c r="F43" s="35">
        <f>SUM(F9:F12,F14:F15,F17,F19,F20,F27,F29,F32,F39)</f>
        <v>152</v>
      </c>
      <c r="G43" s="35"/>
      <c r="H43" s="26"/>
      <c r="I43" s="35">
        <f>SUM(I9:I12,I14:I15,I17,I19,I20,I27,I29,I32,I39)</f>
        <v>23</v>
      </c>
      <c r="J43" s="35"/>
      <c r="K43" s="26"/>
      <c r="L43" s="35">
        <f>SUM(L9:L12,L14:L15,L17,L19,L20,L27,L29,L32,L39)</f>
        <v>9</v>
      </c>
      <c r="M43" s="35"/>
      <c r="N43" s="26"/>
      <c r="O43" s="35">
        <f>SUM(O9:O12,O14:O15,O17,O19,O20,O27,O29,O32,O39)</f>
        <v>23</v>
      </c>
      <c r="P43" s="35"/>
      <c r="Q43" s="26"/>
      <c r="R43" s="35">
        <f>SUM(R9:R12,R14:R15,R17,R19,R20,R27,R29,R32,R39)</f>
        <v>67</v>
      </c>
      <c r="S43" s="35"/>
      <c r="T43" s="26"/>
      <c r="U43" s="35">
        <f>SUM(U9:U12,U14:U15,U17,U19,U20,U27,U29,U32,U39)</f>
        <v>16</v>
      </c>
      <c r="V43" s="35"/>
      <c r="W43" s="26"/>
      <c r="X43" s="35">
        <f>SUM(X9:X12,X14:X15,X17,X19,X20,X27,X29,X32,X39)</f>
        <v>3</v>
      </c>
      <c r="Y43" s="35"/>
      <c r="Z43" s="26"/>
      <c r="AA43" s="35">
        <f>SUM(AA9:AA12,AA14:AA15,AA17,AA19,AA20,AA27,AA29,AA32,AA39)</f>
        <v>8</v>
      </c>
      <c r="AB43" s="35"/>
      <c r="AC43" s="26"/>
      <c r="AD43" s="35">
        <f>SUM(AD9:AD12,AD14:AD15,AD17,AD19,AD20,AD27,AD29,AD32,AD39)</f>
        <v>3</v>
      </c>
      <c r="AE43" s="35"/>
      <c r="AF43" s="26"/>
      <c r="AG43" s="35">
        <f>SUM(AG9:AG12,AG14:AG15,AG17,AG19,AG20,AG27,AG29,AG32,AG39)</f>
        <v>170</v>
      </c>
      <c r="AH43" s="35"/>
      <c r="AI43" s="26"/>
      <c r="AJ43" s="35">
        <f>SUM(AJ9:AJ12,AJ14:AJ15,AJ17,AJ19,AJ20,AJ27,AJ29,AJ32,AJ39)</f>
        <v>40</v>
      </c>
      <c r="AK43" s="35"/>
      <c r="AL43" s="26"/>
      <c r="AM43" s="35">
        <f>SUM(AM9:AM12,AM14:AM15,AM17,AM19,AM20,AM27,AM29,AM32,AM39)</f>
        <v>45</v>
      </c>
      <c r="AN43" s="35"/>
      <c r="AO43" s="26"/>
      <c r="AP43" s="35">
        <f>SUM(AP9:AP12,AP14:AP15,AP17,AP19,AP20,AP27,AP29,AP32,AP39)</f>
        <v>31</v>
      </c>
      <c r="AQ43" s="35"/>
      <c r="AR43" s="26"/>
      <c r="AS43" s="35">
        <f>SUM(AS9:AS12,AS14:AS15,AS17,AS19,AS20,AS27,AS29,AS32,AS39)</f>
        <v>1</v>
      </c>
      <c r="AT43" s="35"/>
      <c r="AU43" s="26"/>
      <c r="AV43" s="35">
        <f>SUM(AV9:AV12,AV14:AV15,AV17,AV19,AV20,AV27,AV29,AV32,AV39)</f>
        <v>22</v>
      </c>
      <c r="AW43" s="35"/>
      <c r="AX43" s="26"/>
      <c r="AY43" s="35">
        <f>SUM(AY9:AY12,AY14:AY15,AY17,AY19,AY20,AY27,AY29,AY32,AY39)</f>
        <v>5</v>
      </c>
      <c r="AZ43" s="35"/>
      <c r="BA43" s="26"/>
      <c r="BB43" s="35">
        <f>SUM(BB9:BB12,BB14:BB15,BB17,BB19,BB20,BB27,BB29,BB32,BB39)</f>
        <v>5</v>
      </c>
      <c r="BC43" s="35"/>
      <c r="BD43" s="26"/>
      <c r="BE43" s="35">
        <f>SUM(BE9:BE12,BE14:BE15,BE17,BE19,BE20,BE27,BE29,BE32,BE39)</f>
        <v>9</v>
      </c>
      <c r="BF43" s="35"/>
      <c r="BG43" s="26"/>
      <c r="BH43" s="35">
        <f>SUM(BH9:BH12,BH14:BH15,BH17,BH19,BH20,BH27,BH29,BH32,BH39)</f>
        <v>12</v>
      </c>
      <c r="BI43" s="35"/>
      <c r="BJ43" s="26"/>
      <c r="BK43" s="35">
        <f>SUM(BK9:BK12,BK14:BK15,BK17,BK19,BK20,BK27,BK29,BK32,BK39)</f>
        <v>21024</v>
      </c>
      <c r="BL43" s="35"/>
      <c r="BM43" s="26"/>
      <c r="BN43" s="35">
        <f>SUM(BN9:BN12,BN14:BN15,BN17,BN19,BN20,BN27,BN29,BN32,BN39)</f>
        <v>13</v>
      </c>
      <c r="BO43" s="35"/>
      <c r="BP43" s="26"/>
      <c r="BQ43" s="35">
        <f>SUM(BQ9:BQ12,BQ14:BQ15,BQ17,BQ19,BQ20,BQ27,BQ29,BQ32,BQ39)</f>
        <v>64</v>
      </c>
      <c r="BR43" s="35"/>
      <c r="BS43" s="26"/>
    </row>
    <row r="44" spans="2:82" x14ac:dyDescent="0.25">
      <c r="B44" t="s">
        <v>57</v>
      </c>
      <c r="C44" s="35">
        <f>SUM(C13,C16,C18,C21,C23,C24:C26,C28,C31,C33,C34,C36,C38)</f>
        <v>5286</v>
      </c>
      <c r="D44" s="35"/>
      <c r="E44" s="26"/>
      <c r="F44" s="35">
        <f>SUM(F13,F16,F18,F21,F23,F24:F26,F28,F31,F33,F34,F36,F38)</f>
        <v>81</v>
      </c>
      <c r="G44" s="35"/>
      <c r="H44" s="26"/>
      <c r="I44" s="35">
        <f>SUM(I13,I16,I18,I21,I23,I24:I26,I28,I31,I33,I34,I36,I38)</f>
        <v>6</v>
      </c>
      <c r="J44" s="35"/>
      <c r="K44" s="26"/>
      <c r="L44" s="35">
        <f>SUM(L13,L16,L18,L21,L23,L24:L26,L28,L31,L33,L34,L36,L38)</f>
        <v>13</v>
      </c>
      <c r="M44" s="35"/>
      <c r="N44" s="26"/>
      <c r="O44" s="35">
        <f>SUM(O13,O16,O18,O21,O23,O24:O26,O28,O31,O33,O34,O36,O38)</f>
        <v>21</v>
      </c>
      <c r="P44" s="35"/>
      <c r="Q44" s="26"/>
      <c r="R44" s="35">
        <f>SUM(R13,R16,R18,R21,R23,R24:R26,R28,R31,R33,R34,R36,R38)</f>
        <v>34</v>
      </c>
      <c r="S44" s="35"/>
      <c r="T44" s="26"/>
      <c r="U44" s="35">
        <f>SUM(U13,U16,U18,U21,U23,U24:U26,U28,U31,U33,U34,U36,U38)</f>
        <v>1</v>
      </c>
      <c r="V44" s="35"/>
      <c r="W44" s="26"/>
      <c r="X44" s="35">
        <f>SUM(X13,X16,X18,X21,X23,X24:X26,X28,X31,X33,X34,X36,X38)</f>
        <v>1</v>
      </c>
      <c r="Y44" s="35"/>
      <c r="Z44" s="26"/>
      <c r="AA44" s="35">
        <f>SUM(AA13,AA16,AA18,AA21,AA23,AA24:AA26,AA28,AA31,AA33,AA34,AA36,AA38)</f>
        <v>1</v>
      </c>
      <c r="AB44" s="35"/>
      <c r="AC44" s="26"/>
      <c r="AD44" s="35">
        <f>SUM(AD13,AD16,AD18,AD21,AD23,AD24:AD26,AD28,AD31,AD33,AD34,AD36,AD38)</f>
        <v>4</v>
      </c>
      <c r="AE44" s="35"/>
      <c r="AF44" s="26"/>
      <c r="AG44" s="35">
        <f>SUM(AG13,AG16,AG18,AG21,AG23,AG24:AG26,AG28,AG31,AG33,AG34,AG36,AG38)</f>
        <v>47</v>
      </c>
      <c r="AH44" s="35"/>
      <c r="AI44" s="26"/>
      <c r="AJ44" s="35">
        <f>SUM(AJ13,AJ16,AJ18,AJ21,AJ23,AJ24:AJ26,AJ28,AJ31,AJ33,AJ34,AJ36,AJ38)</f>
        <v>4</v>
      </c>
      <c r="AK44" s="35"/>
      <c r="AL44" s="26"/>
      <c r="AM44" s="35">
        <f>SUM(AM13,AM16,AM18,AM21,AM23,AM24:AM26,AM28,AM31,AM33,AM34,AM36,AM38)</f>
        <v>5</v>
      </c>
      <c r="AN44" s="35"/>
      <c r="AO44" s="26"/>
      <c r="AP44" s="35">
        <f>SUM(AP13,AP16,AP18,AP21,AP23,AP24:AP26,AP28,AP31,AP33,AP34,AP36,AP38)</f>
        <v>9</v>
      </c>
      <c r="AQ44" s="35"/>
      <c r="AR44" s="26"/>
      <c r="AS44" s="35">
        <f>SUM(AS13,AS16,AS18,AS21,AS23,AS24:AS26,AS28,AS31,AS33,AS34,AS36,AS38)</f>
        <v>0</v>
      </c>
      <c r="AT44" s="35"/>
      <c r="AU44" s="26"/>
      <c r="AV44" s="35">
        <f>SUM(AV13,AV16,AV18,AV21,AV23,AV24:AV26,AV28,AV31,AV33,AV34,AV36,AV38)</f>
        <v>3</v>
      </c>
      <c r="AW44" s="35"/>
      <c r="AX44" s="26"/>
      <c r="AY44" s="35">
        <f>SUM(AY13,AY16,AY18,AY21,AY23,AY24:AY26,AY28,AY31,AY33,AY34,AY36,AY38)</f>
        <v>4</v>
      </c>
      <c r="AZ44" s="35"/>
      <c r="BA44" s="26"/>
      <c r="BB44" s="35">
        <f>SUM(BB13,BB16,BB18,BB21,BB23,BB24:BB26,BB28,BB31,BB33,BB34,BB36,BB38)</f>
        <v>0</v>
      </c>
      <c r="BC44" s="35"/>
      <c r="BD44" s="26"/>
      <c r="BE44" s="35">
        <f>SUM(BE13,BE16,BE18,BE21,BE23,BE24:BE26,BE28,BE31,BE33,BE34,BE36,BE38)</f>
        <v>19</v>
      </c>
      <c r="BF44" s="35"/>
      <c r="BG44" s="26"/>
      <c r="BH44" s="35">
        <f>SUM(BH13,BH16,BH18,BH21,BH23,BH24:BH26,BH28,BH31,BH33,BH34,BH36,BH38)</f>
        <v>3</v>
      </c>
      <c r="BI44" s="35"/>
      <c r="BJ44" s="26"/>
      <c r="BK44" s="35">
        <f>SUM(BK13,BK16,BK18,BK21,BK23,BK24:BK26,BK28,BK31,BK33,BK34,BK36,BK38)</f>
        <v>5068</v>
      </c>
      <c r="BL44" s="35"/>
      <c r="BM44" s="26"/>
      <c r="BN44" s="35">
        <f>SUM(BN13,BN16,BN18,BN21,BN23,BN24:BN26,BN28,BN31,BN33,BN34,BN36,BN38)</f>
        <v>10</v>
      </c>
      <c r="BO44" s="35"/>
      <c r="BP44" s="26"/>
      <c r="BQ44" s="35">
        <f>SUM(BQ13,BQ16,BQ18,BQ21,BQ23,BQ24:BQ26,BQ28,BQ31,BQ33,BQ34,BQ36,BQ38)</f>
        <v>80</v>
      </c>
      <c r="BR44" s="35"/>
      <c r="BS44" s="26"/>
    </row>
    <row r="45" spans="2:82" x14ac:dyDescent="0.25">
      <c r="B45" t="s">
        <v>58</v>
      </c>
      <c r="C45" s="35">
        <f>SUM(C22,C35,C37)</f>
        <v>1742</v>
      </c>
      <c r="D45" s="35"/>
      <c r="E45" s="26"/>
      <c r="F45" s="35">
        <f>SUM(F22,F35,F37)</f>
        <v>18</v>
      </c>
      <c r="G45" s="35"/>
      <c r="H45" s="26"/>
      <c r="I45" s="35">
        <f>SUM(I22,I35,I37)</f>
        <v>6</v>
      </c>
      <c r="J45" s="35"/>
      <c r="K45" s="26"/>
      <c r="L45" s="35">
        <f>SUM(L22,L35,L37)</f>
        <v>2</v>
      </c>
      <c r="M45" s="35"/>
      <c r="N45" s="26"/>
      <c r="O45" s="35">
        <f>SUM(O22,O35,O37)</f>
        <v>2</v>
      </c>
      <c r="P45" s="35"/>
      <c r="Q45" s="26"/>
      <c r="R45" s="35">
        <f>SUM(R22,R35,R37)</f>
        <v>3</v>
      </c>
      <c r="S45" s="35"/>
      <c r="T45" s="26"/>
      <c r="U45" s="35">
        <f>SUM(U22,U35,U37)</f>
        <v>0</v>
      </c>
      <c r="V45" s="35"/>
      <c r="W45" s="26"/>
      <c r="X45" s="35">
        <f>SUM(X22,X35,X37)</f>
        <v>0</v>
      </c>
      <c r="Y45" s="35"/>
      <c r="Z45" s="26"/>
      <c r="AA45" s="35">
        <f>SUM(AA22,AA35,AA37)</f>
        <v>0</v>
      </c>
      <c r="AB45" s="35"/>
      <c r="AC45" s="26"/>
      <c r="AD45" s="35">
        <f>SUM(AD22,AD35,AD37)</f>
        <v>3</v>
      </c>
      <c r="AE45" s="35"/>
      <c r="AF45" s="26"/>
      <c r="AG45" s="35">
        <f>SUM(AG22,AG35,AG37)</f>
        <v>11</v>
      </c>
      <c r="AH45" s="35"/>
      <c r="AI45" s="26"/>
      <c r="AJ45" s="35">
        <f>SUM(AJ22,AJ35,AJ37)</f>
        <v>1</v>
      </c>
      <c r="AK45" s="35"/>
      <c r="AL45" s="26"/>
      <c r="AM45" s="35">
        <f>SUM(AM22,AM35,AM37)</f>
        <v>0</v>
      </c>
      <c r="AN45" s="35"/>
      <c r="AO45" s="26"/>
      <c r="AP45" s="35">
        <f>SUM(AP22,AP35,AP37)</f>
        <v>1</v>
      </c>
      <c r="AQ45" s="35"/>
      <c r="AR45" s="26"/>
      <c r="AS45" s="35">
        <f>SUM(AS22,AS35,AS37)</f>
        <v>0</v>
      </c>
      <c r="AT45" s="35"/>
      <c r="AU45" s="26"/>
      <c r="AV45" s="35">
        <f>SUM(AV22,AV35,AV37)</f>
        <v>0</v>
      </c>
      <c r="AW45" s="35"/>
      <c r="AX45" s="26"/>
      <c r="AY45" s="35">
        <f>SUM(AY22,AY35,AY37)</f>
        <v>0</v>
      </c>
      <c r="AZ45" s="35"/>
      <c r="BA45" s="26"/>
      <c r="BB45" s="35">
        <f>SUM(BB22,BB35,BB37)</f>
        <v>0</v>
      </c>
      <c r="BC45" s="35"/>
      <c r="BD45" s="26"/>
      <c r="BE45" s="35">
        <f>SUM(BE22,BE35,BE37)</f>
        <v>7</v>
      </c>
      <c r="BF45" s="35"/>
      <c r="BG45" s="26"/>
      <c r="BH45" s="35">
        <f>SUM(BH22,BH35,BH37)</f>
        <v>2</v>
      </c>
      <c r="BI45" s="35"/>
      <c r="BJ45" s="26"/>
      <c r="BK45" s="35">
        <f>SUM(BK22,BK35,BK37)</f>
        <v>1692</v>
      </c>
      <c r="BL45" s="35"/>
      <c r="BM45" s="26"/>
      <c r="BN45" s="35">
        <f>SUM(BN22,BN35,BN37)</f>
        <v>1</v>
      </c>
      <c r="BO45" s="35"/>
      <c r="BP45" s="26"/>
      <c r="BQ45" s="35">
        <f>SUM(BQ22,BQ35,BQ37)</f>
        <v>20</v>
      </c>
      <c r="BR45" s="35"/>
      <c r="BS45" s="26"/>
    </row>
    <row r="46" spans="2:82" x14ac:dyDescent="0.25">
      <c r="B46" t="s">
        <v>59</v>
      </c>
      <c r="C46" s="35">
        <f>C30</f>
        <v>2352</v>
      </c>
      <c r="D46" s="35"/>
      <c r="E46" s="26"/>
      <c r="F46" s="35">
        <f>F30</f>
        <v>34</v>
      </c>
      <c r="G46" s="35"/>
      <c r="H46" s="26"/>
      <c r="I46" s="35">
        <f>I30</f>
        <v>8</v>
      </c>
      <c r="J46" s="35"/>
      <c r="K46" s="26"/>
      <c r="L46" s="35">
        <f>L30</f>
        <v>7</v>
      </c>
      <c r="M46" s="35"/>
      <c r="N46" s="26"/>
      <c r="O46" s="35">
        <f>O30</f>
        <v>6</v>
      </c>
      <c r="P46" s="35"/>
      <c r="Q46" s="26"/>
      <c r="R46" s="35">
        <f>R30</f>
        <v>8</v>
      </c>
      <c r="S46" s="35"/>
      <c r="T46" s="26"/>
      <c r="U46" s="35">
        <f>U30</f>
        <v>1</v>
      </c>
      <c r="V46" s="35"/>
      <c r="W46" s="26"/>
      <c r="X46" s="35">
        <f>X30</f>
        <v>0</v>
      </c>
      <c r="Y46" s="35"/>
      <c r="Z46" s="26"/>
      <c r="AA46" s="35">
        <f>AA30</f>
        <v>0</v>
      </c>
      <c r="AB46" s="35"/>
      <c r="AC46" s="26"/>
      <c r="AD46" s="35">
        <f>AD30</f>
        <v>1</v>
      </c>
      <c r="AE46" s="35"/>
      <c r="AF46" s="26"/>
      <c r="AG46" s="35">
        <f>AG30</f>
        <v>8</v>
      </c>
      <c r="AH46" s="35"/>
      <c r="AI46" s="26"/>
      <c r="AJ46" s="35">
        <f>AJ30</f>
        <v>0</v>
      </c>
      <c r="AK46" s="35"/>
      <c r="AL46" s="26"/>
      <c r="AM46" s="35">
        <f>AM30</f>
        <v>0</v>
      </c>
      <c r="AN46" s="35"/>
      <c r="AO46" s="26"/>
      <c r="AP46" s="35">
        <f>AP30</f>
        <v>0</v>
      </c>
      <c r="AQ46" s="35"/>
      <c r="AR46" s="26"/>
      <c r="AS46" s="35">
        <f>AS30</f>
        <v>0</v>
      </c>
      <c r="AT46" s="35"/>
      <c r="AU46" s="26"/>
      <c r="AV46" s="35">
        <f>AV30</f>
        <v>0</v>
      </c>
      <c r="AW46" s="35"/>
      <c r="AX46" s="26"/>
      <c r="AY46" s="35">
        <f>AY30</f>
        <v>0</v>
      </c>
      <c r="AZ46" s="35"/>
      <c r="BA46" s="26"/>
      <c r="BB46" s="35">
        <f>BB30</f>
        <v>0</v>
      </c>
      <c r="BC46" s="35"/>
      <c r="BD46" s="26"/>
      <c r="BE46" s="35">
        <f>BE30</f>
        <v>7</v>
      </c>
      <c r="BF46" s="35"/>
      <c r="BG46" s="26"/>
      <c r="BH46" s="35">
        <f>BH30</f>
        <v>1</v>
      </c>
      <c r="BI46" s="35"/>
      <c r="BJ46" s="26"/>
      <c r="BK46" s="35">
        <f>BK30</f>
        <v>2307</v>
      </c>
      <c r="BL46" s="35"/>
      <c r="BM46" s="26"/>
      <c r="BN46" s="35">
        <f>BN30</f>
        <v>0</v>
      </c>
      <c r="BO46" s="35"/>
      <c r="BP46" s="26"/>
      <c r="BQ46" s="35">
        <f>BQ30</f>
        <v>3</v>
      </c>
      <c r="BR46" s="35"/>
      <c r="BS46" s="26"/>
    </row>
    <row r="50" spans="1:2" hidden="1" x14ac:dyDescent="0.25">
      <c r="A50" s="130" t="s">
        <v>149</v>
      </c>
      <c r="B50" s="24" t="s">
        <v>24</v>
      </c>
    </row>
    <row r="51" spans="1:2" hidden="1" x14ac:dyDescent="0.25">
      <c r="A51" s="130"/>
      <c r="B51" s="24" t="s">
        <v>25</v>
      </c>
    </row>
    <row r="52" spans="1:2" hidden="1" x14ac:dyDescent="0.25">
      <c r="A52" s="130"/>
      <c r="B52" s="24" t="s">
        <v>26</v>
      </c>
    </row>
    <row r="53" spans="1:2" hidden="1" x14ac:dyDescent="0.25">
      <c r="A53" s="130"/>
      <c r="B53" s="24" t="s">
        <v>27</v>
      </c>
    </row>
    <row r="54" spans="1:2" hidden="1" x14ac:dyDescent="0.25">
      <c r="A54" s="130"/>
      <c r="B54" s="24" t="s">
        <v>29</v>
      </c>
    </row>
    <row r="55" spans="1:2" hidden="1" x14ac:dyDescent="0.25">
      <c r="A55" s="130"/>
      <c r="B55" s="24" t="s">
        <v>30</v>
      </c>
    </row>
    <row r="56" spans="1:2" hidden="1" x14ac:dyDescent="0.25">
      <c r="A56" s="130"/>
      <c r="B56" s="24" t="s">
        <v>32</v>
      </c>
    </row>
    <row r="57" spans="1:2" hidden="1" x14ac:dyDescent="0.25">
      <c r="A57" s="130"/>
      <c r="B57" s="24" t="s">
        <v>34</v>
      </c>
    </row>
    <row r="58" spans="1:2" hidden="1" x14ac:dyDescent="0.25">
      <c r="A58" s="130"/>
      <c r="B58" s="24" t="s">
        <v>35</v>
      </c>
    </row>
    <row r="59" spans="1:2" hidden="1" x14ac:dyDescent="0.25">
      <c r="A59" s="130"/>
      <c r="B59" s="24" t="s">
        <v>42</v>
      </c>
    </row>
    <row r="60" spans="1:2" hidden="1" x14ac:dyDescent="0.25">
      <c r="A60" s="130"/>
      <c r="B60" s="24" t="s">
        <v>44</v>
      </c>
    </row>
    <row r="61" spans="1:2" hidden="1" x14ac:dyDescent="0.25">
      <c r="A61" s="130"/>
      <c r="B61" s="24" t="s">
        <v>47</v>
      </c>
    </row>
    <row r="62" spans="1:2" hidden="1" x14ac:dyDescent="0.25">
      <c r="A62" s="130"/>
      <c r="B62" s="24" t="s">
        <v>54</v>
      </c>
    </row>
    <row r="63" spans="1:2" hidden="1" x14ac:dyDescent="0.25"/>
    <row r="64" spans="1:2" hidden="1" x14ac:dyDescent="0.25"/>
    <row r="65" spans="1:2" hidden="1" x14ac:dyDescent="0.25">
      <c r="A65" s="130" t="s">
        <v>150</v>
      </c>
      <c r="B65" s="24" t="s">
        <v>28</v>
      </c>
    </row>
    <row r="66" spans="1:2" hidden="1" x14ac:dyDescent="0.25">
      <c r="A66" s="130"/>
      <c r="B66" s="24" t="s">
        <v>31</v>
      </c>
    </row>
    <row r="67" spans="1:2" hidden="1" x14ac:dyDescent="0.25">
      <c r="A67" s="130"/>
      <c r="B67" s="24" t="s">
        <v>33</v>
      </c>
    </row>
    <row r="68" spans="1:2" hidden="1" x14ac:dyDescent="0.25">
      <c r="A68" s="130"/>
      <c r="B68" s="24" t="s">
        <v>36</v>
      </c>
    </row>
    <row r="69" spans="1:2" hidden="1" x14ac:dyDescent="0.25">
      <c r="A69" s="130"/>
      <c r="B69" s="24" t="s">
        <v>38</v>
      </c>
    </row>
    <row r="70" spans="1:2" hidden="1" x14ac:dyDescent="0.25">
      <c r="A70" s="130"/>
      <c r="B70" s="24" t="s">
        <v>39</v>
      </c>
    </row>
    <row r="71" spans="1:2" hidden="1" x14ac:dyDescent="0.25">
      <c r="A71" s="130"/>
      <c r="B71" s="24" t="s">
        <v>40</v>
      </c>
    </row>
    <row r="72" spans="1:2" hidden="1" x14ac:dyDescent="0.25">
      <c r="A72" s="130"/>
      <c r="B72" s="24" t="s">
        <v>41</v>
      </c>
    </row>
    <row r="73" spans="1:2" hidden="1" x14ac:dyDescent="0.25">
      <c r="A73" s="130"/>
      <c r="B73" s="24" t="s">
        <v>43</v>
      </c>
    </row>
    <row r="74" spans="1:2" hidden="1" x14ac:dyDescent="0.25">
      <c r="A74" s="130"/>
      <c r="B74" s="24" t="s">
        <v>46</v>
      </c>
    </row>
    <row r="75" spans="1:2" hidden="1" x14ac:dyDescent="0.25">
      <c r="A75" s="130"/>
      <c r="B75" s="24" t="s">
        <v>48</v>
      </c>
    </row>
    <row r="76" spans="1:2" hidden="1" x14ac:dyDescent="0.25">
      <c r="A76" s="130"/>
      <c r="B76" s="24" t="s">
        <v>49</v>
      </c>
    </row>
    <row r="77" spans="1:2" hidden="1" x14ac:dyDescent="0.25">
      <c r="A77" s="130"/>
      <c r="B77" s="24" t="s">
        <v>51</v>
      </c>
    </row>
    <row r="78" spans="1:2" hidden="1" x14ac:dyDescent="0.25">
      <c r="A78" s="130"/>
      <c r="B78" s="24" t="s">
        <v>53</v>
      </c>
    </row>
    <row r="79" spans="1:2" hidden="1" x14ac:dyDescent="0.25"/>
    <row r="80" spans="1:2" hidden="1" x14ac:dyDescent="0.25">
      <c r="A80" s="131" t="s">
        <v>58</v>
      </c>
      <c r="B80" s="24" t="s">
        <v>37</v>
      </c>
    </row>
    <row r="81" spans="1:2" hidden="1" x14ac:dyDescent="0.25">
      <c r="A81" s="131"/>
      <c r="B81" s="24" t="s">
        <v>50</v>
      </c>
    </row>
    <row r="82" spans="1:2" hidden="1" x14ac:dyDescent="0.25">
      <c r="A82" s="131"/>
      <c r="B82" s="24" t="s">
        <v>52</v>
      </c>
    </row>
    <row r="83" spans="1:2" hidden="1" x14ac:dyDescent="0.25"/>
    <row r="84" spans="1:2" hidden="1" x14ac:dyDescent="0.25">
      <c r="A84" s="132" t="s">
        <v>151</v>
      </c>
      <c r="B84" s="24" t="s">
        <v>45</v>
      </c>
    </row>
    <row r="85" spans="1:2" hidden="1" x14ac:dyDescent="0.25"/>
  </sheetData>
  <mergeCells count="33">
    <mergeCell ref="A80:A82"/>
    <mergeCell ref="BH6:BJ6"/>
    <mergeCell ref="BT6:BU6"/>
    <mergeCell ref="BW6:BX6"/>
    <mergeCell ref="B41:X41"/>
    <mergeCell ref="A50:A62"/>
    <mergeCell ref="A65:A78"/>
    <mergeCell ref="AP6:AR6"/>
    <mergeCell ref="AS6:AU6"/>
    <mergeCell ref="AV6:AX6"/>
    <mergeCell ref="AY6:BA6"/>
    <mergeCell ref="BB6:BD6"/>
    <mergeCell ref="BE6:BG6"/>
    <mergeCell ref="BQ5:BS6"/>
    <mergeCell ref="B6:B7"/>
    <mergeCell ref="F6:H6"/>
    <mergeCell ref="I6:K6"/>
    <mergeCell ref="L6:N6"/>
    <mergeCell ref="O6:Q6"/>
    <mergeCell ref="R6:T6"/>
    <mergeCell ref="U6:W6"/>
    <mergeCell ref="X6:Z6"/>
    <mergeCell ref="AA6:AC6"/>
    <mergeCell ref="B3:Z3"/>
    <mergeCell ref="C5:E6"/>
    <mergeCell ref="F5:AF5"/>
    <mergeCell ref="AG5:BJ5"/>
    <mergeCell ref="BK5:BM6"/>
    <mergeCell ref="BN5:BP6"/>
    <mergeCell ref="AD6:AF6"/>
    <mergeCell ref="AG6:AI6"/>
    <mergeCell ref="AJ6:AL6"/>
    <mergeCell ref="AM6:AO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38DC-9B7F-4ABA-B726-541FE5A61FCC}">
  <sheetPr>
    <tabColor rgb="FF92D050"/>
  </sheetPr>
  <dimension ref="A1:BG41"/>
  <sheetViews>
    <sheetView showGridLines="0" workbookViewId="0"/>
  </sheetViews>
  <sheetFormatPr baseColWidth="10" defaultRowHeight="15" x14ac:dyDescent="0.25"/>
  <cols>
    <col min="2" max="2" width="17.5703125" customWidth="1"/>
    <col min="3" max="3" width="28.5703125" customWidth="1"/>
    <col min="4" max="4" width="15.42578125" customWidth="1"/>
    <col min="5" max="5" width="14" customWidth="1"/>
    <col min="6" max="6" width="16.85546875" customWidth="1"/>
    <col min="7" max="7" width="11.140625" customWidth="1"/>
    <col min="8" max="8" width="10" customWidth="1"/>
    <col min="9" max="9" width="29.42578125" customWidth="1"/>
    <col min="10" max="10" width="25.5703125" bestFit="1" customWidth="1"/>
    <col min="11" max="11" width="24.42578125" customWidth="1"/>
    <col min="12" max="12" width="25.5703125" bestFit="1" customWidth="1"/>
    <col min="13" max="13" width="24.42578125" customWidth="1"/>
    <col min="14" max="14" width="30.140625" bestFit="1" customWidth="1"/>
    <col min="15" max="15" width="29" customWidth="1"/>
    <col min="16" max="16" width="30.5703125" bestFit="1" customWidth="1"/>
    <col min="17" max="17" width="29.42578125" customWidth="1"/>
    <col min="18" max="18" width="29.42578125" bestFit="1" customWidth="1"/>
  </cols>
  <sheetData>
    <row r="1" spans="3:59" ht="30" customHeight="1" x14ac:dyDescent="0.4">
      <c r="C1" s="101" t="s">
        <v>104</v>
      </c>
      <c r="D1" s="102" t="s">
        <v>23</v>
      </c>
    </row>
    <row r="3" spans="3:59" s="4" customFormat="1" ht="34.15" customHeight="1" x14ac:dyDescent="0.25">
      <c r="C3" s="103" t="str">
        <f>CONCATENATE("Establecimientos turísticos inscritos (1) en ",D1," según tipología y categoría del establecimiento
Distribución por categoría")</f>
        <v>Establecimientos turísticos inscritos (1) en Total Isla según tipología y categoría del establecimiento
Distribución por categoría</v>
      </c>
      <c r="D3" s="103"/>
      <c r="E3" s="103"/>
      <c r="F3" s="103"/>
      <c r="G3" s="103"/>
      <c r="H3" s="103"/>
    </row>
    <row r="4" spans="3:59" s="4" customFormat="1" ht="16.5" customHeight="1" thickBot="1" x14ac:dyDescent="0.3">
      <c r="C4" s="105" t="s">
        <v>160</v>
      </c>
      <c r="D4" s="105"/>
      <c r="E4" s="105"/>
      <c r="F4" s="106"/>
      <c r="G4" s="133"/>
      <c r="H4" s="133"/>
    </row>
    <row r="5" spans="3:59" ht="6" customHeight="1" x14ac:dyDescent="0.25">
      <c r="C5" s="107"/>
      <c r="D5" s="107"/>
      <c r="E5" s="107"/>
      <c r="F5" s="107"/>
      <c r="G5" s="107"/>
      <c r="H5" s="107"/>
    </row>
    <row r="6" spans="3:59" s="4" customFormat="1" ht="46.5" customHeight="1" x14ac:dyDescent="0.25">
      <c r="C6" s="42"/>
      <c r="D6" s="18" t="s">
        <v>83</v>
      </c>
      <c r="E6" s="19" t="s">
        <v>22</v>
      </c>
      <c r="F6" s="19" t="s">
        <v>105</v>
      </c>
      <c r="G6" s="108" t="s">
        <v>106</v>
      </c>
      <c r="H6" s="19" t="s">
        <v>107</v>
      </c>
    </row>
    <row r="7" spans="3:59" s="23" customFormat="1" ht="15.75" x14ac:dyDescent="0.25">
      <c r="C7" s="109" t="s">
        <v>13</v>
      </c>
      <c r="D7" s="110">
        <f>VLOOKUP($D$1,'estab aut municipio x tip y cat'!$B$8:$BU$39,5,FALSE)</f>
        <v>285</v>
      </c>
      <c r="E7" s="111">
        <f t="shared" ref="E7:E30" si="0">D7/$D$30</f>
        <v>9.2523455507580437E-3</v>
      </c>
      <c r="F7" s="111">
        <f>D7/$D$28</f>
        <v>0.4002808988764045</v>
      </c>
      <c r="G7" s="110">
        <f>VLOOKUP($D$1,'estab aut municipio x tip y cat'!$B$8:$BU$39,5+1,FALSE)</f>
        <v>5</v>
      </c>
      <c r="H7" s="112">
        <f>VLOOKUP($D$1,'estab aut municipio x tip y cat'!$B$8:$BU$39,5+2,FALSE)</f>
        <v>1.7857142857142794E-2</v>
      </c>
    </row>
    <row r="8" spans="3:59" s="4" customFormat="1" x14ac:dyDescent="0.25">
      <c r="C8" s="113" t="s">
        <v>64</v>
      </c>
      <c r="D8" s="27">
        <f>VLOOKUP($D$1,'estab aut municipio x tip y cat'!$B$8:$BU$39,8,FALSE)</f>
        <v>43</v>
      </c>
      <c r="E8" s="26">
        <f t="shared" si="0"/>
        <v>1.3959679252020906E-3</v>
      </c>
      <c r="F8" s="26">
        <f t="shared" ref="F8:F28" si="1">D8/$D$28</f>
        <v>6.0393258426966294E-2</v>
      </c>
      <c r="G8" s="27">
        <f>VLOOKUP($D$1,'estab aut municipio x tip y cat'!$B$8:$BU$39,8+1,FALSE)</f>
        <v>0</v>
      </c>
      <c r="H8" s="134">
        <f>VLOOKUP($D$1,'estab aut municipio x tip y cat'!$B$8:$BU$39,8+2,FALSE)</f>
        <v>0</v>
      </c>
      <c r="I8"/>
      <c r="BG8" s="4">
        <v>98</v>
      </c>
    </row>
    <row r="9" spans="3:59" s="4" customFormat="1" x14ac:dyDescent="0.25">
      <c r="C9" s="113" t="s">
        <v>65</v>
      </c>
      <c r="D9" s="27">
        <f>VLOOKUP($D$1,'estab aut municipio x tip y cat'!$B$8:$BU$39,11,FALSE)</f>
        <v>31</v>
      </c>
      <c r="E9" s="26">
        <f t="shared" si="0"/>
        <v>1.0063954809596469E-3</v>
      </c>
      <c r="F9" s="26">
        <f t="shared" si="1"/>
        <v>4.3539325842696631E-2</v>
      </c>
      <c r="G9" s="27">
        <f>VLOOKUP($D$1,'estab aut municipio x tip y cat'!$B$8:$BU$39,11+1,FALSE)</f>
        <v>1</v>
      </c>
      <c r="H9" s="134">
        <f>VLOOKUP($D$1,'estab aut municipio x tip y cat'!$B$8:$BU$39,11+2,FALSE)</f>
        <v>3.3333333333333437E-2</v>
      </c>
      <c r="I9"/>
      <c r="BG9" s="4">
        <v>0</v>
      </c>
    </row>
    <row r="10" spans="3:59" s="4" customFormat="1" x14ac:dyDescent="0.25">
      <c r="C10" s="113" t="s">
        <v>66</v>
      </c>
      <c r="D10" s="27">
        <f>VLOOKUP($D$1,'estab aut municipio x tip y cat'!$B$8:$BU$39,14,FALSE)</f>
        <v>52</v>
      </c>
      <c r="E10" s="26">
        <f t="shared" si="0"/>
        <v>1.6881472583839237E-3</v>
      </c>
      <c r="F10" s="26">
        <f t="shared" si="1"/>
        <v>7.3033707865168537E-2</v>
      </c>
      <c r="G10" s="27">
        <f>VLOOKUP($D$1,'estab aut municipio x tip y cat'!$B$8:$BU$39,14+1,FALSE)</f>
        <v>-1</v>
      </c>
      <c r="H10" s="134">
        <f>VLOOKUP($D$1,'estab aut municipio x tip y cat'!$B$8:$BU$39,14+2,FALSE)</f>
        <v>-1.8867924528301883E-2</v>
      </c>
      <c r="I10"/>
      <c r="BG10" s="4">
        <v>0</v>
      </c>
    </row>
    <row r="11" spans="3:59" s="4" customFormat="1" x14ac:dyDescent="0.25">
      <c r="C11" s="113" t="s">
        <v>67</v>
      </c>
      <c r="D11" s="27">
        <f>VLOOKUP($D$1,'estab aut municipio x tip y cat'!$B$8:$BU$39,17,FALSE)</f>
        <v>112</v>
      </c>
      <c r="E11" s="26">
        <f t="shared" si="0"/>
        <v>3.6360094795961431E-3</v>
      </c>
      <c r="F11" s="26">
        <f t="shared" si="1"/>
        <v>0.15730337078651685</v>
      </c>
      <c r="G11" s="27">
        <f>VLOOKUP($D$1,'estab aut municipio x tip y cat'!$B$8:$BU$39,17+1,FALSE)</f>
        <v>0</v>
      </c>
      <c r="H11" s="134">
        <f>VLOOKUP($D$1,'estab aut municipio x tip y cat'!$B$8:$BU$39,17+2,FALSE)</f>
        <v>0</v>
      </c>
      <c r="I11"/>
      <c r="BG11" s="4">
        <v>0</v>
      </c>
    </row>
    <row r="12" spans="3:59" s="4" customFormat="1" x14ac:dyDescent="0.25">
      <c r="C12" s="113" t="s">
        <v>68</v>
      </c>
      <c r="D12" s="27">
        <f>VLOOKUP($D$1,'estab aut municipio x tip y cat'!$B$8:$BU$39,20,FALSE)</f>
        <v>18</v>
      </c>
      <c r="E12" s="26">
        <f t="shared" si="0"/>
        <v>5.8435866636366584E-4</v>
      </c>
      <c r="F12" s="26">
        <f t="shared" si="1"/>
        <v>2.5280898876404494E-2</v>
      </c>
      <c r="G12" s="27">
        <f>VLOOKUP($D$1,'estab aut municipio x tip y cat'!$B$8:$BU$39,20+1,FALSE)</f>
        <v>0</v>
      </c>
      <c r="H12" s="134">
        <f>VLOOKUP($D$1,'estab aut municipio x tip y cat'!$B$8:$BU$39,20+2,FALSE)</f>
        <v>0</v>
      </c>
      <c r="I12"/>
      <c r="BG12" s="4">
        <v>0</v>
      </c>
    </row>
    <row r="13" spans="3:59" s="4" customFormat="1" x14ac:dyDescent="0.25">
      <c r="C13" s="113" t="s">
        <v>69</v>
      </c>
      <c r="D13" s="27">
        <f>VLOOKUP($D$1,'estab aut municipio x tip y cat'!$B$8:$BU$39,23,FALSE)</f>
        <v>4</v>
      </c>
      <c r="E13" s="26">
        <f t="shared" si="0"/>
        <v>1.2985748141414798E-4</v>
      </c>
      <c r="F13" s="26">
        <f t="shared" si="1"/>
        <v>5.6179775280898875E-3</v>
      </c>
      <c r="G13" s="27">
        <f>VLOOKUP($D$1,'estab aut municipio x tip y cat'!$B$8:$BU$39,23+1,FALSE)</f>
        <v>0</v>
      </c>
      <c r="H13" s="134">
        <f>VLOOKUP($D$1,'estab aut municipio x tip y cat'!$B$8:$BU$39,23+2,FALSE)</f>
        <v>0</v>
      </c>
      <c r="I13"/>
      <c r="BG13" s="4">
        <v>0</v>
      </c>
    </row>
    <row r="14" spans="3:59" s="4" customFormat="1" x14ac:dyDescent="0.25">
      <c r="C14" s="113" t="s">
        <v>70</v>
      </c>
      <c r="D14" s="27">
        <f>VLOOKUP($D$1,'estab aut municipio x tip y cat'!$B$8:$BU$39,26,FALSE)</f>
        <v>9</v>
      </c>
      <c r="E14" s="26">
        <f t="shared" si="0"/>
        <v>2.9217933318183292E-4</v>
      </c>
      <c r="F14" s="26">
        <f t="shared" si="1"/>
        <v>1.2640449438202247E-2</v>
      </c>
      <c r="G14" s="27">
        <f>VLOOKUP($D$1,'estab aut municipio x tip y cat'!$B$8:$BU$39,26+1,FALSE)</f>
        <v>0</v>
      </c>
      <c r="H14" s="134">
        <f>VLOOKUP($D$1,'estab aut municipio x tip y cat'!$B$8:$BU$39,26+2,FALSE)</f>
        <v>0</v>
      </c>
      <c r="I14"/>
      <c r="BG14" s="4">
        <v>0</v>
      </c>
    </row>
    <row r="15" spans="3:59" s="4" customFormat="1" x14ac:dyDescent="0.25">
      <c r="C15" s="115" t="s">
        <v>71</v>
      </c>
      <c r="D15" s="27">
        <f>VLOOKUP($D$1,'estab aut municipio x tip y cat'!$B$8:$BU$39,29,FALSE)</f>
        <v>11</v>
      </c>
      <c r="E15" s="26">
        <f t="shared" si="0"/>
        <v>3.571080738889069E-4</v>
      </c>
      <c r="F15" s="26">
        <f t="shared" si="1"/>
        <v>1.5449438202247191E-2</v>
      </c>
      <c r="G15" s="27">
        <f>VLOOKUP($D$1,'estab aut municipio x tip y cat'!$B$8:$BU$39,29+1,FALSE)</f>
        <v>1</v>
      </c>
      <c r="H15" s="134">
        <f>VLOOKUP($D$1,'estab aut municipio x tip y cat'!$B$8:$BU$39,29+2,FALSE)</f>
        <v>0.10000000000000009</v>
      </c>
      <c r="I15"/>
      <c r="BG15" s="4">
        <v>0</v>
      </c>
    </row>
    <row r="16" spans="3:59" s="4" customFormat="1" x14ac:dyDescent="0.25">
      <c r="C16" s="109" t="s">
        <v>14</v>
      </c>
      <c r="D16" s="110">
        <f>VLOOKUP($D$1,'estab aut municipio x tip y cat'!$B$8:$BU$39,32,FALSE)</f>
        <v>236</v>
      </c>
      <c r="E16" s="111">
        <f t="shared" si="0"/>
        <v>7.6615914034347306E-3</v>
      </c>
      <c r="F16" s="111">
        <f t="shared" si="1"/>
        <v>0.33146067415730335</v>
      </c>
      <c r="G16" s="110">
        <f>VLOOKUP($D$1,'estab aut municipio x tip y cat'!$B$8:$BU$39,32+1,FALSE)</f>
        <v>0</v>
      </c>
      <c r="H16" s="112">
        <f>VLOOKUP($D$1,'estab aut municipio x tip y cat'!$B$8:$BU$39,32+2,FALSE)</f>
        <v>0</v>
      </c>
      <c r="I16"/>
      <c r="BG16" s="4">
        <v>0</v>
      </c>
    </row>
    <row r="17" spans="1:59" s="4" customFormat="1" x14ac:dyDescent="0.25">
      <c r="C17" s="113" t="s">
        <v>73</v>
      </c>
      <c r="D17" s="27">
        <f>VLOOKUP($D$1,'estab aut municipio x tip y cat'!$B$8:$BU$39,35,FALSE)</f>
        <v>45</v>
      </c>
      <c r="E17" s="26">
        <f t="shared" si="0"/>
        <v>1.4608966659091648E-3</v>
      </c>
      <c r="F17" s="26">
        <f t="shared" si="1"/>
        <v>6.3202247191011238E-2</v>
      </c>
      <c r="G17" s="27">
        <f>VLOOKUP($D$1,'estab aut municipio x tip y cat'!$B$8:$BU$39,35+1,FALSE)</f>
        <v>0</v>
      </c>
      <c r="H17" s="134">
        <f>VLOOKUP($D$1,'estab aut municipio x tip y cat'!$B$8:$BU$39,35+2,FALSE)</f>
        <v>0</v>
      </c>
      <c r="I17" s="36"/>
      <c r="BG17" s="4">
        <v>0</v>
      </c>
    </row>
    <row r="18" spans="1:59" s="4" customFormat="1" x14ac:dyDescent="0.25">
      <c r="C18" s="113" t="s">
        <v>74</v>
      </c>
      <c r="D18" s="27">
        <f>VLOOKUP($D$1,'estab aut municipio x tip y cat'!$B$8:$BU$39,38,FALSE)</f>
        <v>50</v>
      </c>
      <c r="E18" s="26">
        <f t="shared" si="0"/>
        <v>1.6232185176768496E-3</v>
      </c>
      <c r="F18" s="26">
        <f t="shared" si="1"/>
        <v>7.02247191011236E-2</v>
      </c>
      <c r="G18" s="27">
        <f>VLOOKUP($D$1,'estab aut municipio x tip y cat'!$B$8:$BU$39,38+1,FALSE)</f>
        <v>-2</v>
      </c>
      <c r="H18" s="134">
        <f>VLOOKUP($D$1,'estab aut municipio x tip y cat'!$B$8:$BU$39,38+2,FALSE)</f>
        <v>-3.8461538461538436E-2</v>
      </c>
      <c r="I18" s="36"/>
      <c r="BG18" s="4">
        <v>0</v>
      </c>
    </row>
    <row r="19" spans="1:59" s="4" customFormat="1" x14ac:dyDescent="0.25">
      <c r="C19" s="113" t="s">
        <v>75</v>
      </c>
      <c r="D19" s="27">
        <f>VLOOKUP($D$1,'estab aut municipio x tip y cat'!$B$8:$BU$39,41,FALSE)</f>
        <v>41</v>
      </c>
      <c r="E19" s="26">
        <f t="shared" si="0"/>
        <v>1.3310391844950167E-3</v>
      </c>
      <c r="F19" s="26">
        <f t="shared" si="1"/>
        <v>5.758426966292135E-2</v>
      </c>
      <c r="G19" s="27">
        <f>VLOOKUP($D$1,'estab aut municipio x tip y cat'!$B$8:$BU$39,41+1,FALSE)</f>
        <v>-1</v>
      </c>
      <c r="H19" s="134">
        <f>VLOOKUP($D$1,'estab aut municipio x tip y cat'!$B$8:$BU$39,41+2,FALSE)</f>
        <v>-2.3809523809523836E-2</v>
      </c>
      <c r="I19" s="36"/>
      <c r="BG19" s="4">
        <v>0</v>
      </c>
    </row>
    <row r="20" spans="1:59" s="4" customFormat="1" x14ac:dyDescent="0.25">
      <c r="C20" s="113" t="s">
        <v>76</v>
      </c>
      <c r="D20" s="27">
        <f>VLOOKUP($D$1,'estab aut municipio x tip y cat'!$B$8:$BU$39,44,FALSE)</f>
        <v>1</v>
      </c>
      <c r="E20" s="26">
        <f t="shared" si="0"/>
        <v>3.2464370353536995E-5</v>
      </c>
      <c r="F20" s="26">
        <f t="shared" si="1"/>
        <v>1.4044943820224719E-3</v>
      </c>
      <c r="G20" s="27">
        <f>VLOOKUP($D$1,'estab aut municipio x tip y cat'!$B$8:$BU$39,44+1,FALSE)</f>
        <v>0</v>
      </c>
      <c r="H20" s="134">
        <f>VLOOKUP($D$1,'estab aut municipio x tip y cat'!$B$8:$BU$39,44+2,FALSE)</f>
        <v>0</v>
      </c>
      <c r="I20" s="36"/>
      <c r="BG20" s="4">
        <v>0</v>
      </c>
    </row>
    <row r="21" spans="1:59" s="4" customFormat="1" x14ac:dyDescent="0.25">
      <c r="C21" s="113" t="s">
        <v>66</v>
      </c>
      <c r="D21" s="27">
        <f>VLOOKUP($D$1,'estab aut municipio x tip y cat'!$B$8:$BU$39,47,FALSE)</f>
        <v>25</v>
      </c>
      <c r="E21" s="26">
        <f t="shared" si="0"/>
        <v>8.1160925883842479E-4</v>
      </c>
      <c r="F21" s="26">
        <f t="shared" si="1"/>
        <v>3.51123595505618E-2</v>
      </c>
      <c r="G21" s="27">
        <f>VLOOKUP($D$1,'estab aut municipio x tip y cat'!$B$8:$BU$39,47+1,FALSE)</f>
        <v>1</v>
      </c>
      <c r="H21" s="134">
        <f>VLOOKUP($D$1,'estab aut municipio x tip y cat'!$B$8:$BU$39,47+2,FALSE)</f>
        <v>4.1666666666666741E-2</v>
      </c>
      <c r="I21" s="36"/>
      <c r="BG21" s="4">
        <v>0</v>
      </c>
    </row>
    <row r="22" spans="1:59" s="4" customFormat="1" x14ac:dyDescent="0.25">
      <c r="C22" s="113" t="s">
        <v>67</v>
      </c>
      <c r="D22" s="27">
        <f>VLOOKUP($D$1,'estab aut municipio x tip y cat'!$B$8:$BU$39,50,FALSE)</f>
        <v>9</v>
      </c>
      <c r="E22" s="26">
        <f t="shared" si="0"/>
        <v>2.9217933318183292E-4</v>
      </c>
      <c r="F22" s="26">
        <f t="shared" si="1"/>
        <v>1.2640449438202247E-2</v>
      </c>
      <c r="G22" s="27">
        <f>VLOOKUP($D$1,'estab aut municipio x tip y cat'!$B$8:$BU$39,50+1,FALSE)</f>
        <v>0</v>
      </c>
      <c r="H22" s="134">
        <f>VLOOKUP($D$1,'estab aut municipio x tip y cat'!$B$8:$BU$39,50+2,FALSE)</f>
        <v>0</v>
      </c>
      <c r="I22" s="36"/>
      <c r="BG22" s="4">
        <v>0</v>
      </c>
    </row>
    <row r="23" spans="1:59" s="4" customFormat="1" x14ac:dyDescent="0.25">
      <c r="C23" s="113" t="s">
        <v>68</v>
      </c>
      <c r="D23" s="27">
        <f>VLOOKUP($D$1,'estab aut municipio x tip y cat'!$B$8:$BU$39,53,FALSE)</f>
        <v>5</v>
      </c>
      <c r="E23" s="26">
        <f t="shared" si="0"/>
        <v>1.6232185176768497E-4</v>
      </c>
      <c r="F23" s="26">
        <f t="shared" si="1"/>
        <v>7.0224719101123594E-3</v>
      </c>
      <c r="G23" s="27">
        <f>VLOOKUP($D$1,'estab aut municipio x tip y cat'!$B$8:$BU$39,53+1,FALSE)</f>
        <v>0</v>
      </c>
      <c r="H23" s="134">
        <f>VLOOKUP($D$1,'estab aut municipio x tip y cat'!$B$8:$BU$39,53+2,FALSE)</f>
        <v>0</v>
      </c>
      <c r="I23" s="36"/>
      <c r="BG23" s="4">
        <v>0</v>
      </c>
    </row>
    <row r="24" spans="1:59" s="4" customFormat="1" x14ac:dyDescent="0.25">
      <c r="C24" s="113" t="s">
        <v>77</v>
      </c>
      <c r="D24" s="27">
        <f>VLOOKUP($D$1,'estab aut municipio x tip y cat'!$B$8:$BU$39,56,FALSE)</f>
        <v>42</v>
      </c>
      <c r="E24" s="26">
        <f t="shared" si="0"/>
        <v>1.3635035548485537E-3</v>
      </c>
      <c r="F24" s="26">
        <f t="shared" si="1"/>
        <v>5.8988764044943819E-2</v>
      </c>
      <c r="G24" s="27">
        <f>VLOOKUP($D$1,'estab aut municipio x tip y cat'!$B$8:$BU$39,56+1,FALSE)</f>
        <v>2</v>
      </c>
      <c r="H24" s="134">
        <f>VLOOKUP($D$1,'estab aut municipio x tip y cat'!$B$8:$BU$39,56+2,FALSE)</f>
        <v>5.0000000000000044E-2</v>
      </c>
      <c r="I24" s="36"/>
      <c r="BG24" s="4">
        <v>0</v>
      </c>
    </row>
    <row r="25" spans="1:59" s="4" customFormat="1" x14ac:dyDescent="0.25">
      <c r="C25" s="115" t="s">
        <v>78</v>
      </c>
      <c r="D25" s="27">
        <f>VLOOKUP($D$1,'estab aut municipio x tip y cat'!$B$8:$BU$39,59,FALSE)</f>
        <v>18</v>
      </c>
      <c r="E25" s="26">
        <f t="shared" si="0"/>
        <v>5.8435866636366584E-4</v>
      </c>
      <c r="F25" s="26">
        <f t="shared" si="1"/>
        <v>2.5280898876404494E-2</v>
      </c>
      <c r="G25" s="27">
        <f>VLOOKUP($D$1,'estab aut municipio x tip y cat'!$B$8:$BU$39,59+1,FALSE)</f>
        <v>0</v>
      </c>
      <c r="H25" s="134">
        <f>VLOOKUP($D$1,'estab aut municipio x tip y cat'!$B$8:$BU$39,59+2,FALSE)</f>
        <v>0</v>
      </c>
      <c r="I25" s="36"/>
      <c r="BG25" s="4">
        <v>0</v>
      </c>
    </row>
    <row r="26" spans="1:59" s="4" customFormat="1" x14ac:dyDescent="0.25">
      <c r="C26" s="109" t="s">
        <v>15</v>
      </c>
      <c r="D26" s="110">
        <f>VLOOKUP($D$1,'estab aut municipio x tip y cat'!$B$8:$BU$39,65,FALSE)</f>
        <v>24</v>
      </c>
      <c r="E26" s="111">
        <f t="shared" si="0"/>
        <v>7.7914488848488783E-4</v>
      </c>
      <c r="F26" s="111">
        <f t="shared" si="1"/>
        <v>3.3707865168539325E-2</v>
      </c>
      <c r="G26" s="110">
        <f>VLOOKUP($D$1,'estab aut municipio x tip y cat'!$B$8:$BU$39,65+1,FALSE)</f>
        <v>-1</v>
      </c>
      <c r="H26" s="112">
        <f>VLOOKUP($D$1,'estab aut municipio x tip y cat'!$B$8:$BU$39,65+2,FALSE)</f>
        <v>-4.0000000000000036E-2</v>
      </c>
      <c r="I26" s="36"/>
      <c r="BG26" s="4">
        <v>0</v>
      </c>
    </row>
    <row r="27" spans="1:59" s="4" customFormat="1" x14ac:dyDescent="0.25">
      <c r="C27" s="109" t="s">
        <v>108</v>
      </c>
      <c r="D27" s="110">
        <f>VLOOKUP($D$1,'estab aut municipio x tip y cat'!$B$8:$BU$39,68,FALSE)</f>
        <v>167</v>
      </c>
      <c r="E27" s="111">
        <f t="shared" si="0"/>
        <v>5.4215498490406775E-3</v>
      </c>
      <c r="F27" s="111">
        <f t="shared" si="1"/>
        <v>0.2345505617977528</v>
      </c>
      <c r="G27" s="110">
        <f>VLOOKUP($D$1,'estab aut municipio x tip y cat'!$B$8:$BU$39,68+1,FALSE)</f>
        <v>1</v>
      </c>
      <c r="H27" s="112">
        <f>VLOOKUP($D$1,'estab aut municipio x tip y cat'!$B$8:$BU$39,68+2,FALSE)</f>
        <v>1.2121212121212199E-2</v>
      </c>
      <c r="I27" s="36"/>
      <c r="BG27" s="4">
        <v>0</v>
      </c>
    </row>
    <row r="28" spans="1:59" s="4" customFormat="1" ht="30" x14ac:dyDescent="0.25">
      <c r="C28" s="116" t="s">
        <v>152</v>
      </c>
      <c r="D28" s="117">
        <f>D7+D16+D27+D26</f>
        <v>712</v>
      </c>
      <c r="E28" s="118">
        <f t="shared" si="0"/>
        <v>2.3114631691718339E-2</v>
      </c>
      <c r="F28" s="118">
        <f t="shared" si="1"/>
        <v>1</v>
      </c>
      <c r="G28" s="117">
        <f>G7+G16+G27+G26</f>
        <v>5</v>
      </c>
      <c r="H28" s="119">
        <f>(D28/(D28-G28))-1</f>
        <v>7.0721357850069833E-3</v>
      </c>
      <c r="I28" s="36"/>
      <c r="BG28" s="4">
        <v>0</v>
      </c>
    </row>
    <row r="29" spans="1:59" s="4" customFormat="1" ht="12.75" customHeight="1" x14ac:dyDescent="0.25">
      <c r="A29" s="135"/>
      <c r="C29" s="136" t="s">
        <v>110</v>
      </c>
      <c r="D29" s="137">
        <f>VLOOKUP($D$1,'estab aut municipio x tip y cat'!$B$8:$BU$39,62,FALSE)</f>
        <v>30091</v>
      </c>
      <c r="E29" s="121">
        <f t="shared" si="0"/>
        <v>0.97688536830828165</v>
      </c>
      <c r="F29" s="121"/>
      <c r="G29" s="137">
        <f>VLOOKUP($D$1,'estab aut municipio x tip y cat'!$B$8:$BU$39,62+1,FALSE)</f>
        <v>2606</v>
      </c>
      <c r="H29" s="138">
        <f>VLOOKUP($D$1,'estab aut municipio x tip y cat'!$B$8:$BU$39,62+2,FALSE)</f>
        <v>9.4784316578162553E-2</v>
      </c>
      <c r="I29" s="36"/>
      <c r="BG29" s="4">
        <v>0</v>
      </c>
    </row>
    <row r="30" spans="1:59" s="4" customFormat="1" ht="15.75" x14ac:dyDescent="0.25">
      <c r="C30" s="122" t="s">
        <v>17</v>
      </c>
      <c r="D30" s="21">
        <f>VLOOKUP($D$1,'estab aut municipio x tip y cat'!$B$8:$BU$39,2,FALSE)</f>
        <v>30803</v>
      </c>
      <c r="E30" s="22">
        <f t="shared" si="0"/>
        <v>1</v>
      </c>
      <c r="F30" s="22"/>
      <c r="G30" s="21">
        <f>VLOOKUP($D$1,'estab aut municipio x tip y cat'!$B$8:$BU$39,3,FALSE)</f>
        <v>2611</v>
      </c>
      <c r="H30" s="123">
        <f>VLOOKUP($D$1,'estab aut municipio x tip y cat'!$B$8:$BU$39,4,FALSE)</f>
        <v>9.2614926220204286E-2</v>
      </c>
      <c r="I30" s="36"/>
      <c r="BG30" s="4">
        <v>0</v>
      </c>
    </row>
    <row r="31" spans="1:59" s="4" customFormat="1" ht="10.5" customHeight="1" x14ac:dyDescent="0.25">
      <c r="C31" s="139"/>
      <c r="D31" s="32"/>
      <c r="E31" s="32"/>
      <c r="F31" s="32"/>
      <c r="G31" s="32"/>
      <c r="I31" s="36"/>
      <c r="BG31" s="4">
        <v>0</v>
      </c>
    </row>
    <row r="32" spans="1:59" s="4" customFormat="1" ht="66.75" customHeight="1" x14ac:dyDescent="0.25">
      <c r="C32" s="81" t="s">
        <v>111</v>
      </c>
      <c r="D32" s="81"/>
      <c r="E32" s="81"/>
      <c r="F32" s="81"/>
      <c r="G32" s="81"/>
      <c r="H32" s="81"/>
      <c r="BG32" s="4">
        <v>0</v>
      </c>
    </row>
    <row r="33" spans="3:59" s="4" customFormat="1" x14ac:dyDescent="0.25">
      <c r="C33" s="124"/>
      <c r="D33"/>
      <c r="BG33" s="4">
        <v>0</v>
      </c>
    </row>
    <row r="34" spans="3:59" s="4" customFormat="1" x14ac:dyDescent="0.25">
      <c r="C34" s="124"/>
      <c r="D34"/>
      <c r="H34" s="36"/>
      <c r="BG34" s="4">
        <v>0</v>
      </c>
    </row>
    <row r="35" spans="3:59" s="4" customFormat="1" x14ac:dyDescent="0.25">
      <c r="C35" s="124"/>
      <c r="D35"/>
      <c r="H35" s="36"/>
      <c r="BG35" s="4">
        <v>0</v>
      </c>
    </row>
    <row r="36" spans="3:59" s="4" customFormat="1" x14ac:dyDescent="0.25">
      <c r="C36" s="124"/>
      <c r="D36" s="125"/>
      <c r="H36" s="36"/>
      <c r="BG36" s="4">
        <v>0</v>
      </c>
    </row>
    <row r="37" spans="3:59" s="4" customFormat="1" x14ac:dyDescent="0.25">
      <c r="C37" s="124"/>
      <c r="D37" s="125"/>
      <c r="H37" s="36"/>
      <c r="BG37" s="4">
        <v>0</v>
      </c>
    </row>
    <row r="38" spans="3:59" s="4" customFormat="1" x14ac:dyDescent="0.25">
      <c r="C38" s="124"/>
      <c r="D38" s="125"/>
      <c r="H38" s="36"/>
      <c r="BG38" s="4">
        <v>0</v>
      </c>
    </row>
    <row r="39" spans="3:59" x14ac:dyDescent="0.25">
      <c r="C39" s="124"/>
      <c r="E39" s="4"/>
      <c r="F39" s="4"/>
      <c r="G39" s="4"/>
      <c r="H39" s="4"/>
      <c r="AF39" s="4"/>
      <c r="BG39" s="4">
        <v>0</v>
      </c>
    </row>
    <row r="40" spans="3:59" x14ac:dyDescent="0.25">
      <c r="C40" s="124"/>
      <c r="E40" s="4"/>
      <c r="F40" s="4"/>
      <c r="G40" s="4"/>
    </row>
    <row r="41" spans="3:59" x14ac:dyDescent="0.25">
      <c r="C41" s="124"/>
    </row>
  </sheetData>
  <mergeCells count="3">
    <mergeCell ref="C3:H3"/>
    <mergeCell ref="C4:E4"/>
    <mergeCell ref="C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3C568-A379-4747-A727-8ACF067DB406}">
          <x14:formula1>
            <xm:f>'estab aut municipio x tip y cat'!$B$8:$B$39</xm:f>
          </x14:formula1>
          <xm:sqref>D1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8A258DA3-1D85-4EAF-B5EF-2A12BE9F4426}"/>
</file>

<file path=customXml/itemProps2.xml><?xml version="1.0" encoding="utf-8"?>
<ds:datastoreItem xmlns:ds="http://schemas.openxmlformats.org/officeDocument/2006/customXml" ds:itemID="{FD181B85-2B39-4B27-AE7A-14464C7772B0}"/>
</file>

<file path=customXml/itemProps3.xml><?xml version="1.0" encoding="utf-8"?>
<ds:datastoreItem xmlns:ds="http://schemas.openxmlformats.org/officeDocument/2006/customXml" ds:itemID="{3BC03511-E934-47F0-8004-D5059CCD2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Menú principal</vt:lpstr>
      <vt:lpstr>plazas aut munic cuota aloj</vt:lpstr>
      <vt:lpstr>plazas aut municipio x cat</vt:lpstr>
      <vt:lpstr>Evolucion anual plazas aloj</vt:lpstr>
      <vt:lpstr>plazas aut catg cuota</vt:lpstr>
      <vt:lpstr>estab aut munic cuota aloj</vt:lpstr>
      <vt:lpstr>estab aut municipio x tip y cat</vt:lpstr>
      <vt:lpstr>estab aut catg cuota aloj</vt:lpstr>
      <vt:lpstr>'estab aut catg cuota aloj'!Área_de_impresión</vt:lpstr>
      <vt:lpstr>'estab aut munic cuota aloj'!Área_de_impresión</vt:lpstr>
      <vt:lpstr>'Menú principal'!Área_de_impresión</vt:lpstr>
      <vt:lpstr>'plazas aut catg cuota'!Área_de_impresión</vt:lpstr>
      <vt:lpstr>'plazas aut munic cuota aloj'!Área_de_impresión</vt:lpstr>
      <vt:lpstr>'Menú principal'!Títulos_a_imprimir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2025-10-10T12:38:22Z</dcterms:created>
  <dcterms:modified xsi:type="dcterms:W3CDTF">2025-10-10T12:54:45Z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