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Plazas y Establecimientos Turísticos/Turismo en cifras-plazas/2025/"/>
    </mc:Choice>
  </mc:AlternateContent>
  <xr:revisionPtr revIDLastSave="5" documentId="8_{B8168430-6CED-4DF8-B6BD-360B2A2E3CBC}" xr6:coauthVersionLast="47" xr6:coauthVersionMax="47" xr10:uidLastSave="{FD74237D-331D-4D36-9762-182165444929}"/>
  <bookViews>
    <workbookView xWindow="-120" yWindow="-120" windowWidth="29040" windowHeight="15720" xr2:uid="{DDF858A6-6BF4-4870-80A4-9AA6C1F1A4AD}"/>
  </bookViews>
  <sheets>
    <sheet name="Menú principal" sheetId="1" r:id="rId1"/>
    <sheet name="plazas aut munic cuota aloj" sheetId="2" r:id="rId2"/>
    <sheet name="plazas aut municipio x cat" sheetId="3" r:id="rId3"/>
    <sheet name="Evolucion anual plazas aloj" sheetId="4" r:id="rId4"/>
    <sheet name="plazas aut catg cuota" sheetId="5" r:id="rId5"/>
    <sheet name="estab aut munic cuota aloj" sheetId="8" r:id="rId6"/>
    <sheet name="estab aut municipio x tip y cat" sheetId="9" r:id="rId7"/>
    <sheet name="estab aut catg cuota aloj" sheetId="10" r:id="rId8"/>
  </sheets>
  <definedNames>
    <definedName name="_xlnm.Print_Area" localSheetId="7">'estab aut catg cuota aloj'!$C$3:$E$32</definedName>
    <definedName name="_xlnm.Print_Area" localSheetId="5">'estab aut munic cuota aloj'!$B$3:$N$42</definedName>
    <definedName name="_xlnm.Print_Area" localSheetId="3">'Evolucion anual plazas aloj'!#REF!</definedName>
    <definedName name="_xlnm.Print_Area" localSheetId="0">'Menú principal'!$B$2:$D$18</definedName>
    <definedName name="_xlnm.Print_Area" localSheetId="4">'plazas aut catg cuota'!$C$3:$E$32</definedName>
    <definedName name="_xlnm.Print_Area" localSheetId="1">'plazas aut munic cuota aloj'!$B$3:$N$46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  <definedName name="_xlnm.Print_Titles" localSheetId="0">'Menú principal'!$2:$5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I29" i="8"/>
  <c r="C3" i="10"/>
  <c r="H29" i="9"/>
  <c r="I19" i="8"/>
  <c r="H29" i="10"/>
  <c r="G29" i="10"/>
  <c r="I38" i="8"/>
  <c r="B38" i="8"/>
  <c r="I37" i="8"/>
  <c r="B37" i="8"/>
  <c r="I36" i="8"/>
  <c r="B36" i="8"/>
  <c r="I35" i="8"/>
  <c r="B35" i="8"/>
  <c r="I34" i="8"/>
  <c r="B34" i="8"/>
  <c r="I33" i="8"/>
  <c r="B33" i="8"/>
  <c r="I32" i="8"/>
  <c r="B32" i="8"/>
  <c r="I31" i="8"/>
  <c r="B31" i="8"/>
  <c r="I30" i="8"/>
  <c r="B30" i="8"/>
  <c r="B29" i="8"/>
  <c r="B28" i="8"/>
  <c r="I27" i="8"/>
  <c r="B27" i="8"/>
  <c r="I26" i="8"/>
  <c r="B26" i="8"/>
  <c r="I25" i="8"/>
  <c r="B25" i="8"/>
  <c r="I24" i="8"/>
  <c r="B24" i="8"/>
  <c r="I23" i="8"/>
  <c r="B23" i="8"/>
  <c r="I22" i="8"/>
  <c r="B22" i="8"/>
  <c r="I21" i="8"/>
  <c r="B21" i="8"/>
  <c r="I20" i="8"/>
  <c r="B20" i="8"/>
  <c r="B19" i="8"/>
  <c r="I18" i="8"/>
  <c r="B18" i="8"/>
  <c r="I17" i="8"/>
  <c r="B17" i="8"/>
  <c r="I16" i="8"/>
  <c r="B16" i="8"/>
  <c r="I15" i="8"/>
  <c r="B15" i="8"/>
  <c r="I14" i="8"/>
  <c r="B14" i="8"/>
  <c r="I13" i="8"/>
  <c r="B13" i="8"/>
  <c r="I12" i="8"/>
  <c r="B12" i="8"/>
  <c r="I11" i="8"/>
  <c r="B11" i="8"/>
  <c r="I10" i="8"/>
  <c r="B10" i="8"/>
  <c r="I9" i="8"/>
  <c r="B9" i="8"/>
  <c r="I8" i="8"/>
  <c r="B8" i="8"/>
  <c r="K6" i="8"/>
  <c r="M6" i="8" s="1"/>
  <c r="E6" i="8"/>
  <c r="G6" i="8" s="1"/>
  <c r="I6" i="8" s="1"/>
  <c r="C3" i="5"/>
  <c r="I32" i="2"/>
  <c r="H29" i="3"/>
  <c r="I24" i="2"/>
  <c r="I9" i="2"/>
  <c r="H29" i="5"/>
  <c r="G29" i="5"/>
  <c r="I38" i="2"/>
  <c r="I37" i="2"/>
  <c r="I36" i="2"/>
  <c r="I35" i="2"/>
  <c r="I34" i="2"/>
  <c r="I33" i="2"/>
  <c r="I31" i="2"/>
  <c r="I30" i="2"/>
  <c r="I29" i="2"/>
  <c r="I28" i="2"/>
  <c r="I27" i="2"/>
  <c r="I26" i="2"/>
  <c r="I25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G6" i="2"/>
  <c r="K6" i="2" s="1"/>
  <c r="M6" i="2" s="1"/>
  <c r="E6" i="2"/>
  <c r="H1" i="2"/>
  <c r="D26" i="3" l="1"/>
  <c r="C14" i="2"/>
  <c r="C22" i="2"/>
  <c r="L16" i="2"/>
  <c r="K43" i="2"/>
  <c r="K7" i="2"/>
  <c r="L7" i="2" s="1"/>
  <c r="L8" i="2"/>
  <c r="C27" i="2"/>
  <c r="G21" i="5"/>
  <c r="AJ44" i="3"/>
  <c r="D10" i="3"/>
  <c r="AD46" i="3"/>
  <c r="K45" i="2"/>
  <c r="L21" i="2"/>
  <c r="H10" i="5"/>
  <c r="G44" i="2"/>
  <c r="G13" i="5"/>
  <c r="H18" i="5"/>
  <c r="C11" i="2"/>
  <c r="C19" i="2"/>
  <c r="C38" i="2"/>
  <c r="D24" i="5"/>
  <c r="AA45" i="3"/>
  <c r="L13" i="2"/>
  <c r="C30" i="2"/>
  <c r="L44" i="3"/>
  <c r="L24" i="2"/>
  <c r="C35" i="2"/>
  <c r="L32" i="2"/>
  <c r="D16" i="5"/>
  <c r="K46" i="2"/>
  <c r="L29" i="2"/>
  <c r="D8" i="5"/>
  <c r="BH44" i="3"/>
  <c r="L37" i="2"/>
  <c r="D11" i="5"/>
  <c r="D19" i="5"/>
  <c r="D17" i="3"/>
  <c r="E43" i="2"/>
  <c r="E7" i="2"/>
  <c r="F19" i="2" s="1"/>
  <c r="M43" i="2"/>
  <c r="M7" i="2"/>
  <c r="N7" i="2" s="1"/>
  <c r="L10" i="2"/>
  <c r="C16" i="2"/>
  <c r="L18" i="2"/>
  <c r="H22" i="2"/>
  <c r="F24" i="2"/>
  <c r="C24" i="2"/>
  <c r="L26" i="2"/>
  <c r="C32" i="2"/>
  <c r="N32" i="2"/>
  <c r="L34" i="2"/>
  <c r="H38" i="2"/>
  <c r="H8" i="5"/>
  <c r="G11" i="5"/>
  <c r="D14" i="5"/>
  <c r="H16" i="5"/>
  <c r="G19" i="5"/>
  <c r="D22" i="5"/>
  <c r="H24" i="5"/>
  <c r="G26" i="5"/>
  <c r="C9" i="3"/>
  <c r="F44" i="3"/>
  <c r="AD44" i="3"/>
  <c r="BB44" i="3"/>
  <c r="C15" i="3"/>
  <c r="F46" i="3"/>
  <c r="C22" i="3"/>
  <c r="AY47" i="3"/>
  <c r="D33" i="3"/>
  <c r="H8" i="2"/>
  <c r="G43" i="2"/>
  <c r="G7" i="2"/>
  <c r="H12" i="2" s="1"/>
  <c r="F10" i="2"/>
  <c r="C10" i="2"/>
  <c r="N10" i="2"/>
  <c r="K44" i="2"/>
  <c r="L12" i="2"/>
  <c r="H16" i="2"/>
  <c r="C18" i="2"/>
  <c r="N18" i="2"/>
  <c r="L20" i="2"/>
  <c r="H24" i="2"/>
  <c r="F26" i="2"/>
  <c r="C26" i="2"/>
  <c r="N26" i="2"/>
  <c r="L28" i="2"/>
  <c r="H32" i="2"/>
  <c r="F34" i="2"/>
  <c r="C34" i="2"/>
  <c r="N34" i="2"/>
  <c r="L36" i="2"/>
  <c r="G9" i="5"/>
  <c r="D12" i="5"/>
  <c r="H14" i="5"/>
  <c r="G17" i="5"/>
  <c r="D20" i="5"/>
  <c r="H22" i="5"/>
  <c r="G25" i="5"/>
  <c r="D27" i="5"/>
  <c r="X44" i="3"/>
  <c r="AV44" i="3"/>
  <c r="D11" i="3"/>
  <c r="D18" i="3"/>
  <c r="AA47" i="3"/>
  <c r="G8" i="5"/>
  <c r="H21" i="5"/>
  <c r="F13" i="2"/>
  <c r="C13" i="2"/>
  <c r="L15" i="2"/>
  <c r="H19" i="2"/>
  <c r="E45" i="2"/>
  <c r="F21" i="2"/>
  <c r="C21" i="2"/>
  <c r="F29" i="2"/>
  <c r="E46" i="2"/>
  <c r="C29" i="2"/>
  <c r="F37" i="2"/>
  <c r="C37" i="2"/>
  <c r="N37" i="2"/>
  <c r="H11" i="5"/>
  <c r="D17" i="5"/>
  <c r="G22" i="5"/>
  <c r="H26" i="5"/>
  <c r="AM44" i="3"/>
  <c r="C31" i="3"/>
  <c r="G18" i="10"/>
  <c r="L9" i="2"/>
  <c r="H13" i="2"/>
  <c r="C15" i="2"/>
  <c r="F15" i="2"/>
  <c r="N15" i="2"/>
  <c r="L17" i="2"/>
  <c r="G45" i="2"/>
  <c r="H21" i="2"/>
  <c r="F23" i="2"/>
  <c r="C23" i="2"/>
  <c r="N23" i="2"/>
  <c r="L25" i="2"/>
  <c r="H29" i="2"/>
  <c r="G46" i="2"/>
  <c r="F31" i="2"/>
  <c r="C31" i="2"/>
  <c r="N31" i="2"/>
  <c r="L33" i="2"/>
  <c r="H37" i="2"/>
  <c r="D7" i="5"/>
  <c r="C8" i="3"/>
  <c r="H9" i="5"/>
  <c r="G12" i="5"/>
  <c r="D15" i="5"/>
  <c r="H17" i="5"/>
  <c r="G20" i="5"/>
  <c r="D23" i="5"/>
  <c r="H25" i="5"/>
  <c r="G27" i="5"/>
  <c r="I44" i="3"/>
  <c r="AG44" i="3"/>
  <c r="BE44" i="3"/>
  <c r="AV45" i="3"/>
  <c r="AY46" i="3"/>
  <c r="D25" i="3"/>
  <c r="AD47" i="3"/>
  <c r="D34" i="3"/>
  <c r="G16" i="5"/>
  <c r="D26" i="5"/>
  <c r="U44" i="3"/>
  <c r="AS44" i="3"/>
  <c r="BQ44" i="3"/>
  <c r="H11" i="2"/>
  <c r="M45" i="2"/>
  <c r="N21" i="2"/>
  <c r="H27" i="2"/>
  <c r="D9" i="3"/>
  <c r="H10" i="2"/>
  <c r="F12" i="2"/>
  <c r="C12" i="2"/>
  <c r="E44" i="2"/>
  <c r="N12" i="2"/>
  <c r="M44" i="2"/>
  <c r="L14" i="2"/>
  <c r="H18" i="2"/>
  <c r="F20" i="2"/>
  <c r="C20" i="2"/>
  <c r="N20" i="2"/>
  <c r="L22" i="2"/>
  <c r="H26" i="2"/>
  <c r="F28" i="2"/>
  <c r="C28" i="2"/>
  <c r="N28" i="2"/>
  <c r="L30" i="2"/>
  <c r="H34" i="2"/>
  <c r="F36" i="2"/>
  <c r="C36" i="2"/>
  <c r="N36" i="2"/>
  <c r="L38" i="2"/>
  <c r="G7" i="5"/>
  <c r="D8" i="3"/>
  <c r="G30" i="5" s="1"/>
  <c r="D10" i="5"/>
  <c r="H12" i="5"/>
  <c r="G15" i="5"/>
  <c r="D18" i="5"/>
  <c r="H20" i="5"/>
  <c r="G23" i="5"/>
  <c r="H27" i="5"/>
  <c r="R44" i="3"/>
  <c r="AP44" i="3"/>
  <c r="BN44" i="3"/>
  <c r="AY45" i="3"/>
  <c r="C14" i="3"/>
  <c r="BB46" i="3"/>
  <c r="C23" i="3"/>
  <c r="H13" i="5"/>
  <c r="G24" i="5"/>
  <c r="N13" i="2"/>
  <c r="L23" i="2"/>
  <c r="M46" i="2"/>
  <c r="N29" i="2"/>
  <c r="L31" i="2"/>
  <c r="H35" i="2"/>
  <c r="D9" i="5"/>
  <c r="G14" i="5"/>
  <c r="H19" i="5"/>
  <c r="D25" i="5"/>
  <c r="O44" i="3"/>
  <c r="C11" i="3"/>
  <c r="E11" i="3" s="1"/>
  <c r="BB47" i="3"/>
  <c r="C9" i="2"/>
  <c r="F9" i="2"/>
  <c r="N9" i="2"/>
  <c r="L11" i="2"/>
  <c r="H15" i="2"/>
  <c r="C17" i="2"/>
  <c r="F17" i="2"/>
  <c r="N17" i="2"/>
  <c r="L19" i="2"/>
  <c r="H23" i="2"/>
  <c r="C25" i="2"/>
  <c r="F25" i="2"/>
  <c r="N25" i="2"/>
  <c r="L27" i="2"/>
  <c r="H31" i="2"/>
  <c r="C33" i="2"/>
  <c r="F33" i="2"/>
  <c r="N33" i="2"/>
  <c r="L35" i="2"/>
  <c r="H7" i="5"/>
  <c r="G10" i="5"/>
  <c r="D13" i="5"/>
  <c r="H15" i="5"/>
  <c r="G18" i="5"/>
  <c r="D21" i="5"/>
  <c r="H23" i="5"/>
  <c r="AA44" i="3"/>
  <c r="AY44" i="3"/>
  <c r="C10" i="3"/>
  <c r="E10" i="3" s="1"/>
  <c r="X45" i="3"/>
  <c r="AA46" i="3"/>
  <c r="F47" i="3"/>
  <c r="C30" i="3"/>
  <c r="C12" i="3"/>
  <c r="I45" i="3"/>
  <c r="AG45" i="3"/>
  <c r="BE45" i="3"/>
  <c r="D15" i="3"/>
  <c r="C20" i="3"/>
  <c r="L46" i="3"/>
  <c r="AJ46" i="3"/>
  <c r="BH46" i="3"/>
  <c r="D23" i="3"/>
  <c r="C28" i="3"/>
  <c r="L47" i="3"/>
  <c r="AJ47" i="3"/>
  <c r="BH47" i="3"/>
  <c r="D31" i="3"/>
  <c r="C36" i="3"/>
  <c r="C38" i="3"/>
  <c r="D12" i="3"/>
  <c r="R45" i="3"/>
  <c r="AP45" i="3"/>
  <c r="BN45" i="3"/>
  <c r="C17" i="3"/>
  <c r="E17" i="3" s="1"/>
  <c r="D20" i="3"/>
  <c r="U46" i="3"/>
  <c r="AS46" i="3"/>
  <c r="BQ46" i="3"/>
  <c r="C25" i="3"/>
  <c r="E25" i="3" s="1"/>
  <c r="D28" i="3"/>
  <c r="H28" i="3" s="1"/>
  <c r="U47" i="3"/>
  <c r="AS47" i="3"/>
  <c r="BQ47" i="3"/>
  <c r="C33" i="3"/>
  <c r="E33" i="3" s="1"/>
  <c r="D36" i="3"/>
  <c r="L45" i="3"/>
  <c r="AJ45" i="3"/>
  <c r="BH45" i="3"/>
  <c r="D14" i="3"/>
  <c r="C19" i="3"/>
  <c r="D22" i="3"/>
  <c r="O46" i="3"/>
  <c r="AM46" i="3"/>
  <c r="C27" i="3"/>
  <c r="D30" i="3"/>
  <c r="O47" i="3"/>
  <c r="AM47" i="3"/>
  <c r="C35" i="3"/>
  <c r="U45" i="3"/>
  <c r="AS45" i="3"/>
  <c r="BQ45" i="3"/>
  <c r="C16" i="3"/>
  <c r="D19" i="3"/>
  <c r="X46" i="3"/>
  <c r="AV46" i="3"/>
  <c r="C24" i="3"/>
  <c r="D27" i="3"/>
  <c r="C29" i="3"/>
  <c r="X47" i="3"/>
  <c r="AV47" i="3"/>
  <c r="C32" i="3"/>
  <c r="D35" i="3"/>
  <c r="C39" i="3"/>
  <c r="E39" i="3" s="1"/>
  <c r="F45" i="3"/>
  <c r="C13" i="3"/>
  <c r="AD45" i="3"/>
  <c r="BB45" i="3"/>
  <c r="D16" i="3"/>
  <c r="C21" i="3"/>
  <c r="I46" i="3"/>
  <c r="AG46" i="3"/>
  <c r="BE46" i="3"/>
  <c r="D24" i="3"/>
  <c r="D29" i="3"/>
  <c r="I47" i="3"/>
  <c r="AG47" i="3"/>
  <c r="BE47" i="3"/>
  <c r="D32" i="3"/>
  <c r="C37" i="3"/>
  <c r="D13" i="3"/>
  <c r="O45" i="3"/>
  <c r="AM45" i="3"/>
  <c r="C18" i="3"/>
  <c r="E18" i="3" s="1"/>
  <c r="D21" i="3"/>
  <c r="R46" i="3"/>
  <c r="AP46" i="3"/>
  <c r="BN46" i="3"/>
  <c r="C26" i="3"/>
  <c r="E26" i="3" s="1"/>
  <c r="R47" i="3"/>
  <c r="AP47" i="3"/>
  <c r="BN47" i="3"/>
  <c r="C34" i="3"/>
  <c r="E34" i="3" s="1"/>
  <c r="D37" i="3"/>
  <c r="D39" i="3"/>
  <c r="D12" i="10"/>
  <c r="AV45" i="9"/>
  <c r="D38" i="3"/>
  <c r="H22" i="10"/>
  <c r="D27" i="10"/>
  <c r="H7" i="8"/>
  <c r="G9" i="10"/>
  <c r="D20" i="10"/>
  <c r="G10" i="10"/>
  <c r="D21" i="10"/>
  <c r="O44" i="9"/>
  <c r="D13" i="10"/>
  <c r="H23" i="10"/>
  <c r="AV43" i="9"/>
  <c r="C18" i="9"/>
  <c r="E17" i="8"/>
  <c r="H14" i="10"/>
  <c r="AY43" i="9"/>
  <c r="E9" i="8"/>
  <c r="C10" i="9"/>
  <c r="X43" i="9"/>
  <c r="G17" i="10"/>
  <c r="AA43" i="9"/>
  <c r="BQ46" i="9"/>
  <c r="M29" i="8"/>
  <c r="D7" i="10"/>
  <c r="C8" i="9"/>
  <c r="H9" i="10"/>
  <c r="G12" i="10"/>
  <c r="D15" i="10"/>
  <c r="H17" i="10"/>
  <c r="G20" i="10"/>
  <c r="D23" i="10"/>
  <c r="G27" i="10"/>
  <c r="I43" i="9"/>
  <c r="AG43" i="9"/>
  <c r="G8" i="8"/>
  <c r="H8" i="8" s="1"/>
  <c r="BE43" i="9"/>
  <c r="AM44" i="9"/>
  <c r="G7" i="10"/>
  <c r="D8" i="9"/>
  <c r="G30" i="10" s="1"/>
  <c r="D10" i="10"/>
  <c r="H12" i="10"/>
  <c r="D18" i="10"/>
  <c r="H20" i="10"/>
  <c r="G23" i="10"/>
  <c r="H27" i="10"/>
  <c r="R43" i="9"/>
  <c r="AP43" i="9"/>
  <c r="BN43" i="9"/>
  <c r="K8" i="8"/>
  <c r="AP44" i="9"/>
  <c r="BN44" i="9"/>
  <c r="K12" i="8"/>
  <c r="M14" i="8"/>
  <c r="G17" i="8"/>
  <c r="H17" i="8" s="1"/>
  <c r="D8" i="10"/>
  <c r="H10" i="10"/>
  <c r="G13" i="10"/>
  <c r="D16" i="10"/>
  <c r="H18" i="10"/>
  <c r="G21" i="10"/>
  <c r="D24" i="10"/>
  <c r="L43" i="9"/>
  <c r="AJ43" i="9"/>
  <c r="BH43" i="9"/>
  <c r="K9" i="8"/>
  <c r="E10" i="8"/>
  <c r="C11" i="9"/>
  <c r="R44" i="9"/>
  <c r="I46" i="9"/>
  <c r="G8" i="10"/>
  <c r="D11" i="10"/>
  <c r="H13" i="10"/>
  <c r="G16" i="10"/>
  <c r="D19" i="10"/>
  <c r="H21" i="10"/>
  <c r="G24" i="10"/>
  <c r="D26" i="10"/>
  <c r="U43" i="9"/>
  <c r="AS43" i="9"/>
  <c r="BQ43" i="9"/>
  <c r="M8" i="8"/>
  <c r="G10" i="8"/>
  <c r="H10" i="8" s="1"/>
  <c r="G18" i="8"/>
  <c r="H18" i="8" s="1"/>
  <c r="H8" i="10"/>
  <c r="G11" i="10"/>
  <c r="D14" i="10"/>
  <c r="H16" i="10"/>
  <c r="G19" i="10"/>
  <c r="D22" i="10"/>
  <c r="H24" i="10"/>
  <c r="G26" i="10"/>
  <c r="F43" i="9"/>
  <c r="E8" i="8"/>
  <c r="C9" i="9"/>
  <c r="AD43" i="9"/>
  <c r="BB43" i="9"/>
  <c r="G9" i="8"/>
  <c r="H9" i="8" s="1"/>
  <c r="K13" i="8"/>
  <c r="D9" i="10"/>
  <c r="H11" i="10"/>
  <c r="G14" i="10"/>
  <c r="D17" i="10"/>
  <c r="H19" i="10"/>
  <c r="G22" i="10"/>
  <c r="D25" i="10"/>
  <c r="H26" i="10"/>
  <c r="O43" i="9"/>
  <c r="AM43" i="9"/>
  <c r="M13" i="8"/>
  <c r="C17" i="9"/>
  <c r="E16" i="8"/>
  <c r="F45" i="9"/>
  <c r="C22" i="9"/>
  <c r="E21" i="8"/>
  <c r="K10" i="8"/>
  <c r="M11" i="8"/>
  <c r="X44" i="9"/>
  <c r="AV44" i="9"/>
  <c r="C15" i="9"/>
  <c r="E14" i="8"/>
  <c r="G15" i="8"/>
  <c r="H15" i="8" s="1"/>
  <c r="K18" i="8"/>
  <c r="M19" i="8"/>
  <c r="AD45" i="9"/>
  <c r="BQ45" i="9"/>
  <c r="M21" i="8"/>
  <c r="E23" i="8"/>
  <c r="C24" i="9"/>
  <c r="M37" i="8"/>
  <c r="C12" i="9"/>
  <c r="E11" i="8"/>
  <c r="I44" i="9"/>
  <c r="AG44" i="9"/>
  <c r="G12" i="8"/>
  <c r="H12" i="8" s="1"/>
  <c r="BE44" i="9"/>
  <c r="K15" i="8"/>
  <c r="M16" i="8"/>
  <c r="C20" i="9"/>
  <c r="E19" i="8"/>
  <c r="BB45" i="9"/>
  <c r="C29" i="9"/>
  <c r="E28" i="8"/>
  <c r="M32" i="8"/>
  <c r="M10" i="8"/>
  <c r="AA44" i="9"/>
  <c r="AY44" i="9"/>
  <c r="C14" i="9"/>
  <c r="E13" i="8"/>
  <c r="G14" i="8"/>
  <c r="H14" i="8" s="1"/>
  <c r="K17" i="8"/>
  <c r="M18" i="8"/>
  <c r="K20" i="8"/>
  <c r="G24" i="8"/>
  <c r="H24" i="8" s="1"/>
  <c r="G11" i="8"/>
  <c r="H11" i="8" s="1"/>
  <c r="L44" i="9"/>
  <c r="AJ44" i="9"/>
  <c r="BH44" i="9"/>
  <c r="K14" i="8"/>
  <c r="M15" i="8"/>
  <c r="C19" i="9"/>
  <c r="E18" i="8"/>
  <c r="G19" i="8"/>
  <c r="H19" i="8" s="1"/>
  <c r="U45" i="9"/>
  <c r="C25" i="9"/>
  <c r="E24" i="8"/>
  <c r="AD46" i="9"/>
  <c r="G36" i="8"/>
  <c r="H36" i="8" s="1"/>
  <c r="K11" i="8"/>
  <c r="U44" i="9"/>
  <c r="AS44" i="9"/>
  <c r="BQ44" i="9"/>
  <c r="M12" i="8"/>
  <c r="C16" i="9"/>
  <c r="E15" i="8"/>
  <c r="G16" i="8"/>
  <c r="H16" i="8" s="1"/>
  <c r="K19" i="8"/>
  <c r="M20" i="8"/>
  <c r="AS45" i="9"/>
  <c r="AG46" i="9"/>
  <c r="G29" i="8"/>
  <c r="H29" i="8" s="1"/>
  <c r="M9" i="8"/>
  <c r="F44" i="9"/>
  <c r="C13" i="9"/>
  <c r="E12" i="8"/>
  <c r="AD44" i="9"/>
  <c r="BB44" i="9"/>
  <c r="G13" i="8"/>
  <c r="H13" i="8" s="1"/>
  <c r="K16" i="8"/>
  <c r="M17" i="8"/>
  <c r="C21" i="9"/>
  <c r="E20" i="8"/>
  <c r="X45" i="9"/>
  <c r="G25" i="8"/>
  <c r="H25" i="8" s="1"/>
  <c r="F46" i="9"/>
  <c r="C30" i="9"/>
  <c r="E29" i="8"/>
  <c r="G22" i="8"/>
  <c r="H22" i="8" s="1"/>
  <c r="K25" i="8"/>
  <c r="M26" i="8"/>
  <c r="G27" i="8"/>
  <c r="H27" i="8" s="1"/>
  <c r="O46" i="9"/>
  <c r="AM46" i="9"/>
  <c r="BE46" i="9"/>
  <c r="BN46" i="9"/>
  <c r="K29" i="8"/>
  <c r="G33" i="8"/>
  <c r="H33" i="8" s="1"/>
  <c r="O45" i="9"/>
  <c r="AM45" i="9"/>
  <c r="K22" i="8"/>
  <c r="M23" i="8"/>
  <c r="C27" i="9"/>
  <c r="E26" i="8"/>
  <c r="K27" i="8"/>
  <c r="M28" i="8"/>
  <c r="X46" i="9"/>
  <c r="AV46" i="9"/>
  <c r="C32" i="9"/>
  <c r="E31" i="8"/>
  <c r="K31" i="8"/>
  <c r="C36" i="9"/>
  <c r="E35" i="8"/>
  <c r="I45" i="9"/>
  <c r="AG45" i="9"/>
  <c r="G21" i="8"/>
  <c r="H21" i="8" s="1"/>
  <c r="BE45" i="9"/>
  <c r="K24" i="8"/>
  <c r="M25" i="8"/>
  <c r="R46" i="9"/>
  <c r="AP46" i="9"/>
  <c r="BH46" i="9"/>
  <c r="G32" i="8"/>
  <c r="H32" i="8" s="1"/>
  <c r="M33" i="8"/>
  <c r="C37" i="9"/>
  <c r="E36" i="8"/>
  <c r="R45" i="9"/>
  <c r="AP45" i="9"/>
  <c r="BN45" i="9"/>
  <c r="K21" i="8"/>
  <c r="M22" i="8"/>
  <c r="C26" i="9"/>
  <c r="E25" i="8"/>
  <c r="G26" i="8"/>
  <c r="H26" i="8" s="1"/>
  <c r="M27" i="8"/>
  <c r="AA46" i="9"/>
  <c r="AY46" i="9"/>
  <c r="AA45" i="9"/>
  <c r="AY45" i="9"/>
  <c r="E22" i="8"/>
  <c r="C23" i="9"/>
  <c r="G23" i="8"/>
  <c r="H23" i="8" s="1"/>
  <c r="K26" i="8"/>
  <c r="G28" i="8"/>
  <c r="H28" i="8" s="1"/>
  <c r="L46" i="9"/>
  <c r="AJ46" i="9"/>
  <c r="K36" i="8"/>
  <c r="G20" i="8"/>
  <c r="H20" i="8" s="1"/>
  <c r="L45" i="9"/>
  <c r="AJ45" i="9"/>
  <c r="BH45" i="9"/>
  <c r="K23" i="8"/>
  <c r="M24" i="8"/>
  <c r="C28" i="9"/>
  <c r="E27" i="8"/>
  <c r="K28" i="8"/>
  <c r="U46" i="9"/>
  <c r="AS46" i="9"/>
  <c r="C33" i="9"/>
  <c r="E32" i="8"/>
  <c r="K32" i="8"/>
  <c r="G37" i="8"/>
  <c r="H37" i="8" s="1"/>
  <c r="M30" i="8"/>
  <c r="C34" i="9"/>
  <c r="E33" i="8"/>
  <c r="G34" i="8"/>
  <c r="H34" i="8" s="1"/>
  <c r="K37" i="8"/>
  <c r="M38" i="8"/>
  <c r="C31" i="9"/>
  <c r="E30" i="8"/>
  <c r="G31" i="8"/>
  <c r="H31" i="8" s="1"/>
  <c r="K34" i="8"/>
  <c r="M35" i="8"/>
  <c r="C39" i="9"/>
  <c r="E38" i="8"/>
  <c r="BB46" i="9"/>
  <c r="G30" i="8"/>
  <c r="H30" i="8" s="1"/>
  <c r="K33" i="8"/>
  <c r="M34" i="8"/>
  <c r="C38" i="9"/>
  <c r="E37" i="8"/>
  <c r="G38" i="8"/>
  <c r="H38" i="8" s="1"/>
  <c r="K30" i="8"/>
  <c r="M31" i="8"/>
  <c r="C35" i="9"/>
  <c r="E34" i="8"/>
  <c r="G35" i="8"/>
  <c r="H35" i="8" s="1"/>
  <c r="K38" i="8"/>
  <c r="K35" i="8"/>
  <c r="M36" i="8"/>
  <c r="J32" i="2"/>
  <c r="D29" i="5"/>
  <c r="I7" i="2"/>
  <c r="J35" i="2" s="1"/>
  <c r="I8" i="2"/>
  <c r="C8" i="2" s="1"/>
  <c r="D29" i="10"/>
  <c r="I7" i="8"/>
  <c r="J21" i="8" s="1"/>
  <c r="J38" i="8"/>
  <c r="J35" i="8"/>
  <c r="J32" i="8" l="1"/>
  <c r="J22" i="2"/>
  <c r="E27" i="3"/>
  <c r="J10" i="2"/>
  <c r="J24" i="2"/>
  <c r="E21" i="3"/>
  <c r="E32" i="3"/>
  <c r="E36" i="3"/>
  <c r="J26" i="2"/>
  <c r="G28" i="5"/>
  <c r="E35" i="3"/>
  <c r="E19" i="3"/>
  <c r="D27" i="9"/>
  <c r="E27" i="9" s="1"/>
  <c r="D30" i="9"/>
  <c r="E30" i="9" s="1"/>
  <c r="D34" i="9"/>
  <c r="D23" i="9"/>
  <c r="H7" i="10"/>
  <c r="H7" i="2"/>
  <c r="D10" i="9"/>
  <c r="E10" i="9" s="1"/>
  <c r="D39" i="9"/>
  <c r="E39" i="9" s="1"/>
  <c r="D16" i="9"/>
  <c r="D12" i="9"/>
  <c r="E12" i="9" s="1"/>
  <c r="D17" i="9"/>
  <c r="D21" i="9"/>
  <c r="E21" i="9" s="1"/>
  <c r="D33" i="9"/>
  <c r="E33" i="9" s="1"/>
  <c r="D32" i="9"/>
  <c r="E32" i="9" s="1"/>
  <c r="D20" i="9"/>
  <c r="E20" i="9" s="1"/>
  <c r="D24" i="9"/>
  <c r="E24" i="9" s="1"/>
  <c r="D15" i="9"/>
  <c r="D22" i="9"/>
  <c r="D36" i="9"/>
  <c r="D25" i="9"/>
  <c r="D14" i="9"/>
  <c r="G25" i="10"/>
  <c r="H15" i="10"/>
  <c r="D18" i="9"/>
  <c r="D28" i="9"/>
  <c r="H28" i="9" s="1"/>
  <c r="D26" i="9"/>
  <c r="E26" i="9" s="1"/>
  <c r="D37" i="9"/>
  <c r="E37" i="9" s="1"/>
  <c r="D13" i="9"/>
  <c r="D19" i="9"/>
  <c r="E19" i="9" s="1"/>
  <c r="H25" i="10"/>
  <c r="G15" i="10"/>
  <c r="D35" i="9"/>
  <c r="D38" i="9"/>
  <c r="E38" i="9" s="1"/>
  <c r="D31" i="9"/>
  <c r="D29" i="9"/>
  <c r="E29" i="9" s="1"/>
  <c r="D9" i="9"/>
  <c r="E9" i="9" s="1"/>
  <c r="D11" i="9"/>
  <c r="E11" i="9" s="1"/>
  <c r="C43" i="2"/>
  <c r="H43" i="2" s="1"/>
  <c r="C36" i="8"/>
  <c r="C44" i="9"/>
  <c r="E13" i="9"/>
  <c r="C12" i="8"/>
  <c r="E16" i="9"/>
  <c r="C15" i="8"/>
  <c r="C9" i="8"/>
  <c r="E37" i="3"/>
  <c r="F18" i="2"/>
  <c r="F32" i="2"/>
  <c r="N16" i="2"/>
  <c r="H36" i="2"/>
  <c r="F30" i="2"/>
  <c r="J28" i="8"/>
  <c r="J12" i="8"/>
  <c r="J37" i="8"/>
  <c r="J11" i="8"/>
  <c r="J7" i="8"/>
  <c r="J18" i="8"/>
  <c r="J16" i="8"/>
  <c r="J15" i="8"/>
  <c r="J14" i="8"/>
  <c r="J8" i="8"/>
  <c r="J24" i="8"/>
  <c r="J26" i="8"/>
  <c r="J23" i="8"/>
  <c r="J22" i="8"/>
  <c r="J27" i="8"/>
  <c r="J20" i="8"/>
  <c r="J19" i="8"/>
  <c r="J36" i="8"/>
  <c r="J29" i="8"/>
  <c r="J30" i="2"/>
  <c r="J18" i="2"/>
  <c r="C20" i="8"/>
  <c r="E24" i="3"/>
  <c r="E38" i="3"/>
  <c r="E12" i="3"/>
  <c r="H30" i="2"/>
  <c r="F7" i="2"/>
  <c r="C7" i="2"/>
  <c r="D7" i="2" s="1"/>
  <c r="N11" i="2"/>
  <c r="D19" i="2"/>
  <c r="F23" i="10"/>
  <c r="C47" i="3"/>
  <c r="E30" i="3"/>
  <c r="D9" i="2"/>
  <c r="D31" i="2"/>
  <c r="D37" i="2"/>
  <c r="F16" i="2"/>
  <c r="F8" i="2"/>
  <c r="N35" i="2"/>
  <c r="F11" i="2"/>
  <c r="H28" i="2"/>
  <c r="H33" i="2"/>
  <c r="J34" i="8"/>
  <c r="J33" i="8"/>
  <c r="J8" i="2"/>
  <c r="J38" i="2"/>
  <c r="J33" i="2"/>
  <c r="J34" i="2"/>
  <c r="C32" i="8"/>
  <c r="C27" i="8"/>
  <c r="D27" i="8" s="1"/>
  <c r="F22" i="10"/>
  <c r="K7" i="8"/>
  <c r="L7" i="8" s="1"/>
  <c r="D30" i="10"/>
  <c r="E30" i="10" s="1"/>
  <c r="E8" i="9"/>
  <c r="H30" i="10" s="1"/>
  <c r="C7" i="8"/>
  <c r="D7" i="8" s="1"/>
  <c r="E23" i="3"/>
  <c r="E31" i="3"/>
  <c r="C44" i="3"/>
  <c r="E9" i="3"/>
  <c r="N24" i="2"/>
  <c r="H14" i="2"/>
  <c r="N27" i="2"/>
  <c r="H17" i="2"/>
  <c r="F27" i="2"/>
  <c r="F22" i="2"/>
  <c r="J23" i="2"/>
  <c r="C38" i="8"/>
  <c r="D38" i="8" s="1"/>
  <c r="L22" i="8"/>
  <c r="E14" i="9"/>
  <c r="C13" i="8"/>
  <c r="D13" i="8" s="1"/>
  <c r="C11" i="8"/>
  <c r="C43" i="9"/>
  <c r="C8" i="8"/>
  <c r="E10" i="10"/>
  <c r="D28" i="10"/>
  <c r="F13" i="10" s="1"/>
  <c r="E20" i="3"/>
  <c r="A28" i="5"/>
  <c r="D30" i="5"/>
  <c r="E30" i="5" s="1"/>
  <c r="E8" i="3"/>
  <c r="H30" i="5" s="1"/>
  <c r="C46" i="2"/>
  <c r="L46" i="2" s="1"/>
  <c r="D29" i="2"/>
  <c r="D13" i="2"/>
  <c r="H9" i="2"/>
  <c r="F35" i="2"/>
  <c r="D27" i="2"/>
  <c r="E34" i="9"/>
  <c r="C33" i="8"/>
  <c r="D33" i="8" s="1"/>
  <c r="E17" i="9"/>
  <c r="C16" i="8"/>
  <c r="D16" i="8" s="1"/>
  <c r="J9" i="8"/>
  <c r="J27" i="2"/>
  <c r="J25" i="8"/>
  <c r="J17" i="2"/>
  <c r="J9" i="2"/>
  <c r="L35" i="8"/>
  <c r="L23" i="8"/>
  <c r="C25" i="8"/>
  <c r="D25" i="8" s="1"/>
  <c r="C31" i="8"/>
  <c r="D31" i="8" s="1"/>
  <c r="C18" i="8"/>
  <c r="D18" i="8" s="1"/>
  <c r="L17" i="8"/>
  <c r="E15" i="9"/>
  <c r="C14" i="8"/>
  <c r="D14" i="8" s="1"/>
  <c r="C45" i="9"/>
  <c r="E22" i="9"/>
  <c r="C21" i="8"/>
  <c r="F9" i="10"/>
  <c r="M7" i="8"/>
  <c r="N7" i="8" s="1"/>
  <c r="C10" i="8"/>
  <c r="D10" i="8" s="1"/>
  <c r="F8" i="10"/>
  <c r="E16" i="3"/>
  <c r="D17" i="2"/>
  <c r="E14" i="3"/>
  <c r="D36" i="2"/>
  <c r="D28" i="5"/>
  <c r="F24" i="5" s="1"/>
  <c r="E7" i="5"/>
  <c r="E22" i="3"/>
  <c r="C46" i="3"/>
  <c r="N8" i="2"/>
  <c r="N30" i="2"/>
  <c r="D35" i="2"/>
  <c r="F38" i="2"/>
  <c r="N19" i="2"/>
  <c r="N22" i="2"/>
  <c r="F14" i="2"/>
  <c r="C26" i="8"/>
  <c r="D26" i="8" s="1"/>
  <c r="C46" i="9"/>
  <c r="C29" i="8"/>
  <c r="D29" i="8" s="1"/>
  <c r="C23" i="8"/>
  <c r="D23" i="8" s="1"/>
  <c r="J31" i="8"/>
  <c r="J31" i="2"/>
  <c r="J30" i="8"/>
  <c r="J25" i="2"/>
  <c r="J17" i="8"/>
  <c r="J15" i="2"/>
  <c r="J19" i="2"/>
  <c r="L38" i="8"/>
  <c r="E35" i="9"/>
  <c r="C34" i="8"/>
  <c r="D34" i="8" s="1"/>
  <c r="C37" i="8"/>
  <c r="D37" i="8" s="1"/>
  <c r="E31" i="9"/>
  <c r="C30" i="8"/>
  <c r="D30" i="8" s="1"/>
  <c r="E23" i="9"/>
  <c r="C22" i="8"/>
  <c r="D22" i="8" s="1"/>
  <c r="E36" i="9"/>
  <c r="C35" i="8"/>
  <c r="D35" i="8" s="1"/>
  <c r="C28" i="8"/>
  <c r="D28" i="8" s="1"/>
  <c r="C19" i="8"/>
  <c r="D19" i="8" s="1"/>
  <c r="L13" i="8"/>
  <c r="E7" i="8"/>
  <c r="F7" i="8" s="1"/>
  <c r="F14" i="10"/>
  <c r="G28" i="10"/>
  <c r="C45" i="3"/>
  <c r="E13" i="3"/>
  <c r="C44" i="2"/>
  <c r="N44" i="2" s="1"/>
  <c r="E23" i="5"/>
  <c r="E20" i="5"/>
  <c r="H20" i="2"/>
  <c r="N14" i="2"/>
  <c r="D14" i="2"/>
  <c r="J13" i="8"/>
  <c r="J10" i="8"/>
  <c r="J36" i="2"/>
  <c r="J28" i="2"/>
  <c r="J20" i="2"/>
  <c r="J12" i="2"/>
  <c r="J7" i="2"/>
  <c r="J14" i="2"/>
  <c r="J21" i="2"/>
  <c r="J13" i="2"/>
  <c r="J29" i="2"/>
  <c r="J37" i="2"/>
  <c r="J11" i="2"/>
  <c r="J16" i="2"/>
  <c r="L11" i="8"/>
  <c r="E25" i="9"/>
  <c r="C24" i="8"/>
  <c r="D24" i="8" s="1"/>
  <c r="F25" i="10"/>
  <c r="F11" i="10"/>
  <c r="F24" i="10"/>
  <c r="E24" i="10"/>
  <c r="N14" i="8"/>
  <c r="F15" i="10"/>
  <c r="E18" i="9"/>
  <c r="C17" i="8"/>
  <c r="D17" i="8" s="1"/>
  <c r="F20" i="10"/>
  <c r="F12" i="10"/>
  <c r="E12" i="10"/>
  <c r="E29" i="3"/>
  <c r="E28" i="3"/>
  <c r="D15" i="2"/>
  <c r="C45" i="2"/>
  <c r="E15" i="3"/>
  <c r="N43" i="2"/>
  <c r="N38" i="2"/>
  <c r="H25" i="2"/>
  <c r="E9" i="10" l="1"/>
  <c r="E19" i="10"/>
  <c r="E20" i="10"/>
  <c r="N32" i="8"/>
  <c r="N21" i="8"/>
  <c r="F35" i="8"/>
  <c r="F29" i="8"/>
  <c r="N13" i="8"/>
  <c r="E17" i="5"/>
  <c r="F33" i="8"/>
  <c r="E8" i="10"/>
  <c r="L25" i="8"/>
  <c r="L12" i="8"/>
  <c r="N37" i="8"/>
  <c r="L29" i="8"/>
  <c r="E15" i="10"/>
  <c r="F10" i="8"/>
  <c r="E7" i="10"/>
  <c r="E28" i="9"/>
  <c r="E17" i="10"/>
  <c r="L21" i="8"/>
  <c r="E11" i="10"/>
  <c r="L10" i="8"/>
  <c r="E25" i="10"/>
  <c r="N16" i="8"/>
  <c r="E8" i="5"/>
  <c r="E14" i="10"/>
  <c r="N25" i="8"/>
  <c r="F7" i="10"/>
  <c r="D11" i="8"/>
  <c r="F18" i="10"/>
  <c r="D32" i="8"/>
  <c r="D21" i="8"/>
  <c r="D8" i="8"/>
  <c r="E22" i="5"/>
  <c r="H46" i="2"/>
  <c r="L43" i="2"/>
  <c r="N46" i="2"/>
  <c r="E25" i="5"/>
  <c r="F43" i="2"/>
  <c r="F16" i="5"/>
  <c r="F46" i="2"/>
  <c r="F12" i="5"/>
  <c r="F17" i="5"/>
  <c r="F8" i="5"/>
  <c r="D12" i="2"/>
  <c r="F7" i="5"/>
  <c r="E13" i="5"/>
  <c r="D22" i="2"/>
  <c r="D28" i="2"/>
  <c r="D30" i="2"/>
  <c r="F13" i="5"/>
  <c r="D32" i="2"/>
  <c r="D20" i="2"/>
  <c r="F22" i="5"/>
  <c r="F25" i="5"/>
  <c r="F44" i="2"/>
  <c r="E24" i="5"/>
  <c r="D11" i="2"/>
  <c r="E11" i="5"/>
  <c r="F19" i="5"/>
  <c r="D18" i="2"/>
  <c r="D38" i="2"/>
  <c r="F20" i="5"/>
  <c r="D10" i="2"/>
  <c r="F18" i="5"/>
  <c r="D33" i="2"/>
  <c r="D21" i="2"/>
  <c r="E16" i="5"/>
  <c r="F23" i="5"/>
  <c r="D34" i="2"/>
  <c r="D24" i="2"/>
  <c r="D26" i="2"/>
  <c r="D16" i="2"/>
  <c r="J45" i="2"/>
  <c r="D45" i="2"/>
  <c r="F15" i="8"/>
  <c r="N36" i="8"/>
  <c r="L33" i="8"/>
  <c r="F10" i="10"/>
  <c r="L27" i="8"/>
  <c r="F34" i="8"/>
  <c r="E22" i="10"/>
  <c r="N12" i="8"/>
  <c r="E18" i="10"/>
  <c r="E19" i="5"/>
  <c r="E12" i="5"/>
  <c r="F16" i="8"/>
  <c r="N33" i="8"/>
  <c r="D12" i="8"/>
  <c r="L26" i="8"/>
  <c r="N9" i="8"/>
  <c r="N38" i="8"/>
  <c r="F26" i="8"/>
  <c r="J44" i="2"/>
  <c r="D44" i="2"/>
  <c r="L34" i="8"/>
  <c r="E18" i="5"/>
  <c r="F12" i="8"/>
  <c r="N35" i="8"/>
  <c r="F19" i="10"/>
  <c r="F25" i="8"/>
  <c r="F32" i="8"/>
  <c r="F14" i="8"/>
  <c r="N23" i="8"/>
  <c r="N30" i="8"/>
  <c r="F17" i="10"/>
  <c r="F11" i="5"/>
  <c r="F26" i="5"/>
  <c r="E27" i="10"/>
  <c r="E16" i="10"/>
  <c r="F45" i="2"/>
  <c r="E21" i="10"/>
  <c r="F11" i="8"/>
  <c r="F27" i="8"/>
  <c r="E29" i="5"/>
  <c r="L31" i="8"/>
  <c r="D23" i="2"/>
  <c r="N11" i="8"/>
  <c r="D8" i="2"/>
  <c r="N45" i="2"/>
  <c r="F22" i="8"/>
  <c r="N8" i="8"/>
  <c r="L16" i="8"/>
  <c r="F37" i="8"/>
  <c r="L45" i="2"/>
  <c r="D46" i="2"/>
  <c r="J46" i="2"/>
  <c r="F17" i="8"/>
  <c r="N18" i="8"/>
  <c r="L36" i="8"/>
  <c r="N19" i="8"/>
  <c r="N28" i="8"/>
  <c r="N26" i="8"/>
  <c r="E26" i="5"/>
  <c r="F27" i="10"/>
  <c r="F16" i="10"/>
  <c r="F15" i="5"/>
  <c r="F21" i="10"/>
  <c r="N10" i="8"/>
  <c r="L32" i="8"/>
  <c r="E29" i="10"/>
  <c r="H44" i="2"/>
  <c r="F10" i="5"/>
  <c r="L15" i="8"/>
  <c r="F20" i="8"/>
  <c r="J43" i="2"/>
  <c r="D43" i="2"/>
  <c r="F8" i="8"/>
  <c r="F18" i="8"/>
  <c r="N24" i="8"/>
  <c r="F23" i="8"/>
  <c r="F31" i="8"/>
  <c r="E13" i="10"/>
  <c r="E15" i="5"/>
  <c r="F9" i="8"/>
  <c r="L14" i="8"/>
  <c r="L37" i="8"/>
  <c r="E10" i="5"/>
  <c r="N15" i="8"/>
  <c r="D36" i="8"/>
  <c r="F21" i="8"/>
  <c r="F24" i="8"/>
  <c r="F30" i="8"/>
  <c r="L44" i="2"/>
  <c r="F19" i="8"/>
  <c r="L24" i="8"/>
  <c r="E9" i="5"/>
  <c r="L9" i="8"/>
  <c r="L19" i="8"/>
  <c r="F38" i="8"/>
  <c r="D25" i="2"/>
  <c r="D15" i="8"/>
  <c r="F28" i="5"/>
  <c r="E28" i="5"/>
  <c r="H28" i="5"/>
  <c r="N29" i="8"/>
  <c r="F28" i="8"/>
  <c r="F36" i="8"/>
  <c r="H28" i="10"/>
  <c r="F28" i="10"/>
  <c r="E28" i="10"/>
  <c r="L18" i="8"/>
  <c r="N17" i="8"/>
  <c r="L8" i="8"/>
  <c r="F13" i="8"/>
  <c r="E27" i="5"/>
  <c r="E21" i="5"/>
  <c r="E23" i="10"/>
  <c r="E14" i="5"/>
  <c r="F9" i="5"/>
  <c r="E26" i="10"/>
  <c r="D20" i="8"/>
  <c r="N34" i="8"/>
  <c r="L28" i="8"/>
  <c r="N22" i="8"/>
  <c r="H45" i="2"/>
  <c r="L20" i="8"/>
  <c r="F27" i="5"/>
  <c r="F21" i="5"/>
  <c r="F14" i="5"/>
  <c r="F26" i="10"/>
  <c r="L30" i="8"/>
  <c r="N31" i="8"/>
  <c r="D9" i="8"/>
  <c r="N20" i="8"/>
  <c r="N2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odcFile="https://turismodetenerife.sharepoint.com/sites/INVESTIGACION/Documentos compartidos/General/PENTAHO/conexiones/sagitario Investigacion Plazas_turisticas.odc" keepAlive="1" name="Investigacion Plazas_turisticas" type="5" refreshedVersion="8" onlyUseConnectionFile="1" background="1" saveData="1">
    <dbPr connection="Provider=SQLOLEDB.1;Integrated Security=SSPI;Persist Security Info=True;Initial Catalog=Investigacion;Data Source=sagitario\tdt;Use Procedure for Prepare=1;Auto Translate=True;Packet Size=4096;Workstation ID=MANUELA7;Use Encryption for Data=False;Tag with column collation when possible=False" command="&quot;Investigacion&quot;.&quot;dbo&quot;.&quot;Plazas_turisticas&quot;" commandType="3"/>
  </connection>
</connections>
</file>

<file path=xl/sharedStrings.xml><?xml version="1.0" encoding="utf-8"?>
<sst xmlns="http://schemas.openxmlformats.org/spreadsheetml/2006/main" count="1330" uniqueCount="108">
  <si>
    <t xml:space="preserve">TURISMO EN CIFRAS </t>
  </si>
  <si>
    <t>Plazas turísticas</t>
  </si>
  <si>
    <t>Plazas y número de establecimientos autorizados</t>
  </si>
  <si>
    <t>Alojativos</t>
  </si>
  <si>
    <t>Periodo actual</t>
  </si>
  <si>
    <t>Plazas turísticas autorizadas según tipología del establecimiento: distribución por municipios periodo actual</t>
  </si>
  <si>
    <t>Plazas turísticas autorizadas según municipio tipología y categoría del establecimiento: variación y diferencia respecto al cierre del año anterior</t>
  </si>
  <si>
    <t>Plazas turísticas autorizadas según tipología y categoría del establecimiento periodo actual</t>
  </si>
  <si>
    <t>Establecimientos turísticos autorizados según tipología del establecimiento periodo actual: distribución por municipios</t>
  </si>
  <si>
    <t>Establecimientos turísticos autorizadas según municipio tipología y categoría del establecimiento: variación y diferencia respecto al cierre del año anterior</t>
  </si>
  <si>
    <t>Establecimientos turísticos autorizados según tipología y categoría del establecimiento: distribución por categoría periodo actual</t>
  </si>
  <si>
    <t>Series históricas</t>
  </si>
  <si>
    <t>Evolución anual de plazas turísticas autorizadas según tipología del establecimiento</t>
  </si>
  <si>
    <t>Hoteles</t>
  </si>
  <si>
    <t>Apartamentos</t>
  </si>
  <si>
    <t>Hoteles rurales</t>
  </si>
  <si>
    <t>MUNICIPIO</t>
  </si>
  <si>
    <t>Total</t>
  </si>
  <si>
    <t>Vivienda vacacional</t>
  </si>
  <si>
    <t>Hoteles Rurales</t>
  </si>
  <si>
    <t>Casas Rurales</t>
  </si>
  <si>
    <t>Plazas</t>
  </si>
  <si>
    <t>cuota s/total insular</t>
  </si>
  <si>
    <t>Total Isla</t>
  </si>
  <si>
    <t>Adeje</t>
  </si>
  <si>
    <t>Arafo</t>
  </si>
  <si>
    <t>Arico</t>
  </si>
  <si>
    <t>Arona</t>
  </si>
  <si>
    <t>Buenavista del Norte</t>
  </si>
  <si>
    <t xml:space="preserve">Candelaria 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</si>
  <si>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</si>
  <si>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</si>
  <si>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</si>
  <si>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</si>
  <si>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</si>
  <si>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</si>
  <si>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</si>
  <si>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</si>
  <si>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</si>
  <si>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</si>
  <si>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</si>
  <si>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</si>
  <si>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</si>
  <si>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</si>
  <si>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</si>
  <si>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</si>
  <si>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Ursula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</si>
  <si>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</si>
  <si>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</si>
  <si>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</si>
  <si>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</si>
  <si>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</si>
  <si>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</si>
  <si>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</si>
  <si>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</t>
  </si>
  <si>
    <t xml:space="preserve">(*) Plazas Autorizadas conforme a Policía Turística.
FUENTE: Policía Turística. Cabildo Insular de Tenerife. ELABORACIÓN: Turismo de Tenerife </t>
  </si>
  <si>
    <t>Sur</t>
  </si>
  <si>
    <t>Norte</t>
  </si>
  <si>
    <t>Zona 2</t>
  </si>
  <si>
    <t>Santa Cruz</t>
  </si>
  <si>
    <t>HOTELES</t>
  </si>
  <si>
    <t>APARTAMENTOS</t>
  </si>
  <si>
    <t>Total hoteles</t>
  </si>
  <si>
    <t>1*</t>
  </si>
  <si>
    <t>2*</t>
  </si>
  <si>
    <t>3*</t>
  </si>
  <si>
    <t>4*</t>
  </si>
  <si>
    <t>5*</t>
  </si>
  <si>
    <t>5* lujo</t>
  </si>
  <si>
    <t>5* gran lujo</t>
  </si>
  <si>
    <t>Hotel emblemático</t>
  </si>
  <si>
    <t>Total apartamentos</t>
  </si>
  <si>
    <t>1LL</t>
  </si>
  <si>
    <t>2LL</t>
  </si>
  <si>
    <t>3LL</t>
  </si>
  <si>
    <t>5LL</t>
  </si>
  <si>
    <t>Casa emblemática</t>
  </si>
  <si>
    <t>categoría única/ sin dato</t>
  </si>
  <si>
    <t>dif. respecto cierre año anterior</t>
  </si>
  <si>
    <t>var respecto cierre año anterior</t>
  </si>
  <si>
    <t>establecimientos</t>
  </si>
  <si>
    <t>fuente: Estadísticas Establecimientos inscritos en el Registro General de Turismo de Canarias. Datos abieros Gobierno de Canarias</t>
  </si>
  <si>
    <t>datos tomados de INE Estadística experimental. Medición del número de viviendas turísticas en España y su capacidad</t>
  </si>
  <si>
    <t>Elegir un municipio</t>
  </si>
  <si>
    <t>cuota s/total insular sin Vivienda vacacional</t>
  </si>
  <si>
    <t>diferencia respecto al año anterior</t>
  </si>
  <si>
    <t>var respecto al año anterior</t>
  </si>
  <si>
    <t>Casas rurales</t>
  </si>
  <si>
    <t>Total plazas sin vivienda vacacional</t>
  </si>
  <si>
    <t>Vivienda vacacional (2)</t>
  </si>
  <si>
    <t xml:space="preserve">(1) Plazas inscritas en Policía Turística.
(2) Datos abiertos Gobierno de Canarias
FUENTE: Policía Turística. Cabildo Insular de Tenerife. Datos abiertos Gobierno de Canarias para el dato Vivienda Vacacional.
 ELABORACIÓN: Turismo de Tenerife </t>
  </si>
  <si>
    <t>Establecimientos</t>
  </si>
  <si>
    <t>Guia de Isora</t>
  </si>
  <si>
    <t>Güimar</t>
  </si>
  <si>
    <t>Tanque</t>
  </si>
  <si>
    <t>Zona Sur</t>
  </si>
  <si>
    <t>zona Norte</t>
  </si>
  <si>
    <t>Zona 1</t>
  </si>
  <si>
    <t>Total establecimientos sin vivienda vacacional</t>
  </si>
  <si>
    <t>TENERIFE</t>
  </si>
  <si>
    <t>Plazas turísticas registradas en Tenerife por tipología 
acumulado diciembre 2025</t>
  </si>
  <si>
    <t>Plazas turísticas autorizadas* según tipología del establecimiento
Distribución por Municipios
 diciembre 2025</t>
  </si>
  <si>
    <t>Plazas turísticas autorizadas* según tipología y categoría del establecimiento
Distribución por Municipios
 diciembre 2025</t>
  </si>
  <si>
    <t>-</t>
  </si>
  <si>
    <t>diciembre 2025</t>
  </si>
  <si>
    <t>Establecimientos turísticos autorizados* según tipología del establecimiento
Distribución por Municipios
 diciembre 2025</t>
  </si>
  <si>
    <t>Establecimientos turísticos autorizadas* según tipología y categoría del establecimiento
Distribución por Municipios
 diciembre 2025</t>
  </si>
  <si>
    <t>Plazas turísticas autorizadas* en Tenerife según tipología del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</si>
</sst>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 tint="0.34998626667073579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9"/>
      <name val="Calibri"/>
      <family val="2"/>
      <scheme val="minor"/>
    </font>
    <font>
      <sz val="12"/>
      <color theme="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20"/>
      <color theme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9"/>
      </bottom>
      <diagonal/>
    </border>
    <border>
      <left style="thin">
        <color theme="0" tint="-0.14996795556505021"/>
      </left>
      <right/>
      <top/>
      <bottom style="thin">
        <color theme="9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" fontId="13" fillId="0" borderId="0">
      <alignment vertical="center"/>
    </xf>
    <xf numFmtId="0" fontId="15" fillId="0" borderId="0"/>
    <xf numFmtId="9" fontId="13" fillId="0" borderId="0" applyFont="0" applyFill="0" applyBorder="0" applyProtection="0">
      <alignment vertical="center"/>
    </xf>
    <xf numFmtId="1" fontId="13" fillId="0" borderId="0">
      <alignment vertical="center"/>
    </xf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2" xfId="0" applyFont="1" applyBorder="1"/>
    <xf numFmtId="0" fontId="9" fillId="2" borderId="0" xfId="2" applyFont="1" applyFill="1" applyAlignment="1">
      <alignment horizontal="left" indent="3"/>
    </xf>
    <xf numFmtId="0" fontId="10" fillId="0" borderId="0" xfId="2" applyFont="1" applyAlignment="1">
      <alignment horizontal="left" indent="1"/>
    </xf>
    <xf numFmtId="0" fontId="11" fillId="0" borderId="0" xfId="2" applyFont="1" applyAlignment="1">
      <alignment horizontal="left" indent="3"/>
    </xf>
    <xf numFmtId="0" fontId="8" fillId="0" borderId="0" xfId="2"/>
    <xf numFmtId="3" fontId="2" fillId="0" borderId="0" xfId="0" applyNumberFormat="1" applyFont="1"/>
    <xf numFmtId="1" fontId="9" fillId="0" borderId="0" xfId="3" applyFont="1" applyAlignment="1" applyProtection="1">
      <alignment horizontal="center" vertical="center" wrapText="1"/>
      <protection hidden="1"/>
    </xf>
    <xf numFmtId="1" fontId="14" fillId="2" borderId="0" xfId="3" applyFont="1" applyFill="1" applyAlignment="1" applyProtection="1">
      <alignment horizontal="center" vertical="center"/>
      <protection hidden="1"/>
    </xf>
    <xf numFmtId="17" fontId="14" fillId="2" borderId="6" xfId="3" applyNumberFormat="1" applyFont="1" applyFill="1" applyBorder="1" applyAlignment="1" applyProtection="1">
      <alignment horizontal="center" vertical="center" wrapText="1"/>
      <protection hidden="1"/>
    </xf>
    <xf numFmtId="1" fontId="14" fillId="2" borderId="7" xfId="3" applyFont="1" applyFill="1" applyBorder="1" applyAlignment="1" applyProtection="1">
      <alignment horizontal="center" vertical="center" wrapText="1"/>
      <protection hidden="1"/>
    </xf>
    <xf numFmtId="0" fontId="16" fillId="0" borderId="0" xfId="4" applyFont="1" applyAlignment="1" applyProtection="1">
      <alignment vertical="center"/>
      <protection hidden="1"/>
    </xf>
    <xf numFmtId="3" fontId="16" fillId="0" borderId="4" xfId="4" applyNumberFormat="1" applyFont="1" applyBorder="1" applyAlignment="1" applyProtection="1">
      <alignment horizontal="right" vertical="center" wrapText="1"/>
      <protection hidden="1"/>
    </xf>
    <xf numFmtId="164" fontId="16" fillId="0" borderId="5" xfId="5" applyNumberFormat="1" applyFont="1" applyBorder="1" applyProtection="1">
      <alignment vertical="center"/>
      <protection hidden="1"/>
    </xf>
    <xf numFmtId="0" fontId="17" fillId="0" borderId="0" xfId="0" applyFont="1"/>
    <xf numFmtId="0" fontId="14" fillId="0" borderId="0" xfId="4" applyFont="1" applyAlignment="1" applyProtection="1">
      <alignment vertical="center"/>
      <protection hidden="1"/>
    </xf>
    <xf numFmtId="3" fontId="14" fillId="0" borderId="4" xfId="4" applyNumberFormat="1" applyFont="1" applyBorder="1" applyAlignment="1" applyProtection="1">
      <alignment horizontal="right" vertical="center" wrapText="1"/>
      <protection hidden="1"/>
    </xf>
    <xf numFmtId="164" fontId="18" fillId="0" borderId="5" xfId="5" applyNumberFormat="1" applyFont="1" applyBorder="1" applyProtection="1">
      <alignment vertical="center"/>
      <protection hidden="1"/>
    </xf>
    <xf numFmtId="3" fontId="18" fillId="0" borderId="4" xfId="4" applyNumberFormat="1" applyFont="1" applyBorder="1" applyAlignment="1" applyProtection="1">
      <alignment horizontal="right" vertical="center" wrapText="1"/>
      <protection hidden="1"/>
    </xf>
    <xf numFmtId="3" fontId="5" fillId="0" borderId="0" xfId="0" applyNumberFormat="1" applyFont="1"/>
    <xf numFmtId="3" fontId="14" fillId="0" borderId="0" xfId="4" applyNumberFormat="1" applyFont="1" applyAlignment="1" applyProtection="1">
      <alignment horizontal="right" vertical="center" wrapText="1"/>
      <protection hidden="1"/>
    </xf>
    <xf numFmtId="164" fontId="18" fillId="0" borderId="0" xfId="5" applyNumberFormat="1" applyFont="1" applyBorder="1" applyProtection="1">
      <alignment vertical="center"/>
      <protection hidden="1"/>
    </xf>
    <xf numFmtId="3" fontId="18" fillId="0" borderId="0" xfId="4" applyNumberFormat="1" applyFont="1" applyAlignment="1" applyProtection="1">
      <alignment horizontal="right" vertical="center" wrapText="1"/>
      <protection hidden="1"/>
    </xf>
    <xf numFmtId="0" fontId="5" fillId="0" borderId="8" xfId="0" applyFont="1" applyBorder="1"/>
    <xf numFmtId="164" fontId="14" fillId="0" borderId="8" xfId="5" applyNumberFormat="1" applyFont="1" applyBorder="1" applyProtection="1">
      <alignment vertical="center"/>
      <protection hidden="1"/>
    </xf>
    <xf numFmtId="0" fontId="19" fillId="0" borderId="0" xfId="4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12" fillId="0" borderId="0" xfId="0" applyFont="1"/>
    <xf numFmtId="1" fontId="7" fillId="0" borderId="3" xfId="3" applyFont="1" applyBorder="1" applyAlignment="1" applyProtection="1">
      <alignment vertical="center" wrapText="1"/>
      <protection hidden="1"/>
    </xf>
    <xf numFmtId="164" fontId="7" fillId="0" borderId="3" xfId="1" applyNumberFormat="1" applyFont="1" applyBorder="1" applyAlignment="1" applyProtection="1">
      <alignment vertical="center" wrapText="1"/>
      <protection hidden="1"/>
    </xf>
    <xf numFmtId="1" fontId="9" fillId="0" borderId="9" xfId="3" applyFont="1" applyBorder="1" applyAlignment="1" applyProtection="1">
      <alignment horizontal="center" vertical="center" wrapText="1"/>
      <protection hidden="1"/>
    </xf>
    <xf numFmtId="3" fontId="14" fillId="0" borderId="9" xfId="4" applyNumberFormat="1" applyFont="1" applyBorder="1" applyAlignment="1" applyProtection="1">
      <alignment horizontal="right" vertical="center" wrapText="1"/>
      <protection hidden="1"/>
    </xf>
    <xf numFmtId="1" fontId="14" fillId="3" borderId="0" xfId="3" applyFont="1" applyFill="1" applyAlignment="1" applyProtection="1">
      <alignment horizontal="center" vertical="center"/>
      <protection hidden="1"/>
    </xf>
    <xf numFmtId="17" fontId="14" fillId="3" borderId="6" xfId="3" applyNumberFormat="1" applyFont="1" applyFill="1" applyBorder="1" applyAlignment="1" applyProtection="1">
      <alignment horizontal="center" vertical="center" wrapText="1"/>
      <protection hidden="1"/>
    </xf>
    <xf numFmtId="17" fontId="14" fillId="3" borderId="0" xfId="3" applyNumberFormat="1" applyFont="1" applyFill="1" applyAlignment="1" applyProtection="1">
      <alignment horizontal="center" vertical="center" wrapText="1"/>
      <protection hidden="1"/>
    </xf>
    <xf numFmtId="1" fontId="14" fillId="3" borderId="7" xfId="3" applyFont="1" applyFill="1" applyBorder="1" applyAlignment="1" applyProtection="1">
      <alignment horizontal="center" vertical="center" wrapText="1"/>
      <protection hidden="1"/>
    </xf>
    <xf numFmtId="17" fontId="14" fillId="2" borderId="0" xfId="3" applyNumberFormat="1" applyFont="1" applyFill="1" applyAlignment="1" applyProtection="1">
      <alignment horizontal="center" vertical="center" wrapText="1"/>
      <protection hidden="1"/>
    </xf>
    <xf numFmtId="1" fontId="14" fillId="2" borderId="22" xfId="3" applyFont="1" applyFill="1" applyBorder="1" applyAlignment="1" applyProtection="1">
      <alignment horizontal="center" vertical="center" wrapText="1"/>
      <protection hidden="1"/>
    </xf>
    <xf numFmtId="17" fontId="14" fillId="3" borderId="23" xfId="3" applyNumberFormat="1" applyFont="1" applyFill="1" applyBorder="1" applyAlignment="1" applyProtection="1">
      <alignment horizontal="center" vertical="center" wrapText="1"/>
      <protection hidden="1"/>
    </xf>
    <xf numFmtId="17" fontId="14" fillId="3" borderId="24" xfId="3" applyNumberFormat="1" applyFont="1" applyFill="1" applyBorder="1" applyAlignment="1" applyProtection="1">
      <alignment horizontal="center" vertical="center" wrapText="1"/>
      <protection hidden="1"/>
    </xf>
    <xf numFmtId="1" fontId="14" fillId="3" borderId="25" xfId="3" applyFont="1" applyFill="1" applyBorder="1" applyAlignment="1" applyProtection="1">
      <alignment horizontal="center" vertical="center" wrapText="1"/>
      <protection hidden="1"/>
    </xf>
    <xf numFmtId="1" fontId="14" fillId="3" borderId="24" xfId="3" applyFont="1" applyFill="1" applyBorder="1" applyAlignment="1" applyProtection="1">
      <alignment horizontal="center" vertical="center" wrapText="1"/>
      <protection hidden="1"/>
    </xf>
    <xf numFmtId="17" fontId="14" fillId="2" borderId="26" xfId="3" applyNumberFormat="1" applyFont="1" applyFill="1" applyBorder="1" applyAlignment="1" applyProtection="1">
      <alignment horizontal="center" vertical="center" wrapText="1"/>
      <protection hidden="1"/>
    </xf>
    <xf numFmtId="1" fontId="14" fillId="2" borderId="27" xfId="3" applyFont="1" applyFill="1" applyBorder="1" applyAlignment="1" applyProtection="1">
      <alignment horizontal="center" vertical="center" wrapText="1"/>
      <protection hidden="1"/>
    </xf>
    <xf numFmtId="17" fontId="14" fillId="3" borderId="28" xfId="3" applyNumberFormat="1" applyFont="1" applyFill="1" applyBorder="1" applyAlignment="1" applyProtection="1">
      <alignment horizontal="center" vertical="center" wrapText="1"/>
      <protection hidden="1"/>
    </xf>
    <xf numFmtId="3" fontId="17" fillId="0" borderId="0" xfId="0" applyNumberFormat="1" applyFont="1"/>
    <xf numFmtId="164" fontId="16" fillId="0" borderId="5" xfId="5" applyNumberFormat="1" applyFont="1" applyBorder="1" applyAlignment="1" applyProtection="1">
      <alignment horizontal="right" vertical="center"/>
      <protection hidden="1"/>
    </xf>
    <xf numFmtId="3" fontId="16" fillId="0" borderId="0" xfId="4" applyNumberFormat="1" applyFont="1" applyAlignment="1" applyProtection="1">
      <alignment horizontal="right" vertical="center" wrapText="1"/>
      <protection hidden="1"/>
    </xf>
    <xf numFmtId="164" fontId="18" fillId="0" borderId="5" xfId="5" applyNumberFormat="1" applyFont="1" applyBorder="1" applyAlignment="1" applyProtection="1">
      <alignment horizontal="right" vertical="center"/>
      <protection hidden="1"/>
    </xf>
    <xf numFmtId="164" fontId="5" fillId="0" borderId="0" xfId="1" applyNumberFormat="1" applyFont="1"/>
    <xf numFmtId="0" fontId="19" fillId="0" borderId="0" xfId="4" applyFont="1" applyAlignment="1" applyProtection="1">
      <alignment vertical="center" wrapText="1"/>
      <protection hidden="1"/>
    </xf>
    <xf numFmtId="0" fontId="5" fillId="2" borderId="0" xfId="0" applyFont="1" applyFill="1" applyAlignment="1">
      <alignment horizontal="center" vertical="center" wrapText="1"/>
    </xf>
    <xf numFmtId="1" fontId="21" fillId="2" borderId="4" xfId="3" applyFont="1" applyFill="1" applyBorder="1" applyAlignment="1" applyProtection="1">
      <alignment horizontal="center" vertical="center"/>
      <protection hidden="1"/>
    </xf>
    <xf numFmtId="1" fontId="21" fillId="2" borderId="4" xfId="3" applyFont="1" applyFill="1" applyBorder="1" applyAlignment="1" applyProtection="1">
      <alignment horizontal="center" vertical="center" wrapText="1"/>
      <protection hidden="1"/>
    </xf>
    <xf numFmtId="1" fontId="16" fillId="0" borderId="30" xfId="6" applyFont="1" applyBorder="1" applyAlignment="1" applyProtection="1">
      <alignment horizontal="center" vertical="center" wrapText="1"/>
      <protection hidden="1"/>
    </xf>
    <xf numFmtId="3" fontId="17" fillId="0" borderId="31" xfId="4" applyNumberFormat="1" applyFont="1" applyBorder="1" applyAlignment="1" applyProtection="1">
      <alignment horizontal="right" vertical="center" wrapText="1"/>
      <protection hidden="1"/>
    </xf>
    <xf numFmtId="3" fontId="22" fillId="0" borderId="31" xfId="4" applyNumberFormat="1" applyFont="1" applyBorder="1" applyAlignment="1" applyProtection="1">
      <alignment horizontal="right" vertical="center" wrapText="1"/>
      <protection hidden="1"/>
    </xf>
    <xf numFmtId="0" fontId="24" fillId="0" borderId="5" xfId="6" applyNumberFormat="1" applyFont="1" applyBorder="1" applyAlignment="1" applyProtection="1">
      <alignment horizontal="right" vertical="center" wrapText="1"/>
      <protection hidden="1"/>
    </xf>
    <xf numFmtId="3" fontId="24" fillId="0" borderId="4" xfId="4" applyNumberFormat="1" applyFont="1" applyBorder="1" applyAlignment="1" applyProtection="1">
      <alignment horizontal="right" vertical="center" wrapText="1"/>
      <protection hidden="1"/>
    </xf>
    <xf numFmtId="3" fontId="23" fillId="0" borderId="4" xfId="4" applyNumberFormat="1" applyFont="1" applyBorder="1" applyAlignment="1" applyProtection="1">
      <alignment horizontal="right" vertical="center" wrapText="1"/>
      <protection hidden="1"/>
    </xf>
    <xf numFmtId="3" fontId="12" fillId="0" borderId="4" xfId="4" applyNumberFormat="1" applyFont="1" applyBorder="1" applyAlignment="1" applyProtection="1">
      <alignment horizontal="right" vertical="center" wrapText="1"/>
      <protection hidden="1"/>
    </xf>
    <xf numFmtId="9" fontId="17" fillId="0" borderId="0" xfId="1" applyFont="1"/>
    <xf numFmtId="0" fontId="5" fillId="0" borderId="5" xfId="6" applyNumberFormat="1" applyFont="1" applyBorder="1" applyAlignment="1" applyProtection="1">
      <alignment horizontal="right" vertical="center" wrapText="1"/>
      <protection hidden="1"/>
    </xf>
    <xf numFmtId="3" fontId="5" fillId="0" borderId="4" xfId="4" applyNumberFormat="1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1" fontId="7" fillId="0" borderId="0" xfId="3" applyFont="1" applyAlignment="1" applyProtection="1">
      <alignment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1" fontId="28" fillId="0" borderId="0" xfId="3" applyFont="1" applyAlignment="1" applyProtection="1">
      <alignment horizontal="center" vertical="center" wrapText="1"/>
      <protection hidden="1"/>
    </xf>
    <xf numFmtId="1" fontId="14" fillId="2" borderId="0" xfId="3" applyFont="1" applyFill="1" applyAlignment="1" applyProtection="1">
      <alignment horizontal="center" vertical="center" wrapText="1"/>
      <protection hidden="1"/>
    </xf>
    <xf numFmtId="0" fontId="29" fillId="0" borderId="0" xfId="4" applyFont="1" applyAlignment="1" applyProtection="1">
      <alignment horizontal="left" vertical="center" indent="1"/>
      <protection hidden="1"/>
    </xf>
    <xf numFmtId="3" fontId="29" fillId="0" borderId="4" xfId="4" applyNumberFormat="1" applyFont="1" applyBorder="1" applyAlignment="1" applyProtection="1">
      <alignment horizontal="right" vertical="center" wrapText="1"/>
      <protection hidden="1"/>
    </xf>
    <xf numFmtId="164" fontId="29" fillId="0" borderId="5" xfId="5" applyNumberFormat="1" applyFont="1" applyBorder="1" applyProtection="1">
      <alignment vertical="center"/>
      <protection hidden="1"/>
    </xf>
    <xf numFmtId="164" fontId="29" fillId="0" borderId="4" xfId="1" applyNumberFormat="1" applyFont="1" applyBorder="1" applyAlignment="1" applyProtection="1">
      <alignment horizontal="right" vertical="center" wrapText="1"/>
      <protection hidden="1"/>
    </xf>
    <xf numFmtId="0" fontId="18" fillId="0" borderId="0" xfId="4" applyFont="1" applyAlignment="1" applyProtection="1">
      <alignment horizontal="left" vertical="center" indent="4"/>
      <protection hidden="1"/>
    </xf>
    <xf numFmtId="164" fontId="18" fillId="0" borderId="4" xfId="1" applyNumberFormat="1" applyFont="1" applyBorder="1" applyAlignment="1" applyProtection="1">
      <alignment horizontal="right" vertical="center" wrapText="1"/>
      <protection hidden="1"/>
    </xf>
    <xf numFmtId="0" fontId="18" fillId="0" borderId="0" xfId="4" applyFont="1" applyAlignment="1" applyProtection="1">
      <alignment horizontal="left" vertical="center" wrapText="1" indent="4"/>
      <protection hidden="1"/>
    </xf>
    <xf numFmtId="0" fontId="30" fillId="0" borderId="0" xfId="4" applyFont="1" applyAlignment="1" applyProtection="1">
      <alignment horizontal="left" vertical="center" wrapText="1" indent="1"/>
      <protection hidden="1"/>
    </xf>
    <xf numFmtId="3" fontId="30" fillId="0" borderId="4" xfId="4" applyNumberFormat="1" applyFont="1" applyBorder="1" applyAlignment="1" applyProtection="1">
      <alignment horizontal="right" vertical="center" wrapText="1"/>
      <protection hidden="1"/>
    </xf>
    <xf numFmtId="164" fontId="30" fillId="0" borderId="5" xfId="5" applyNumberFormat="1" applyFont="1" applyBorder="1" applyProtection="1">
      <alignment vertical="center"/>
      <protection hidden="1"/>
    </xf>
    <xf numFmtId="164" fontId="30" fillId="0" borderId="4" xfId="1" applyNumberFormat="1" applyFont="1" applyBorder="1" applyAlignment="1" applyProtection="1">
      <alignment horizontal="right" vertical="center" wrapText="1"/>
      <protection hidden="1"/>
    </xf>
    <xf numFmtId="0" fontId="21" fillId="0" borderId="0" xfId="4" applyFont="1" applyAlignment="1" applyProtection="1">
      <alignment horizontal="left" vertical="center" indent="1"/>
      <protection hidden="1"/>
    </xf>
    <xf numFmtId="164" fontId="31" fillId="0" borderId="5" xfId="5" applyNumberFormat="1" applyFont="1" applyBorder="1" applyProtection="1">
      <alignment vertical="center"/>
      <protection hidden="1"/>
    </xf>
    <xf numFmtId="0" fontId="16" fillId="0" borderId="0" xfId="4" applyFont="1" applyAlignment="1" applyProtection="1">
      <alignment horizontal="left" vertical="center" indent="1"/>
      <protection hidden="1"/>
    </xf>
    <xf numFmtId="164" fontId="16" fillId="0" borderId="4" xfId="1" applyNumberFormat="1" applyFont="1" applyBorder="1" applyAlignment="1" applyProtection="1">
      <alignment horizontal="right" vertical="center" wrapText="1"/>
      <protection hidden="1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1" fontId="21" fillId="0" borderId="3" xfId="3" applyFont="1" applyBorder="1" applyAlignment="1" applyProtection="1">
      <alignment vertical="center" wrapText="1"/>
      <protection hidden="1"/>
    </xf>
    <xf numFmtId="0" fontId="0" fillId="0" borderId="0" xfId="0" applyAlignment="1">
      <alignment horizontal="center" vertical="center"/>
    </xf>
    <xf numFmtId="164" fontId="21" fillId="0" borderId="4" xfId="1" applyNumberFormat="1" applyFont="1" applyBorder="1" applyAlignment="1" applyProtection="1">
      <alignment horizontal="right" vertical="center" wrapText="1"/>
      <protection hidden="1"/>
    </xf>
    <xf numFmtId="0" fontId="12" fillId="0" borderId="0" xfId="0" applyFont="1" applyAlignment="1">
      <alignment wrapText="1"/>
    </xf>
    <xf numFmtId="0" fontId="32" fillId="0" borderId="0" xfId="4" applyFont="1" applyAlignment="1" applyProtection="1">
      <alignment horizontal="left" vertical="center" indent="1"/>
      <protection hidden="1"/>
    </xf>
    <xf numFmtId="3" fontId="31" fillId="0" borderId="4" xfId="4" applyNumberFormat="1" applyFont="1" applyBorder="1" applyAlignment="1" applyProtection="1">
      <alignment horizontal="right" vertical="center" wrapText="1"/>
      <protection hidden="1"/>
    </xf>
    <xf numFmtId="164" fontId="31" fillId="0" borderId="4" xfId="1" applyNumberFormat="1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>
      <alignment horizontal="left" indent="1"/>
    </xf>
    <xf numFmtId="17" fontId="4" fillId="0" borderId="0" xfId="0" applyNumberFormat="1" applyFont="1" applyAlignment="1">
      <alignment horizontal="left"/>
    </xf>
    <xf numFmtId="0" fontId="19" fillId="0" borderId="0" xfId="4" applyFont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center"/>
    </xf>
    <xf numFmtId="1" fontId="7" fillId="0" borderId="3" xfId="3" applyFont="1" applyBorder="1" applyAlignment="1" applyProtection="1">
      <alignment horizontal="left" vertical="center" wrapText="1"/>
      <protection hidden="1"/>
    </xf>
    <xf numFmtId="1" fontId="14" fillId="2" borderId="0" xfId="3" applyFont="1" applyFill="1" applyAlignment="1" applyProtection="1">
      <alignment horizontal="center" vertical="center"/>
      <protection hidden="1"/>
    </xf>
    <xf numFmtId="1" fontId="14" fillId="2" borderId="4" xfId="3" applyFont="1" applyFill="1" applyBorder="1" applyAlignment="1" applyProtection="1">
      <alignment horizontal="center" vertical="center"/>
      <protection hidden="1"/>
    </xf>
    <xf numFmtId="1" fontId="14" fillId="2" borderId="5" xfId="3" applyFont="1" applyFill="1" applyBorder="1" applyAlignment="1" applyProtection="1">
      <alignment horizontal="center" vertical="center"/>
      <protection hidden="1"/>
    </xf>
    <xf numFmtId="1" fontId="14" fillId="2" borderId="14" xfId="3" applyFont="1" applyFill="1" applyBorder="1" applyAlignment="1" applyProtection="1">
      <alignment horizontal="center" vertical="center"/>
      <protection hidden="1"/>
    </xf>
    <xf numFmtId="1" fontId="14" fillId="2" borderId="15" xfId="3" applyFont="1" applyFill="1" applyBorder="1" applyAlignment="1" applyProtection="1">
      <alignment horizontal="center" vertical="center"/>
      <protection hidden="1"/>
    </xf>
    <xf numFmtId="1" fontId="14" fillId="2" borderId="19" xfId="3" applyFont="1" applyFill="1" applyBorder="1" applyAlignment="1" applyProtection="1">
      <alignment horizontal="center" vertical="center"/>
      <protection hidden="1"/>
    </xf>
    <xf numFmtId="1" fontId="14" fillId="3" borderId="16" xfId="3" applyFont="1" applyFill="1" applyBorder="1" applyAlignment="1" applyProtection="1">
      <alignment horizontal="center" vertical="center"/>
      <protection hidden="1"/>
    </xf>
    <xf numFmtId="1" fontId="14" fillId="3" borderId="17" xfId="3" applyFont="1" applyFill="1" applyBorder="1" applyAlignment="1" applyProtection="1">
      <alignment horizontal="center" vertical="center"/>
      <protection hidden="1"/>
    </xf>
    <xf numFmtId="1" fontId="14" fillId="3" borderId="18" xfId="3" applyFont="1" applyFill="1" applyBorder="1" applyAlignment="1" applyProtection="1">
      <alignment horizontal="center" vertical="center"/>
      <protection hidden="1"/>
    </xf>
    <xf numFmtId="1" fontId="14" fillId="3" borderId="20" xfId="3" applyFont="1" applyFill="1" applyBorder="1" applyAlignment="1" applyProtection="1">
      <alignment horizontal="center" vertical="center"/>
      <protection hidden="1"/>
    </xf>
    <xf numFmtId="1" fontId="14" fillId="3" borderId="0" xfId="3" applyFont="1" applyFill="1" applyAlignment="1" applyProtection="1">
      <alignment horizontal="center" vertical="center"/>
      <protection hidden="1"/>
    </xf>
    <xf numFmtId="1" fontId="14" fillId="3" borderId="21" xfId="3" applyFont="1" applyFill="1" applyBorder="1" applyAlignment="1" applyProtection="1">
      <alignment horizontal="center" vertical="center"/>
      <protection hidden="1"/>
    </xf>
    <xf numFmtId="1" fontId="14" fillId="2" borderId="10" xfId="3" applyFont="1" applyFill="1" applyBorder="1" applyAlignment="1" applyProtection="1">
      <alignment horizontal="center" vertical="center"/>
      <protection hidden="1"/>
    </xf>
    <xf numFmtId="1" fontId="14" fillId="2" borderId="11" xfId="3" applyFont="1" applyFill="1" applyBorder="1" applyAlignment="1" applyProtection="1">
      <alignment horizontal="center" vertical="center"/>
      <protection hidden="1"/>
    </xf>
    <xf numFmtId="1" fontId="14" fillId="3" borderId="12" xfId="3" applyFont="1" applyFill="1" applyBorder="1" applyAlignment="1" applyProtection="1">
      <alignment horizontal="center" vertical="center"/>
      <protection hidden="1"/>
    </xf>
    <xf numFmtId="1" fontId="14" fillId="3" borderId="13" xfId="3" applyFont="1" applyFill="1" applyBorder="1" applyAlignment="1" applyProtection="1">
      <alignment horizontal="center" vertical="center"/>
      <protection hidden="1"/>
    </xf>
    <xf numFmtId="0" fontId="19" fillId="0" borderId="29" xfId="4" applyFont="1" applyBorder="1" applyAlignment="1" applyProtection="1">
      <alignment horizontal="left" vertical="center" wrapText="1"/>
      <protection hidden="1"/>
    </xf>
    <xf numFmtId="1" fontId="14" fillId="3" borderId="4" xfId="3" applyFont="1" applyFill="1" applyBorder="1" applyAlignment="1" applyProtection="1">
      <alignment horizontal="center" vertical="center"/>
      <protection hidden="1"/>
    </xf>
    <xf numFmtId="1" fontId="14" fillId="3" borderId="5" xfId="3" applyFont="1" applyFill="1" applyBorder="1" applyAlignment="1" applyProtection="1">
      <alignment horizontal="center" vertical="center"/>
      <protection hidden="1"/>
    </xf>
    <xf numFmtId="1" fontId="6" fillId="0" borderId="3" xfId="3" applyFont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1" fontId="7" fillId="0" borderId="0" xfId="3" applyFont="1" applyAlignment="1" applyProtection="1">
      <alignment horizontal="left"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Hipervínculo" xfId="2" builtinId="8"/>
    <cellStyle name="Normal" xfId="0" builtinId="0"/>
    <cellStyle name="Normal 2" xfId="3" xr:uid="{D3CE7D03-823A-46A3-A13A-B84A4EE067CB}"/>
    <cellStyle name="Normal 2 2" xfId="6" xr:uid="{7857388E-01BD-4F71-A0D2-7B7696696FF9}"/>
    <cellStyle name="Normal_PlazasEstablecimientosMunicipioAutAños" xfId="4" xr:uid="{CA9DDC4E-4AA3-4F91-8851-831FBF552C85}"/>
    <cellStyle name="Porcentaje" xfId="1" builtinId="5"/>
    <cellStyle name="Porcentual 2" xfId="5" xr:uid="{2F8A22DD-0E51-4D29-B9AB-E8DEAF95C776}"/>
  </cellStyles>
  <dxfs count="0"/>
  <tableStyles count="1" defaultTableStyle="TableStyleMedium2" defaultPivotStyle="PivotStyleLight16">
    <tableStyle name="Invisible" pivot="0" table="0" count="0" xr9:uid="{0E412A28-32C4-4E35-9CF0-262F27DBBA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78463642319058"/>
          <c:y val="0.27045275590551182"/>
          <c:w val="0.45519569782425451"/>
          <c:h val="0.61957203266258387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2-4E75-A50A-964147CF5F76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12-4E75-A50A-964147CF5F76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12-4E75-A50A-964147CF5F76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12-4E75-A50A-964147CF5F76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12-4E75-A50A-964147CF5F76}"/>
              </c:ext>
            </c:extLst>
          </c:dPt>
          <c:dLbls>
            <c:dLbl>
              <c:idx val="0"/>
              <c:layout>
                <c:manualLayout>
                  <c:x val="0.25736956855936427"/>
                  <c:y val="0.11897807912899765"/>
                </c:manualLayout>
              </c:layout>
              <c:tx>
                <c:rich>
                  <a:bodyPr/>
                  <a:lstStyle/>
                  <a:p>
                    <a:fld id="{2DC7828A-65F7-4F0A-B018-79C6FE8E10E6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44995874-6158-4D30-88BC-B9E79A47C25D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00E83CF0-E472-4DFB-BE0B-657B80FF7628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D12-4E75-A50A-964147CF5F76}"/>
                </c:ext>
              </c:extLst>
            </c:dLbl>
            <c:dLbl>
              <c:idx val="1"/>
              <c:layout>
                <c:manualLayout>
                  <c:x val="-0.18622463509478546"/>
                  <c:y val="0.1111111111111111"/>
                </c:manualLayout>
              </c:layout>
              <c:tx>
                <c:rich>
                  <a:bodyPr/>
                  <a:lstStyle/>
                  <a:p>
                    <a:fld id="{AA73D047-D73A-4D7D-AD86-E7EC8AB3730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48D5433-8906-4D5F-AC19-80173D11E6E9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D16C2AD2-915C-454E-A405-B28964845CC6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314046402405694"/>
                      <c:h val="0.269919661945185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D12-4E75-A50A-964147CF5F76}"/>
                </c:ext>
              </c:extLst>
            </c:dLbl>
            <c:dLbl>
              <c:idx val="2"/>
              <c:layout>
                <c:manualLayout>
                  <c:x val="-0.22352621573620873"/>
                  <c:y val="3.30384222805482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91E7C5-6512-4764-8EF4-E72B5F8CD64C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9484C588-55B2-4A93-AE03-E5375194BF12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312508B-589D-426C-8722-737BA7FC961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11559999364359"/>
                      <c:h val="0.33037036992913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D12-4E75-A50A-964147CF5F76}"/>
                </c:ext>
              </c:extLst>
            </c:dLbl>
            <c:dLbl>
              <c:idx val="3"/>
              <c:layout>
                <c:manualLayout>
                  <c:x val="-0.16224486899050675"/>
                  <c:y val="-0.207202294157674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6CC90B-DD90-4B91-BDD6-23D3DACAD489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65FF16E5-06AC-4C22-8594-E56852A0B9E8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7D6B57C-C1CD-44A0-9058-DB0D78DE3BF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D12-4E75-A50A-964147CF5F76}"/>
                </c:ext>
              </c:extLst>
            </c:dLbl>
            <c:dLbl>
              <c:idx val="4"/>
              <c:layout>
                <c:manualLayout>
                  <c:x val="0.30009475599572266"/>
                  <c:y val="-4.067512394284048E-2"/>
                </c:manualLayout>
              </c:layout>
              <c:tx>
                <c:rich>
                  <a:bodyPr/>
                  <a:lstStyle/>
                  <a:p>
                    <a:fld id="{D6EA037B-DDCA-49E4-AA3E-D18263678D2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B1CD1A88-07FC-48AB-88E0-9470D8D2D422}" type="VALU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59B275F1-BB39-461C-B481-A19BCA3A3DAA}" type="PERCENTAG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D12-4E75-A50A-964147CF5F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('plazas aut munic cuota aloj'!$E$1:$H$1,'plazas aut munic cuota aloj'!$I$5:$J$5)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Hoteles rurales</c:v>
                </c:pt>
                <c:pt idx="3">
                  <c:v>Casas Rurales</c:v>
                </c:pt>
                <c:pt idx="4">
                  <c:v>Vivienda vacacional</c:v>
                </c:pt>
              </c:strCache>
            </c:strRef>
          </c:cat>
          <c:val>
            <c:numRef>
              <c:f>('plazas aut munic cuota aloj'!$E$7,'plazas aut munic cuota aloj'!$G$7,'plazas aut munic cuota aloj'!$K$7,'plazas aut munic cuota aloj'!$M$7,'plazas aut munic cuota aloj'!$I$7)</c:f>
              <c:numCache>
                <c:formatCode>#,##0</c:formatCode>
                <c:ptCount val="5"/>
                <c:pt idx="0">
                  <c:v>88798</c:v>
                </c:pt>
                <c:pt idx="1">
                  <c:v>45768</c:v>
                </c:pt>
                <c:pt idx="2">
                  <c:v>557</c:v>
                </c:pt>
                <c:pt idx="3">
                  <c:v>1074</c:v>
                </c:pt>
                <c:pt idx="4">
                  <c:v>130283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12-4E75-A50A-964147CF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  <c:holeSize val="46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accent6">
              <a:lumMod val="75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'plazas aut catg cuota'!$C$3:$E$3</c:f>
          <c:strCache>
            <c:ptCount val="3"/>
            <c:pt idx="0">
              <c:v>Plazas turísticas inscritas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1959308006207253E-7"/>
          <c:y val="1.3832394173477131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6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757178948575265E-2"/>
          <c:y val="0.28086520910774476"/>
          <c:w val="0.97760879170679205"/>
          <c:h val="0.51201919612989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4-48A5-A3EF-C26A61DF6B9B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4-48A5-A3EF-C26A61DF6B9B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54-48A5-A3EF-C26A61DF6B9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54-48A5-A3EF-C26A61DF6B9B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4-48A5-A3EF-C26A61DF6B9B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54-48A5-A3EF-C26A61DF6B9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('plazas aut catg cuota'!$C$30,'plazas aut catg cuota'!$C$7,'plazas aut catg cuota'!$C$16,'plazas aut catg cuota'!$C$29,'plazas aut catg cuota'!$C$26,'plazas aut catg cuota'!$C$27)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('plazas aut catg cuota'!$D$30,'plazas aut catg cuota'!$D$7,'plazas aut catg cuota'!$D$16,'plazas aut catg cuota'!$D$29,'plazas aut catg cuota'!$D$26,'plazas aut catg cuota'!$D$27)</c:f>
              <c:numCache>
                <c:formatCode>#,##0</c:formatCode>
                <c:ptCount val="6"/>
                <c:pt idx="0">
                  <c:v>266480</c:v>
                </c:pt>
                <c:pt idx="1">
                  <c:v>88798</c:v>
                </c:pt>
                <c:pt idx="2">
                  <c:v>45768</c:v>
                </c:pt>
                <c:pt idx="3">
                  <c:v>130283</c:v>
                </c:pt>
                <c:pt idx="4">
                  <c:v>557</c:v>
                </c:pt>
                <c:pt idx="5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54-48A5-A3EF-C26A61DF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'plazas aut catg cuota'!$H$6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0793778763362868E-3"/>
                  <c:y val="-0.25369509232503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54-48A5-A3EF-C26A61DF6B9B}"/>
                </c:ext>
              </c:extLst>
            </c:dLbl>
            <c:dLbl>
              <c:idx val="1"/>
              <c:layout>
                <c:manualLayout>
                  <c:x val="4.1587557526725737E-3"/>
                  <c:y val="-0.16236485908802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54-48A5-A3EF-C26A61DF6B9B}"/>
                </c:ext>
              </c:extLst>
            </c:dLbl>
            <c:dLbl>
              <c:idx val="2"/>
              <c:layout>
                <c:manualLayout>
                  <c:x val="-6.2381336290088605E-3"/>
                  <c:y val="0.192808536513582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54-48A5-A3EF-C26A61DF6B9B}"/>
                </c:ext>
              </c:extLst>
            </c:dLbl>
            <c:dLbl>
              <c:idx val="3"/>
              <c:layout>
                <c:manualLayout>
                  <c:x val="-2.0793778763362868E-3"/>
                  <c:y val="0.18942566893602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54-48A5-A3EF-C26A61DF6B9B}"/>
                </c:ext>
              </c:extLst>
            </c:dLbl>
            <c:dLbl>
              <c:idx val="4"/>
              <c:layout>
                <c:manualLayout>
                  <c:x val="2.0793778763362868E-3"/>
                  <c:y val="-1.24027279029640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54-48A5-A3EF-C26A61DF6B9B}"/>
                </c:ext>
              </c:extLst>
            </c:dLbl>
            <c:dLbl>
              <c:idx val="5"/>
              <c:layout>
                <c:manualLayout>
                  <c:x val="2.0793778763362868E-3"/>
                  <c:y val="8.118269589056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54-48A5-A3EF-C26A61DF6B9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('plazas aut catg cuota'!$H$30,'plazas aut catg cuota'!$H$7,'plazas aut catg cuota'!$H$16,'plazas aut catg cuota'!$H$29,'plazas aut catg cuota'!$H$26,'plazas aut catg cuota'!$H$27)</c:f>
              <c:numCache>
                <c:formatCode>0.0%</c:formatCode>
                <c:ptCount val="6"/>
                <c:pt idx="0">
                  <c:v>6.3732965023910904E-2</c:v>
                </c:pt>
                <c:pt idx="1">
                  <c:v>5.7879415995560901E-3</c:v>
                </c:pt>
                <c:pt idx="2">
                  <c:v>-5.8545470315277681E-3</c:v>
                </c:pt>
                <c:pt idx="3">
                  <c:v>0.14021733424326732</c:v>
                </c:pt>
                <c:pt idx="4">
                  <c:v>2.5782688766114115E-2</c:v>
                </c:pt>
                <c:pt idx="5">
                  <c:v>7.5046904315196894E-3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A54-48A5-A3EF-C26A61DF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1651007"/>
        <c:axId val="1951644287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4.9561234895038951E-4"/>
              <c:y val="0.91698963405847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951644287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crossAx val="1951651007"/>
        <c:crosses val="max"/>
        <c:crossBetween val="between"/>
      </c:valAx>
      <c:catAx>
        <c:axId val="1951651007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64428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2.8046494188226496E-4"/>
          <c:y val="0.20027699207501976"/>
          <c:w val="0.5244896682753738"/>
          <c:h val="5.7718097209567061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diciembre 2025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7.2193942003102807E-2"/>
                  <c:y val="1.60326658599690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A-41BA-AD8B-540E26F8CFA2}"/>
                </c:ext>
              </c:extLst>
            </c:dLbl>
            <c:dLbl>
              <c:idx val="1"/>
              <c:layout>
                <c:manualLayout>
                  <c:x val="0.1149498024843826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1A-41BA-AD8B-540E26F8CFA2}"/>
                </c:ext>
              </c:extLst>
            </c:dLbl>
            <c:dLbl>
              <c:idx val="2"/>
              <c:layout>
                <c:manualLayout>
                  <c:x val="-5.2203044777807475E-2"/>
                  <c:y val="3.75189313234216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A-41BA-AD8B-540E26F8CFA2}"/>
                </c:ext>
              </c:extLst>
            </c:dLbl>
            <c:dLbl>
              <c:idx val="3"/>
              <c:layout>
                <c:manualLayout>
                  <c:x val="-7.0840200698852343E-2"/>
                  <c:y val="-5.40172762747590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1A-41BA-AD8B-540E26F8CFA2}"/>
                </c:ext>
              </c:extLst>
            </c:dLbl>
            <c:dLbl>
              <c:idx val="4"/>
              <c:layout>
                <c:manualLayout>
                  <c:x val="0.25488316433609481"/>
                  <c:y val="-2.7313846731046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A-41BA-AD8B-540E26F8CFA2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1A-41BA-AD8B-540E26F8C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('plazas aut catg cuota'!$C$7,'plazas aut catg cuota'!$C$16,'plazas aut catg cuota'!$C$29,'plazas aut catg cuota'!$C$26,'plazas aut catg cuota'!$C$27)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('plazas aut catg cuota'!$D$7,'plazas aut catg cuota'!$D$16,'plazas aut catg cuota'!$D$29,'plazas aut catg cuota'!$D$26,'plazas aut catg cuota'!$D$27)</c:f>
              <c:numCache>
                <c:formatCode>#,##0</c:formatCode>
                <c:ptCount val="5"/>
                <c:pt idx="0">
                  <c:v>88798</c:v>
                </c:pt>
                <c:pt idx="1">
                  <c:v>45768</c:v>
                </c:pt>
                <c:pt idx="2">
                  <c:v>130283</c:v>
                </c:pt>
                <c:pt idx="3">
                  <c:v>557</c:v>
                </c:pt>
                <c:pt idx="4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1A-41BA-AD8B-540E26F8C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'estab aut catg cuota aloj'!$C$3:$E$3</c:f>
          <c:strCache>
            <c:ptCount val="3"/>
            <c:pt idx="0">
              <c:v>Establecimientos turísticos inscritos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1959308006207253E-7"/>
          <c:y val="1.3832394173477131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6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965965252783343E-3"/>
          <c:y val="0.33813842841497088"/>
          <c:w val="0.97760879170679205"/>
          <c:h val="0.4615142133975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2-4D15-AEB2-E341234CC672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2-4D15-AEB2-E341234CC672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2-4D15-AEB2-E341234CC67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2-4D15-AEB2-E341234CC672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42-4D15-AEB2-E341234CC672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2-4D15-AEB2-E341234CC67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('estab aut catg cuota aloj'!$C$30,'estab aut catg cuota aloj'!$C$7,'estab aut catg cuota aloj'!$C$16,'estab aut catg cuota aloj'!$C$29,'estab aut catg cuota aloj'!$C$26,'estab aut catg cuota aloj'!$C$27)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('estab aut catg cuota aloj'!$D$30,'estab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6"/>
                <c:pt idx="0">
                  <c:v>31640</c:v>
                </c:pt>
                <c:pt idx="1">
                  <c:v>287</c:v>
                </c:pt>
                <c:pt idx="2">
                  <c:v>235</c:v>
                </c:pt>
                <c:pt idx="3">
                  <c:v>30927</c:v>
                </c:pt>
                <c:pt idx="4">
                  <c:v>24</c:v>
                </c:pt>
                <c:pt idx="5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42-4D15-AEB2-E341234C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'estab aut catg cuota aloj'!$H$6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1601664066562667E-3"/>
                  <c:y val="-4.0404051115896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2-4D15-AEB2-E341234CC672}"/>
                </c:ext>
              </c:extLst>
            </c:dLbl>
            <c:dLbl>
              <c:idx val="1"/>
              <c:layout>
                <c:manualLayout>
                  <c:x val="-2.0800832033281711E-3"/>
                  <c:y val="0.11447814482837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42-4D15-AEB2-E341234CC672}"/>
                </c:ext>
              </c:extLst>
            </c:dLbl>
            <c:dLbl>
              <c:idx val="2"/>
              <c:layout>
                <c:manualLayout>
                  <c:x val="-6.2402496099843996E-3"/>
                  <c:y val="2.0202290676394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42-4D15-AEB2-E341234CC672}"/>
                </c:ext>
              </c:extLst>
            </c:dLbl>
            <c:dLbl>
              <c:idx val="3"/>
              <c:layout>
                <c:manualLayout>
                  <c:x val="2.080083203328057E-3"/>
                  <c:y val="-5.7239072414187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42-4D15-AEB2-E341234CC672}"/>
                </c:ext>
              </c:extLst>
            </c:dLbl>
            <c:dLbl>
              <c:idx val="4"/>
              <c:layout>
                <c:manualLayout>
                  <c:x val="0"/>
                  <c:y val="8.4175371609897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42-4D15-AEB2-E341234CC672}"/>
                </c:ext>
              </c:extLst>
            </c:dLbl>
            <c:dLbl>
              <c:idx val="5"/>
              <c:layout>
                <c:manualLayout>
                  <c:x val="0"/>
                  <c:y val="8.0808102231793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42-4D15-AEB2-E341234CC67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('estab aut catg cuota aloj'!$H$30,'estab aut catg cuota aloj'!$H$7,'estab aut catg cuota aloj'!$H$16,'estab aut catg cuota aloj'!$H$29,'estab aut catg cuota aloj'!$H$26,'estab aut catg cuota aloj'!$H$27)</c:f>
              <c:numCache>
                <c:formatCode>0.0%</c:formatCode>
                <c:ptCount val="6"/>
                <c:pt idx="0">
                  <c:v>0.12230419977298523</c:v>
                </c:pt>
                <c:pt idx="1">
                  <c:v>2.4999999999999911E-2</c:v>
                </c:pt>
                <c:pt idx="2">
                  <c:v>-4.237288135593209E-3</c:v>
                </c:pt>
                <c:pt idx="3">
                  <c:v>0.12519095075289144</c:v>
                </c:pt>
                <c:pt idx="4">
                  <c:v>-4.0000000000000036E-2</c:v>
                </c:pt>
                <c:pt idx="5">
                  <c:v>1.2121212121212199E-2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42-4D15-AEB2-E341234C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1561888"/>
        <c:axId val="1091550368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1.2971857456975445E-2"/>
              <c:y val="0.92037225042301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091550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>
            <a:noFill/>
          </a:ln>
        </c:spPr>
        <c:crossAx val="1091561888"/>
        <c:crosses val="max"/>
        <c:crossBetween val="between"/>
      </c:valAx>
      <c:catAx>
        <c:axId val="109156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0915503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2.8046494188226496E-4"/>
          <c:y val="0.20027699207501976"/>
          <c:w val="0.52466757567940514"/>
          <c:h val="5.745196252603794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diciembre 2025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0.10232331393358439"/>
                  <c:y val="-7.69349756045384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A-4E6D-ABC1-2472C41A6566}"/>
                </c:ext>
              </c:extLst>
            </c:dLbl>
            <c:dLbl>
              <c:idx val="1"/>
              <c:layout>
                <c:manualLayout>
                  <c:x val="0.28235864429989732"/>
                  <c:y val="4.56706077884465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A-4E6D-ABC1-2472C41A6566}"/>
                </c:ext>
              </c:extLst>
            </c:dLbl>
            <c:dLbl>
              <c:idx val="2"/>
              <c:layout>
                <c:manualLayout>
                  <c:x val="-0.3745438776674655"/>
                  <c:y val="-0.119060054797225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A-4E6D-ABC1-2472C41A6566}"/>
                </c:ext>
              </c:extLst>
            </c:dLbl>
            <c:dLbl>
              <c:idx val="3"/>
              <c:layout>
                <c:manualLayout>
                  <c:x val="-0.24018568983224931"/>
                  <c:y val="8.93379079966101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A-4E6D-ABC1-2472C41A6566}"/>
                </c:ext>
              </c:extLst>
            </c:dLbl>
            <c:dLbl>
              <c:idx val="4"/>
              <c:layout>
                <c:manualLayout>
                  <c:x val="-5.3808604359237788E-2"/>
                  <c:y val="-3.21128197533302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A-4E6D-ABC1-2472C41A6566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A-4E6D-ABC1-2472C41A6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('estab aut catg cuota aloj'!$C$7,'estab aut catg cuota aloj'!$C$16,'estab aut catg cuota aloj'!$C$29,'estab aut catg cuota aloj'!$C$26,'estab aut catg cuota aloj'!$C$27)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5"/>
                <c:pt idx="0">
                  <c:v>287</c:v>
                </c:pt>
                <c:pt idx="1">
                  <c:v>235</c:v>
                </c:pt>
                <c:pt idx="2">
                  <c:v>30927</c:v>
                </c:pt>
                <c:pt idx="3">
                  <c:v>24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2A-4E6D-ABC1-2472C41A6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6696074</xdr:colOff>
      <xdr:row>0</xdr:row>
      <xdr:rowOff>104775</xdr:rowOff>
    </xdr:from>
    <xdr:to>
      <xdr:col>2</xdr:col>
      <xdr:colOff>17540</xdr:colOff>
      <xdr:row>2</xdr:row>
      <xdr:rowOff>335176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1A2F3298-17A0-4C65-99BA-B517F68A9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4" y="104775"/>
          <a:ext cx="3217941" cy="8781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2</xdr:row>
      <xdr:rowOff>428625</xdr:rowOff>
    </xdr:from>
    <xdr:to>
      <xdr:col>11</xdr:col>
      <xdr:colOff>1552575</xdr:colOff>
      <xdr:row>21</xdr:row>
      <xdr:rowOff>28574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A41E1F4-A4CF-4BA8-B433-3EB983D25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1114425</xdr:colOff>
      <xdr:row>22</xdr:row>
      <xdr:rowOff>66674</xdr:rowOff>
    </xdr:from>
    <xdr:to>
      <xdr:col>11</xdr:col>
      <xdr:colOff>1295400</xdr:colOff>
      <xdr:row>34</xdr:row>
      <xdr:rowOff>47624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A71FF8F8-DB2B-42B6-9A4F-4F2235518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619125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AC4176D1-D740-43EA-BD79-2ED0F86D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619125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0F09A6F0-13FE-4A31-B7EE-66995991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1018200</xdr:colOff>
      <xdr:row>1</xdr:row>
      <xdr:rowOff>152400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74C8196F-7AEF-4810-B920-3D70F67F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780200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estab aut catg cuota aloj'!$I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los establecimientos alojativos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B1BA77A0-02AA-4FA7-8545-209CEA745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9F415678-BEC4-478A-A2C4-92DED5A6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542923</xdr:colOff>
      <xdr:row>2</xdr:row>
      <xdr:rowOff>76200</xdr:rowOff>
    </xdr:from>
    <xdr:to>
      <xdr:col>22</xdr:col>
      <xdr:colOff>47624</xdr:colOff>
      <xdr:row>21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2F9430-3BA4-4B2B-9D81-60954D20D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5" name="Imagen 4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669FB2BC-A226-42D6-9068-06B229E38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0.94658</cdr:y>
    </cdr:from>
    <cdr:to>
      <cdr:x>0.97704</cdr:x>
      <cdr:y>1</cdr:y>
    </cdr:to>
    <cdr:sp macro="" textlink="">
      <cdr:nvSpPr>
        <cdr:cNvPr id="3" name="4 CuadroTexto">
          <a:extLst xmlns:a="http://schemas.openxmlformats.org/drawingml/2006/main">
            <a:ext uri="{FF2B5EF4-FFF2-40B4-BE49-F238E27FC236}">
              <a16:creationId xmlns:a16="http://schemas.microsoft.com/office/drawing/2014/main" id="{80C57082-7B49-4943-8346-F35EB3825B89}"/>
            </a:ext>
          </a:extLst>
        </cdr:cNvPr>
        <cdr:cNvSpPr txBox="1"/>
      </cdr:nvSpPr>
      <cdr:spPr>
        <a:xfrm xmlns:a="http://schemas.openxmlformats.org/drawingml/2006/main">
          <a:off x="0" y="3895006"/>
          <a:ext cx="5472113" cy="219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0.00907</cdr:x>
      <cdr:y>0.01235</cdr:y>
    </cdr:from>
    <cdr:to>
      <cdr:x>0.98611</cdr:x>
      <cdr:y>0.1637</cdr:y>
    </cdr:to>
    <cdr:sp macro="" textlink="'plazas aut munic cuota aloj'!$P$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67C8AA62-8B18-44AE-8003-ED76DA2172B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472113" cy="622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7331B23F-EAD3-4076-8E05-ACE72074B259}" type="TxLink">
            <a:rPr lang="en-US" sz="18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rPr>
            <a:pPr algn="l"/>
            <a:t>Plazas turísticas registradas en Tenerife por tipología 
acumulado diciembre 2025</a:t>
          </a:fld>
          <a:endParaRPr lang="es-ES" sz="2800" b="1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9DF7A430-E07A-46EC-93A8-225B01A2B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495300</xdr:colOff>
      <xdr:row>1</xdr:row>
      <xdr:rowOff>114300</xdr:rowOff>
    </xdr:to>
    <xdr:pic>
      <xdr:nvPicPr>
        <xdr:cNvPr id="2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AD3FD10B-1167-424B-8C3F-68EAE086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5675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3" name="Imagen 2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43046BC1-0085-4355-870A-EE8912AA4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574400</xdr:colOff>
      <xdr:row>2</xdr:row>
      <xdr:rowOff>638589</xdr:rowOff>
    </xdr:from>
    <xdr:to>
      <xdr:col>12</xdr:col>
      <xdr:colOff>950430</xdr:colOff>
      <xdr:row>21</xdr:row>
      <xdr:rowOff>110987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739F702-2DB8-4742-909C-EFA7CC2FE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376858</xdr:colOff>
      <xdr:row>21</xdr:row>
      <xdr:rowOff>79266</xdr:rowOff>
    </xdr:from>
    <xdr:to>
      <xdr:col>12</xdr:col>
      <xdr:colOff>117612</xdr:colOff>
      <xdr:row>33</xdr:row>
      <xdr:rowOff>4556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2A36DC1-8BD1-47A2-AA36-EAFCDEBA5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613410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2D6F69F3-3D5F-4B5B-A71C-CF44E6A8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613410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5C96D5A8-D90A-4A02-8B3B-CA17E4EA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33131</xdr:rowOff>
    </xdr:from>
    <xdr:to>
      <xdr:col>1</xdr:col>
      <xdr:colOff>1024577</xdr:colOff>
      <xdr:row>1</xdr:row>
      <xdr:rowOff>149336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CD0164AF-B5F7-4850-90E5-088C34E7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31"/>
          <a:ext cx="1778957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plazas aut catg cuota'!$J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las plazas alojativas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C5D6F3DA-D9A7-4359-9560-AABD3951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4E0B365E-D6A7-4BFC-BC01-D7C4812F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4" name="Imagen 3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4C7D855E-2F06-41E9-A010-8C61505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E1744AD0-8942-4CC1-843C-EDF6EC53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372E-1DE2-44EB-9A9E-4D884F84B846}">
  <dimension ref="B1:B26"/>
  <sheetViews>
    <sheetView showGridLines="0" tabSelected="1" zoomScaleNormal="100" workbookViewId="0"/>
  </sheetViews>
  <sheetFormatPr baseColWidth="10" defaultRowHeight="15" x14ac:dyDescent="0.25"/>
  <cols>
    <col min="2" max="2" width="148.42578125" customWidth="1"/>
  </cols>
  <sheetData>
    <row r="1" spans="2:2" x14ac:dyDescent="0.25">
      <c r="B1" s="1" t="s">
        <v>17</v>
      </c>
    </row>
    <row r="2" spans="2:2" ht="36" x14ac:dyDescent="0.55000000000000004">
      <c r="B2" s="2" t="s">
        <v>0</v>
      </c>
    </row>
    <row r="3" spans="2:2" ht="36" x14ac:dyDescent="0.55000000000000004">
      <c r="B3" s="2" t="s">
        <v>99</v>
      </c>
    </row>
    <row r="4" spans="2:2" ht="23.25" x14ac:dyDescent="0.35">
      <c r="B4" s="100">
        <v>45992</v>
      </c>
    </row>
    <row r="5" spans="2:2" x14ac:dyDescent="0.25">
      <c r="B5" s="3"/>
    </row>
    <row r="6" spans="2:2" ht="21.75" thickBot="1" x14ac:dyDescent="0.4">
      <c r="B6" s="4" t="s">
        <v>1</v>
      </c>
    </row>
    <row r="7" spans="2:2" ht="15.75" thickTop="1" x14ac:dyDescent="0.25"/>
    <row r="8" spans="2:2" ht="19.5" thickBot="1" x14ac:dyDescent="0.35">
      <c r="B8" s="5" t="s">
        <v>2</v>
      </c>
    </row>
    <row r="9" spans="2:2" ht="15.75" x14ac:dyDescent="0.25">
      <c r="B9" s="6" t="s">
        <v>3</v>
      </c>
    </row>
    <row r="10" spans="2:2" ht="18.75" x14ac:dyDescent="0.3">
      <c r="B10" s="7" t="s">
        <v>4</v>
      </c>
    </row>
    <row r="11" spans="2:2" ht="15.75" x14ac:dyDescent="0.25">
      <c r="B11" s="8" t="s">
        <v>5</v>
      </c>
    </row>
    <row r="12" spans="2:2" ht="15.75" x14ac:dyDescent="0.25">
      <c r="B12" s="8" t="s">
        <v>6</v>
      </c>
    </row>
    <row r="13" spans="2:2" ht="15.75" x14ac:dyDescent="0.25">
      <c r="B13" s="8" t="s">
        <v>7</v>
      </c>
    </row>
    <row r="14" spans="2:2" ht="15.75" x14ac:dyDescent="0.25">
      <c r="B14" s="8" t="s">
        <v>8</v>
      </c>
    </row>
    <row r="15" spans="2:2" ht="15.75" x14ac:dyDescent="0.25">
      <c r="B15" s="8" t="s">
        <v>9</v>
      </c>
    </row>
    <row r="16" spans="2:2" ht="15.75" x14ac:dyDescent="0.25">
      <c r="B16" s="8" t="s">
        <v>10</v>
      </c>
    </row>
    <row r="17" spans="2:2" ht="18.75" x14ac:dyDescent="0.3">
      <c r="B17" s="7" t="s">
        <v>11</v>
      </c>
    </row>
    <row r="18" spans="2:2" ht="15.75" x14ac:dyDescent="0.25">
      <c r="B18" s="8" t="s">
        <v>12</v>
      </c>
    </row>
    <row r="19" spans="2:2" x14ac:dyDescent="0.25">
      <c r="B19" s="9"/>
    </row>
    <row r="20" spans="2:2" x14ac:dyDescent="0.25">
      <c r="B20" s="9"/>
    </row>
    <row r="21" spans="2:2" x14ac:dyDescent="0.25">
      <c r="B21" s="9"/>
    </row>
    <row r="22" spans="2:2" x14ac:dyDescent="0.25">
      <c r="B22" s="9"/>
    </row>
    <row r="23" spans="2:2" x14ac:dyDescent="0.25">
      <c r="B23" s="9"/>
    </row>
    <row r="24" spans="2:2" x14ac:dyDescent="0.25">
      <c r="B24" s="9"/>
    </row>
    <row r="25" spans="2:2" x14ac:dyDescent="0.25">
      <c r="B25" s="9"/>
    </row>
    <row r="26" spans="2:2" x14ac:dyDescent="0.25">
      <c r="B26" s="9"/>
    </row>
  </sheetData>
  <hyperlinks>
    <hyperlink ref="B18" location="'Evolucion anual plazas aloj'!A1" tooltip="Evolución anual de plazas turísticas autorizadas según tipología del establecimiento" display="Evolución anual de plazas turísticas autorizadas según tipología del establecimiento" xr:uid="{F3CEDC71-25BF-487E-96FF-AE3FA6D0E63B}"/>
    <hyperlink ref="B11" location="'plazas aut munic cuota aloj'!A1" tooltip="Plazas turísticas autorizadas según tipología del establecimiento: distribución por Municipios" display="Plazas turísticas autorizadas según tipología del establecimiento: distribución por Municipios" xr:uid="{5847285A-C793-4748-8ED0-98BC6E95A69B}"/>
    <hyperlink ref="B13" location="'plazas aut catg cuota'!A1" tooltip="Plazas turísticas autorizadas según tipología y categoría del establecimiento periodo actual" display="Plazas turísticas autorizadas según tipología y categoría del establecimiento periodo actual" xr:uid="{C39B4EDE-1B47-4F25-A39C-2FF2A3F89651}"/>
    <hyperlink ref="B14" location="'estab aut munic cuota aloj'!A1" tooltip="Establecimientos turísticos autorizados según tipología del establecimiento periodo actual: distribución por municipios" display="Establecimientos turísticos autorizados según tipología del establecimiento periodo actual: distribución por municipios" xr:uid="{8FA6F50B-12AD-4B3B-A090-C57C245E9A64}"/>
    <hyperlink ref="B16" location="'estab aut catg cuota aloj'!A1" tooltip="Establecimientos turísticos autorizados según tipología y categoría del establecimiento: distribución por categoría periodo actual" display="Establecimientos turísticos autorizados según tipología y categoría del establecimiento: distribución por categoría periodo actual" xr:uid="{B0FBF4CA-14D8-4E0C-8776-38A4EDDCF3FA}"/>
    <hyperlink ref="B12" location="'plazas aut municipio x cat'!A1" tooltip="Plazas turísticas autorizadas según tipología y categoría del establecimiento" display="Plazas turísticas autorizadas según tipología y categoría del establecimiento: variación y diferencia respecto al cierre del año anterior" xr:uid="{40B7D068-CD37-47A6-9F40-966A7701EF9A}"/>
    <hyperlink ref="B15" location="'estab aut municipio x tip y cat'!A1" display="Establecimientos turísticos autorizadas según municipio tipología y categoría del establecimiento: variación y diferencia respecto al cierre del año anterior" xr:uid="{0EDBA174-A01D-45D3-9298-84E7626CB6E1}"/>
  </hyperlink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7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F88A-E1B6-4D2D-927E-2B224B55AD28}">
  <sheetPr>
    <tabColor rgb="FF92D050"/>
  </sheetPr>
  <dimension ref="A1:BJ46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3" customWidth="1"/>
    <col min="6" max="6" width="12.42578125" bestFit="1" customWidth="1"/>
  </cols>
  <sheetData>
    <row r="1" spans="1:62" ht="30" customHeight="1" x14ac:dyDescent="0.25">
      <c r="E1" s="1" t="s">
        <v>13</v>
      </c>
      <c r="F1" s="1" t="s">
        <v>14</v>
      </c>
      <c r="G1" s="1" t="s">
        <v>15</v>
      </c>
      <c r="H1" s="10" t="str">
        <f>M5</f>
        <v>Casas Rurales</v>
      </c>
      <c r="I1" s="1"/>
      <c r="J1" s="1"/>
      <c r="K1" s="1"/>
      <c r="P1" s="1" t="s">
        <v>100</v>
      </c>
    </row>
    <row r="2" spans="1:62" x14ac:dyDescent="0.25">
      <c r="I2" s="102"/>
      <c r="J2" s="102"/>
    </row>
    <row r="3" spans="1:62" s="3" customFormat="1" ht="56.25" customHeight="1" thickBot="1" x14ac:dyDescent="0.3">
      <c r="B3" s="103" t="s">
        <v>101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62" s="3" customFormat="1" ht="6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62" s="3" customFormat="1" x14ac:dyDescent="0.25">
      <c r="B5" s="104" t="s">
        <v>16</v>
      </c>
      <c r="C5" s="105" t="s">
        <v>17</v>
      </c>
      <c r="D5" s="106"/>
      <c r="E5" s="105" t="s">
        <v>13</v>
      </c>
      <c r="F5" s="106"/>
      <c r="G5" s="105" t="s">
        <v>14</v>
      </c>
      <c r="H5" s="106"/>
      <c r="I5" s="105" t="s">
        <v>18</v>
      </c>
      <c r="J5" s="106"/>
      <c r="K5" s="105" t="s">
        <v>19</v>
      </c>
      <c r="L5" s="106"/>
      <c r="M5" s="105" t="s">
        <v>20</v>
      </c>
      <c r="N5" s="106"/>
    </row>
    <row r="6" spans="1:62" s="3" customFormat="1" ht="25.5" x14ac:dyDescent="0.25">
      <c r="B6" s="104"/>
      <c r="C6" s="13" t="s">
        <v>21</v>
      </c>
      <c r="D6" s="14" t="s">
        <v>22</v>
      </c>
      <c r="E6" s="13" t="str">
        <f>C6</f>
        <v>Plazas</v>
      </c>
      <c r="F6" s="14" t="s">
        <v>22</v>
      </c>
      <c r="G6" s="13" t="str">
        <f>E6</f>
        <v>Plazas</v>
      </c>
      <c r="H6" s="14" t="s">
        <v>22</v>
      </c>
      <c r="I6" s="13" t="s">
        <v>21</v>
      </c>
      <c r="J6" s="14" t="s">
        <v>22</v>
      </c>
      <c r="K6" s="13" t="str">
        <f>G6</f>
        <v>Plazas</v>
      </c>
      <c r="L6" s="14" t="s">
        <v>22</v>
      </c>
      <c r="M6" s="13" t="str">
        <f>K6</f>
        <v>Plazas</v>
      </c>
      <c r="N6" s="14" t="s">
        <v>22</v>
      </c>
    </row>
    <row r="7" spans="1:62" s="18" customFormat="1" ht="15.75" x14ac:dyDescent="0.25">
      <c r="A7" s="15"/>
      <c r="B7" s="15" t="s">
        <v>23</v>
      </c>
      <c r="C7" s="16">
        <f>E7+G7+K7+M7+I7</f>
        <v>266480</v>
      </c>
      <c r="D7" s="17">
        <f>C7/$C$7</f>
        <v>1</v>
      </c>
      <c r="E7" s="16">
        <f>SUM(E8:E38)</f>
        <v>88798</v>
      </c>
      <c r="F7" s="17">
        <f>E7/$E$7</f>
        <v>1</v>
      </c>
      <c r="G7" s="16">
        <f>SUM(G8:G38)</f>
        <v>45768</v>
      </c>
      <c r="H7" s="17">
        <f>VLOOKUP($B$7,'estab aut municipio x tip y cat'!$B$8:$BS$39,5+2,FALSE)</f>
        <v>2.4999999999999911E-2</v>
      </c>
      <c r="I7" s="16">
        <f>'plazas aut municipio x cat'!BK8</f>
        <v>130283</v>
      </c>
      <c r="J7" s="17">
        <f>I7/$I$7</f>
        <v>1</v>
      </c>
      <c r="K7" s="16">
        <f>SUM(K8:K38)</f>
        <v>557</v>
      </c>
      <c r="L7" s="17">
        <f>K7/$K$7</f>
        <v>1</v>
      </c>
      <c r="M7" s="16">
        <f>SUM(M8:M38)</f>
        <v>1074</v>
      </c>
      <c r="N7" s="17">
        <f>M7/$M$7</f>
        <v>1</v>
      </c>
    </row>
    <row r="8" spans="1:62" s="3" customFormat="1" x14ac:dyDescent="0.25">
      <c r="A8" s="19"/>
      <c r="B8" s="19" t="s">
        <v>24</v>
      </c>
      <c r="C8" s="20">
        <f>E8+G8+K8+M8+I8</f>
        <v>73043</v>
      </c>
      <c r="D8" s="21">
        <f>C8/$C$7</f>
        <v>0.27410312218552985</v>
      </c>
      <c r="E8" s="22">
        <v>35167</v>
      </c>
      <c r="F8" s="21">
        <f>E8/$E$7</f>
        <v>0.39603369445257774</v>
      </c>
      <c r="G8" s="22">
        <v>12379</v>
      </c>
      <c r="H8" s="21">
        <f>G8/$G$7</f>
        <v>0.27047281943716134</v>
      </c>
      <c r="I8" s="22">
        <f>'plazas aut municipio x cat'!BK9</f>
        <v>25461</v>
      </c>
      <c r="J8" s="21">
        <f>I8/$I$7</f>
        <v>0.19542841353054505</v>
      </c>
      <c r="K8" s="22">
        <v>22</v>
      </c>
      <c r="L8" s="21">
        <f>K8/$K$7</f>
        <v>3.949730700179533E-2</v>
      </c>
      <c r="M8" s="22">
        <v>14</v>
      </c>
      <c r="N8" s="21">
        <f>M8/$M$7</f>
        <v>1.3035381750465549E-2</v>
      </c>
      <c r="BJ8" s="3">
        <v>98</v>
      </c>
    </row>
    <row r="9" spans="1:62" s="3" customFormat="1" x14ac:dyDescent="0.25">
      <c r="A9" s="19"/>
      <c r="B9" s="19" t="s">
        <v>25</v>
      </c>
      <c r="C9" s="20">
        <f t="shared" ref="C9:C38" si="0">E9+G9+K9+M9+I9</f>
        <v>407</v>
      </c>
      <c r="D9" s="21">
        <f t="shared" ref="D9:D38" si="1">C9/$C$7</f>
        <v>1.5273191233863704E-3</v>
      </c>
      <c r="E9" s="22">
        <v>0</v>
      </c>
      <c r="F9" s="21">
        <f t="shared" ref="F9:F38" si="2">E9/$E$7</f>
        <v>0</v>
      </c>
      <c r="G9" s="22">
        <v>0</v>
      </c>
      <c r="H9" s="21">
        <f t="shared" ref="H9:H38" si="3">G9/$G$7</f>
        <v>0</v>
      </c>
      <c r="I9" s="22">
        <f>'plazas aut municipio x cat'!BK10</f>
        <v>390</v>
      </c>
      <c r="J9" s="21">
        <f t="shared" ref="J9:J38" si="4">I9/$I$7</f>
        <v>2.9934834168694304E-3</v>
      </c>
      <c r="K9" s="22">
        <v>0</v>
      </c>
      <c r="L9" s="21">
        <f t="shared" ref="L9:L38" si="5">K9/$K$7</f>
        <v>0</v>
      </c>
      <c r="M9" s="22">
        <v>17</v>
      </c>
      <c r="N9" s="21">
        <f t="shared" ref="N9:N38" si="6">M9/$M$7</f>
        <v>1.5828677839851025E-2</v>
      </c>
      <c r="BJ9" s="3">
        <v>0</v>
      </c>
    </row>
    <row r="10" spans="1:62" s="3" customFormat="1" x14ac:dyDescent="0.25">
      <c r="A10" s="19"/>
      <c r="B10" s="19" t="s">
        <v>26</v>
      </c>
      <c r="C10" s="20">
        <f t="shared" si="0"/>
        <v>3692</v>
      </c>
      <c r="D10" s="21">
        <f t="shared" si="1"/>
        <v>1.3854698288802161E-2</v>
      </c>
      <c r="E10" s="22">
        <v>18</v>
      </c>
      <c r="F10" s="21">
        <f t="shared" si="2"/>
        <v>2.0270726818171582E-4</v>
      </c>
      <c r="G10" s="22">
        <v>24</v>
      </c>
      <c r="H10" s="21">
        <f t="shared" si="3"/>
        <v>5.243838489774515E-4</v>
      </c>
      <c r="I10" s="22">
        <f>'plazas aut municipio x cat'!BK11</f>
        <v>3578</v>
      </c>
      <c r="J10" s="21">
        <f t="shared" si="4"/>
        <v>2.7463291450150827E-2</v>
      </c>
      <c r="K10" s="22">
        <v>0</v>
      </c>
      <c r="L10" s="21">
        <f t="shared" si="5"/>
        <v>0</v>
      </c>
      <c r="M10" s="22">
        <v>72</v>
      </c>
      <c r="N10" s="21">
        <f t="shared" si="6"/>
        <v>6.7039106145251395E-2</v>
      </c>
      <c r="BJ10" s="3">
        <v>20</v>
      </c>
    </row>
    <row r="11" spans="1:62" s="3" customFormat="1" x14ac:dyDescent="0.25">
      <c r="A11" s="19"/>
      <c r="B11" s="19" t="s">
        <v>27</v>
      </c>
      <c r="C11" s="20">
        <f t="shared" si="0"/>
        <v>63967</v>
      </c>
      <c r="D11" s="21">
        <f t="shared" si="1"/>
        <v>0.2400442809966977</v>
      </c>
      <c r="E11" s="22">
        <v>17164</v>
      </c>
      <c r="F11" s="21">
        <f t="shared" si="2"/>
        <v>0.193292641726165</v>
      </c>
      <c r="G11" s="22">
        <v>20856</v>
      </c>
      <c r="H11" s="21">
        <f t="shared" si="3"/>
        <v>0.45568956476140537</v>
      </c>
      <c r="I11" s="22">
        <f>'plazas aut municipio x cat'!BK12</f>
        <v>25887</v>
      </c>
      <c r="J11" s="21">
        <f t="shared" si="4"/>
        <v>0.19869821849358704</v>
      </c>
      <c r="K11" s="22">
        <v>12</v>
      </c>
      <c r="L11" s="21">
        <f t="shared" si="5"/>
        <v>2.1543985637342909E-2</v>
      </c>
      <c r="M11" s="22">
        <v>48</v>
      </c>
      <c r="N11" s="21">
        <f t="shared" si="6"/>
        <v>4.4692737430167599E-2</v>
      </c>
      <c r="BJ11" s="3">
        <v>0</v>
      </c>
    </row>
    <row r="12" spans="1:62" s="3" customFormat="1" x14ac:dyDescent="0.25">
      <c r="A12" s="19"/>
      <c r="B12" s="19" t="s">
        <v>28</v>
      </c>
      <c r="C12" s="20">
        <f t="shared" si="0"/>
        <v>778</v>
      </c>
      <c r="D12" s="21">
        <f t="shared" si="1"/>
        <v>2.9195436805764035E-3</v>
      </c>
      <c r="E12" s="22">
        <v>234</v>
      </c>
      <c r="F12" s="21">
        <f t="shared" si="2"/>
        <v>2.6351944863623055E-3</v>
      </c>
      <c r="G12" s="22">
        <v>0</v>
      </c>
      <c r="H12" s="21">
        <f t="shared" si="3"/>
        <v>0</v>
      </c>
      <c r="I12" s="22">
        <f>'plazas aut municipio x cat'!BK13</f>
        <v>500</v>
      </c>
      <c r="J12" s="21">
        <f t="shared" si="4"/>
        <v>3.8377992523967058E-3</v>
      </c>
      <c r="K12" s="22">
        <v>0</v>
      </c>
      <c r="L12" s="21">
        <f t="shared" si="5"/>
        <v>0</v>
      </c>
      <c r="M12" s="22">
        <v>44</v>
      </c>
      <c r="N12" s="21">
        <f t="shared" si="6"/>
        <v>4.0968342644320296E-2</v>
      </c>
      <c r="BJ12" s="3">
        <v>0</v>
      </c>
    </row>
    <row r="13" spans="1:62" s="3" customFormat="1" x14ac:dyDescent="0.25">
      <c r="A13" s="19"/>
      <c r="B13" s="19" t="s">
        <v>29</v>
      </c>
      <c r="C13" s="20">
        <f t="shared" si="0"/>
        <v>3868</v>
      </c>
      <c r="D13" s="21">
        <f t="shared" si="1"/>
        <v>1.4515160612428701E-2</v>
      </c>
      <c r="E13" s="22">
        <v>986</v>
      </c>
      <c r="F13" s="21">
        <f t="shared" si="2"/>
        <v>1.1103853690398433E-2</v>
      </c>
      <c r="G13" s="22">
        <v>35</v>
      </c>
      <c r="H13" s="21">
        <f t="shared" si="3"/>
        <v>7.6472644642545007E-4</v>
      </c>
      <c r="I13" s="22">
        <f>'plazas aut municipio x cat'!BK14</f>
        <v>2844</v>
      </c>
      <c r="J13" s="21">
        <f t="shared" si="4"/>
        <v>2.1829402147632463E-2</v>
      </c>
      <c r="K13" s="22">
        <v>0</v>
      </c>
      <c r="L13" s="21">
        <f t="shared" si="5"/>
        <v>0</v>
      </c>
      <c r="M13" s="22">
        <v>3</v>
      </c>
      <c r="N13" s="21">
        <f t="shared" si="6"/>
        <v>2.7932960893854749E-3</v>
      </c>
      <c r="BJ13" s="3">
        <v>0</v>
      </c>
    </row>
    <row r="14" spans="1:62" s="3" customFormat="1" x14ac:dyDescent="0.25">
      <c r="A14" s="19"/>
      <c r="B14" s="19" t="s">
        <v>30</v>
      </c>
      <c r="C14" s="20">
        <f>E14+G14+K14+M14+I14</f>
        <v>451</v>
      </c>
      <c r="D14" s="21">
        <f t="shared" si="1"/>
        <v>1.692434704293005E-3</v>
      </c>
      <c r="E14" s="22">
        <v>0</v>
      </c>
      <c r="F14" s="21">
        <f t="shared" si="2"/>
        <v>0</v>
      </c>
      <c r="G14" s="22">
        <v>4</v>
      </c>
      <c r="H14" s="21">
        <f t="shared" si="3"/>
        <v>8.7397308162908579E-5</v>
      </c>
      <c r="I14" s="22">
        <f>'plazas aut municipio x cat'!BK15</f>
        <v>400</v>
      </c>
      <c r="J14" s="21">
        <f>I14/$I$7</f>
        <v>3.0702394019173646E-3</v>
      </c>
      <c r="K14" s="22">
        <v>0</v>
      </c>
      <c r="L14" s="21">
        <f t="shared" si="5"/>
        <v>0</v>
      </c>
      <c r="M14" s="22">
        <v>47</v>
      </c>
      <c r="N14" s="21">
        <f t="shared" si="6"/>
        <v>4.3761638733705775E-2</v>
      </c>
      <c r="BJ14" s="3">
        <v>0</v>
      </c>
    </row>
    <row r="15" spans="1:62" s="3" customFormat="1" x14ac:dyDescent="0.25">
      <c r="A15" s="19"/>
      <c r="B15" s="19" t="s">
        <v>31</v>
      </c>
      <c r="C15" s="20">
        <f t="shared" si="0"/>
        <v>1324</v>
      </c>
      <c r="D15" s="21">
        <f t="shared" si="1"/>
        <v>4.9684779345541882E-3</v>
      </c>
      <c r="E15" s="22">
        <v>76</v>
      </c>
      <c r="F15" s="21">
        <f t="shared" si="2"/>
        <v>8.5587513232280004E-4</v>
      </c>
      <c r="G15" s="22">
        <v>45</v>
      </c>
      <c r="H15" s="21">
        <f t="shared" si="3"/>
        <v>9.8321971683272146E-4</v>
      </c>
      <c r="I15" s="22">
        <f>'plazas aut municipio x cat'!BK16</f>
        <v>1088</v>
      </c>
      <c r="J15" s="21">
        <f t="shared" si="4"/>
        <v>8.351051173215232E-3</v>
      </c>
      <c r="K15" s="22">
        <v>78</v>
      </c>
      <c r="L15" s="21">
        <f t="shared" si="5"/>
        <v>0.14003590664272891</v>
      </c>
      <c r="M15" s="22">
        <v>37</v>
      </c>
      <c r="N15" s="21">
        <f t="shared" si="6"/>
        <v>3.4450651769087522E-2</v>
      </c>
      <c r="BJ15" s="3">
        <v>4</v>
      </c>
    </row>
    <row r="16" spans="1:62" s="3" customFormat="1" x14ac:dyDescent="0.25">
      <c r="A16" s="19"/>
      <c r="B16" s="19" t="s">
        <v>32</v>
      </c>
      <c r="C16" s="20">
        <f t="shared" si="0"/>
        <v>10644</v>
      </c>
      <c r="D16" s="21">
        <f t="shared" si="1"/>
        <v>3.9942960072050435E-2</v>
      </c>
      <c r="E16" s="22">
        <v>930</v>
      </c>
      <c r="F16" s="21">
        <f t="shared" si="2"/>
        <v>1.0473208856055316E-2</v>
      </c>
      <c r="G16" s="22">
        <v>460</v>
      </c>
      <c r="H16" s="21">
        <f t="shared" si="3"/>
        <v>1.0050690438734487E-2</v>
      </c>
      <c r="I16" s="22">
        <f>'plazas aut municipio x cat'!BK17</f>
        <v>9149</v>
      </c>
      <c r="J16" s="21">
        <f t="shared" si="4"/>
        <v>7.0224050720354925E-2</v>
      </c>
      <c r="K16" s="22">
        <v>42</v>
      </c>
      <c r="L16" s="21">
        <f t="shared" si="5"/>
        <v>7.5403949730700179E-2</v>
      </c>
      <c r="M16" s="22">
        <v>63</v>
      </c>
      <c r="N16" s="21">
        <f t="shared" si="6"/>
        <v>5.8659217877094973E-2</v>
      </c>
      <c r="BJ16" s="3">
        <v>6</v>
      </c>
    </row>
    <row r="17" spans="1:62" s="3" customFormat="1" x14ac:dyDescent="0.25">
      <c r="A17" s="19"/>
      <c r="B17" s="19" t="s">
        <v>33</v>
      </c>
      <c r="C17" s="20">
        <f t="shared" si="0"/>
        <v>475</v>
      </c>
      <c r="D17" s="21">
        <f t="shared" si="1"/>
        <v>1.7824977484238967E-3</v>
      </c>
      <c r="E17" s="22">
        <v>0</v>
      </c>
      <c r="F17" s="21">
        <f t="shared" si="2"/>
        <v>0</v>
      </c>
      <c r="G17" s="22">
        <v>0</v>
      </c>
      <c r="H17" s="21">
        <f t="shared" si="3"/>
        <v>0</v>
      </c>
      <c r="I17" s="22">
        <f>'plazas aut municipio x cat'!BK18</f>
        <v>471</v>
      </c>
      <c r="J17" s="21">
        <f t="shared" si="4"/>
        <v>3.6152068957576969E-3</v>
      </c>
      <c r="K17" s="22">
        <v>0</v>
      </c>
      <c r="L17" s="21">
        <f t="shared" si="5"/>
        <v>0</v>
      </c>
      <c r="M17" s="22">
        <v>4</v>
      </c>
      <c r="N17" s="21">
        <f t="shared" si="6"/>
        <v>3.7243947858472998E-3</v>
      </c>
      <c r="BJ17" s="3">
        <v>0</v>
      </c>
    </row>
    <row r="18" spans="1:62" s="3" customFormat="1" x14ac:dyDescent="0.25">
      <c r="A18" s="19"/>
      <c r="B18" s="19" t="s">
        <v>34</v>
      </c>
      <c r="C18" s="20">
        <f t="shared" si="0"/>
        <v>7978</v>
      </c>
      <c r="D18" s="21">
        <f t="shared" si="1"/>
        <v>2.9938456919843891E-2</v>
      </c>
      <c r="E18" s="22">
        <v>3177</v>
      </c>
      <c r="F18" s="21">
        <f t="shared" si="2"/>
        <v>3.5777832834072841E-2</v>
      </c>
      <c r="G18" s="22">
        <v>700</v>
      </c>
      <c r="H18" s="21">
        <f t="shared" si="3"/>
        <v>1.5294528928509002E-2</v>
      </c>
      <c r="I18" s="22">
        <f>'plazas aut municipio x cat'!BK19</f>
        <v>4027</v>
      </c>
      <c r="J18" s="21">
        <f t="shared" si="4"/>
        <v>3.0909635178803067E-2</v>
      </c>
      <c r="K18" s="22">
        <v>15</v>
      </c>
      <c r="L18" s="21">
        <f t="shared" si="5"/>
        <v>2.6929982046678635E-2</v>
      </c>
      <c r="M18" s="22">
        <v>59</v>
      </c>
      <c r="N18" s="21">
        <f t="shared" si="6"/>
        <v>5.493482309124767E-2</v>
      </c>
      <c r="BJ18" s="3">
        <v>0</v>
      </c>
    </row>
    <row r="19" spans="1:62" s="3" customFormat="1" x14ac:dyDescent="0.25">
      <c r="A19" s="19"/>
      <c r="B19" s="19" t="s">
        <v>35</v>
      </c>
      <c r="C19" s="20">
        <f t="shared" si="0"/>
        <v>2313</v>
      </c>
      <c r="D19" s="21">
        <f t="shared" si="1"/>
        <v>8.6798258781146803E-3</v>
      </c>
      <c r="E19" s="22">
        <v>8</v>
      </c>
      <c r="F19" s="21">
        <f t="shared" si="2"/>
        <v>9.0092119191873687E-5</v>
      </c>
      <c r="G19" s="22">
        <v>8</v>
      </c>
      <c r="H19" s="21">
        <f t="shared" si="3"/>
        <v>1.7479461632581716E-4</v>
      </c>
      <c r="I19" s="22">
        <f>'plazas aut municipio x cat'!BK20</f>
        <v>2189</v>
      </c>
      <c r="J19" s="21">
        <f t="shared" si="4"/>
        <v>1.6801885126992776E-2</v>
      </c>
      <c r="K19" s="22">
        <v>81</v>
      </c>
      <c r="L19" s="21">
        <f t="shared" si="5"/>
        <v>0.14542190305206462</v>
      </c>
      <c r="M19" s="22">
        <v>27</v>
      </c>
      <c r="N19" s="21">
        <f t="shared" si="6"/>
        <v>2.5139664804469275E-2</v>
      </c>
      <c r="BJ19" s="3">
        <v>0</v>
      </c>
    </row>
    <row r="20" spans="1:62" s="3" customFormat="1" x14ac:dyDescent="0.25">
      <c r="A20" s="19"/>
      <c r="B20" s="19" t="s">
        <v>36</v>
      </c>
      <c r="C20" s="20">
        <f t="shared" si="0"/>
        <v>3718</v>
      </c>
      <c r="D20" s="21">
        <f t="shared" si="1"/>
        <v>1.3952266586610628E-2</v>
      </c>
      <c r="E20" s="22">
        <v>36</v>
      </c>
      <c r="F20" s="21">
        <f t="shared" si="2"/>
        <v>4.0541453636343163E-4</v>
      </c>
      <c r="G20" s="22">
        <v>19</v>
      </c>
      <c r="H20" s="21">
        <f t="shared" si="3"/>
        <v>4.1513721377381575E-4</v>
      </c>
      <c r="I20" s="22">
        <f>'plazas aut municipio x cat'!BK21</f>
        <v>3541</v>
      </c>
      <c r="J20" s="21">
        <f t="shared" si="4"/>
        <v>2.7179294305473469E-2</v>
      </c>
      <c r="K20" s="22">
        <v>0</v>
      </c>
      <c r="L20" s="21">
        <f t="shared" si="5"/>
        <v>0</v>
      </c>
      <c r="M20" s="22">
        <v>122</v>
      </c>
      <c r="N20" s="21">
        <f t="shared" si="6"/>
        <v>0.11359404096834265</v>
      </c>
      <c r="BJ20" s="3">
        <v>0</v>
      </c>
    </row>
    <row r="21" spans="1:62" s="3" customFormat="1" x14ac:dyDescent="0.25">
      <c r="A21" s="19"/>
      <c r="B21" s="19" t="s">
        <v>37</v>
      </c>
      <c r="C21" s="20">
        <f t="shared" si="0"/>
        <v>6583</v>
      </c>
      <c r="D21" s="21">
        <f t="shared" si="1"/>
        <v>2.4703542479735816E-2</v>
      </c>
      <c r="E21" s="22">
        <v>1196</v>
      </c>
      <c r="F21" s="21">
        <f t="shared" si="2"/>
        <v>1.3468771819185116E-2</v>
      </c>
      <c r="G21" s="22">
        <v>267</v>
      </c>
      <c r="H21" s="21">
        <f t="shared" si="3"/>
        <v>5.8337703198741483E-3</v>
      </c>
      <c r="I21" s="22">
        <f>'plazas aut municipio x cat'!BK22</f>
        <v>5016</v>
      </c>
      <c r="J21" s="21">
        <f t="shared" si="4"/>
        <v>3.8500802100043752E-2</v>
      </c>
      <c r="K21" s="22">
        <v>22</v>
      </c>
      <c r="L21" s="21">
        <f t="shared" si="5"/>
        <v>3.949730700179533E-2</v>
      </c>
      <c r="M21" s="22">
        <v>82</v>
      </c>
      <c r="N21" s="21">
        <f t="shared" si="6"/>
        <v>7.6350093109869649E-2</v>
      </c>
      <c r="BJ21" s="3">
        <v>6</v>
      </c>
    </row>
    <row r="22" spans="1:62" s="3" customFormat="1" x14ac:dyDescent="0.25">
      <c r="A22" s="19"/>
      <c r="B22" s="19" t="s">
        <v>38</v>
      </c>
      <c r="C22" s="20">
        <f t="shared" si="0"/>
        <v>1032</v>
      </c>
      <c r="D22" s="21">
        <f t="shared" si="1"/>
        <v>3.8727108976283398E-3</v>
      </c>
      <c r="E22" s="22">
        <v>0</v>
      </c>
      <c r="F22" s="21">
        <f t="shared" si="2"/>
        <v>0</v>
      </c>
      <c r="G22" s="22">
        <v>0</v>
      </c>
      <c r="H22" s="21">
        <f t="shared" si="3"/>
        <v>0</v>
      </c>
      <c r="I22" s="22">
        <f>'plazas aut municipio x cat'!BK23</f>
        <v>1006</v>
      </c>
      <c r="J22" s="21">
        <f t="shared" si="4"/>
        <v>7.7216520958221721E-3</v>
      </c>
      <c r="K22" s="22">
        <v>0</v>
      </c>
      <c r="L22" s="21">
        <f t="shared" si="5"/>
        <v>0</v>
      </c>
      <c r="M22" s="22">
        <v>26</v>
      </c>
      <c r="N22" s="21">
        <f t="shared" si="6"/>
        <v>2.4208566108007448E-2</v>
      </c>
      <c r="BJ22" s="3">
        <v>0</v>
      </c>
    </row>
    <row r="23" spans="1:62" s="3" customFormat="1" x14ac:dyDescent="0.25">
      <c r="A23" s="19"/>
      <c r="B23" s="19" t="s">
        <v>39</v>
      </c>
      <c r="C23" s="20">
        <f t="shared" si="0"/>
        <v>2445</v>
      </c>
      <c r="D23" s="21">
        <f t="shared" si="1"/>
        <v>9.1751726208345839E-3</v>
      </c>
      <c r="E23" s="22">
        <v>111</v>
      </c>
      <c r="F23" s="21">
        <f t="shared" si="2"/>
        <v>1.2500281537872475E-3</v>
      </c>
      <c r="G23" s="22">
        <v>48</v>
      </c>
      <c r="H23" s="21">
        <f t="shared" si="3"/>
        <v>1.048767697954903E-3</v>
      </c>
      <c r="I23" s="22">
        <f>'plazas aut municipio x cat'!BK24</f>
        <v>2192</v>
      </c>
      <c r="J23" s="21">
        <f t="shared" si="4"/>
        <v>1.6824911922507159E-2</v>
      </c>
      <c r="K23" s="22">
        <v>28</v>
      </c>
      <c r="L23" s="21">
        <f t="shared" si="5"/>
        <v>5.0269299820466788E-2</v>
      </c>
      <c r="M23" s="22">
        <v>66</v>
      </c>
      <c r="N23" s="21">
        <f t="shared" si="6"/>
        <v>6.1452513966480445E-2</v>
      </c>
      <c r="BJ23" s="3">
        <v>4</v>
      </c>
    </row>
    <row r="24" spans="1:62" s="3" customFormat="1" x14ac:dyDescent="0.25">
      <c r="A24" s="19"/>
      <c r="B24" s="19" t="s">
        <v>40</v>
      </c>
      <c r="C24" s="20">
        <f t="shared" si="0"/>
        <v>28567</v>
      </c>
      <c r="D24" s="21">
        <f t="shared" si="1"/>
        <v>0.10720129090363255</v>
      </c>
      <c r="E24" s="22">
        <v>17295</v>
      </c>
      <c r="F24" s="21">
        <f t="shared" si="2"/>
        <v>0.19476790017793194</v>
      </c>
      <c r="G24" s="22">
        <v>4034</v>
      </c>
      <c r="H24" s="21">
        <f t="shared" si="3"/>
        <v>8.814018528229331E-2</v>
      </c>
      <c r="I24" s="22">
        <f>'plazas aut municipio x cat'!BK25</f>
        <v>7238</v>
      </c>
      <c r="J24" s="21">
        <f t="shared" si="4"/>
        <v>5.5555981977694714E-2</v>
      </c>
      <c r="K24" s="22">
        <v>0</v>
      </c>
      <c r="L24" s="21">
        <f t="shared" si="5"/>
        <v>0</v>
      </c>
      <c r="M24" s="22">
        <v>0</v>
      </c>
      <c r="N24" s="21">
        <f t="shared" si="6"/>
        <v>0</v>
      </c>
      <c r="BJ24" s="3">
        <v>0</v>
      </c>
    </row>
    <row r="25" spans="1:62" s="3" customFormat="1" x14ac:dyDescent="0.25">
      <c r="A25" s="19"/>
      <c r="B25" s="19" t="s">
        <v>41</v>
      </c>
      <c r="C25" s="20">
        <f t="shared" si="0"/>
        <v>3666</v>
      </c>
      <c r="D25" s="21">
        <f t="shared" si="1"/>
        <v>1.3757129990993695E-2</v>
      </c>
      <c r="E25" s="22">
        <v>1355</v>
      </c>
      <c r="F25" s="21">
        <f t="shared" si="2"/>
        <v>1.5259352688123607E-2</v>
      </c>
      <c r="G25" s="22">
        <v>355</v>
      </c>
      <c r="H25" s="21">
        <f>G25/$G$7</f>
        <v>7.7565110994581368E-3</v>
      </c>
      <c r="I25" s="22">
        <f>'plazas aut municipio x cat'!BK26</f>
        <v>1711</v>
      </c>
      <c r="J25" s="21">
        <f t="shared" si="4"/>
        <v>1.3132949041701527E-2</v>
      </c>
      <c r="K25" s="22">
        <v>90</v>
      </c>
      <c r="L25" s="21">
        <f t="shared" si="5"/>
        <v>0.1615798922800718</v>
      </c>
      <c r="M25" s="22">
        <v>155</v>
      </c>
      <c r="N25" s="21">
        <f t="shared" si="6"/>
        <v>0.14432029795158285</v>
      </c>
      <c r="BJ25" s="3">
        <v>0</v>
      </c>
    </row>
    <row r="26" spans="1:62" s="3" customFormat="1" x14ac:dyDescent="0.25">
      <c r="A26" s="19"/>
      <c r="B26" s="19" t="s">
        <v>42</v>
      </c>
      <c r="C26" s="20">
        <f>E26+G26+K26+M26+I26</f>
        <v>2375</v>
      </c>
      <c r="D26" s="21">
        <f t="shared" si="1"/>
        <v>8.9124887421194836E-3</v>
      </c>
      <c r="E26" s="22">
        <v>21</v>
      </c>
      <c r="F26" s="21">
        <f t="shared" si="2"/>
        <v>2.3649181287866843E-4</v>
      </c>
      <c r="G26" s="22">
        <v>7</v>
      </c>
      <c r="H26" s="21">
        <f t="shared" si="3"/>
        <v>1.5294528928509003E-4</v>
      </c>
      <c r="I26" s="22">
        <f>'plazas aut municipio x cat'!BK27</f>
        <v>2298</v>
      </c>
      <c r="J26" s="21">
        <f>I26/$I$7</f>
        <v>1.7638525364015258E-2</v>
      </c>
      <c r="K26" s="22">
        <v>20</v>
      </c>
      <c r="L26" s="21">
        <f t="shared" si="5"/>
        <v>3.5906642728904849E-2</v>
      </c>
      <c r="M26" s="22">
        <v>29</v>
      </c>
      <c r="N26" s="21">
        <f t="shared" si="6"/>
        <v>2.7001862197392923E-2</v>
      </c>
      <c r="BJ26" s="3">
        <v>7</v>
      </c>
    </row>
    <row r="27" spans="1:62" s="3" customFormat="1" x14ac:dyDescent="0.25">
      <c r="A27" s="19"/>
      <c r="B27" s="19" t="s">
        <v>43</v>
      </c>
      <c r="C27" s="20">
        <f t="shared" si="0"/>
        <v>392</v>
      </c>
      <c r="D27" s="21">
        <f t="shared" si="1"/>
        <v>1.4710297208045632E-3</v>
      </c>
      <c r="E27" s="22">
        <v>0</v>
      </c>
      <c r="F27" s="21">
        <f t="shared" si="2"/>
        <v>0</v>
      </c>
      <c r="G27" s="22">
        <v>11</v>
      </c>
      <c r="H27" s="21">
        <f>G27/$G$7</f>
        <v>2.403425974479986E-4</v>
      </c>
      <c r="I27" s="22">
        <f>'plazas aut municipio x cat'!BK28</f>
        <v>352</v>
      </c>
      <c r="J27" s="21">
        <f t="shared" si="4"/>
        <v>2.7018106736872807E-3</v>
      </c>
      <c r="K27" s="22">
        <v>16</v>
      </c>
      <c r="L27" s="21">
        <f t="shared" si="5"/>
        <v>2.8725314183123879E-2</v>
      </c>
      <c r="M27" s="22">
        <v>13</v>
      </c>
      <c r="N27" s="21">
        <f t="shared" si="6"/>
        <v>1.2104283054003724E-2</v>
      </c>
      <c r="BJ27" s="3">
        <v>0</v>
      </c>
    </row>
    <row r="28" spans="1:62" s="3" customFormat="1" x14ac:dyDescent="0.25">
      <c r="A28" s="19"/>
      <c r="B28" s="19" t="s">
        <v>44</v>
      </c>
      <c r="C28" s="20">
        <f t="shared" si="0"/>
        <v>12943</v>
      </c>
      <c r="D28" s="21">
        <f t="shared" si="1"/>
        <v>4.8570249174422098E-2</v>
      </c>
      <c r="E28" s="22">
        <v>3368</v>
      </c>
      <c r="F28" s="21">
        <f t="shared" si="2"/>
        <v>3.7928782179778825E-2</v>
      </c>
      <c r="G28" s="22">
        <v>3133</v>
      </c>
      <c r="H28" s="21">
        <f t="shared" ref="H28:H30" si="7">G28/$G$7</f>
        <v>6.8453941618598149E-2</v>
      </c>
      <c r="I28" s="22">
        <f>'plazas aut municipio x cat'!BK29</f>
        <v>6382</v>
      </c>
      <c r="J28" s="21">
        <f t="shared" si="4"/>
        <v>4.8985669657591553E-2</v>
      </c>
      <c r="K28" s="22">
        <v>32</v>
      </c>
      <c r="L28" s="21">
        <f t="shared" si="5"/>
        <v>5.7450628366247758E-2</v>
      </c>
      <c r="M28" s="22">
        <v>28</v>
      </c>
      <c r="N28" s="21">
        <f t="shared" si="6"/>
        <v>2.6070763500931099E-2</v>
      </c>
      <c r="BJ28" s="3">
        <v>0</v>
      </c>
    </row>
    <row r="29" spans="1:62" s="3" customFormat="1" x14ac:dyDescent="0.25">
      <c r="A29" s="19"/>
      <c r="B29" s="19" t="s">
        <v>45</v>
      </c>
      <c r="C29" s="20">
        <f t="shared" si="0"/>
        <v>13644</v>
      </c>
      <c r="D29" s="21">
        <f t="shared" si="1"/>
        <v>5.1200840588411886E-2</v>
      </c>
      <c r="E29" s="22">
        <v>2944</v>
      </c>
      <c r="F29" s="21">
        <f t="shared" si="2"/>
        <v>3.3153899862609519E-2</v>
      </c>
      <c r="G29" s="22">
        <v>50</v>
      </c>
      <c r="H29" s="21">
        <f t="shared" si="7"/>
        <v>1.0924663520363574E-3</v>
      </c>
      <c r="I29" s="22">
        <f>'plazas aut municipio x cat'!BK30</f>
        <v>10635</v>
      </c>
      <c r="J29" s="21">
        <f t="shared" si="4"/>
        <v>8.1629990098477934E-2</v>
      </c>
      <c r="K29" s="22">
        <v>0</v>
      </c>
      <c r="L29" s="21">
        <f t="shared" si="5"/>
        <v>0</v>
      </c>
      <c r="M29" s="22">
        <v>15</v>
      </c>
      <c r="N29" s="21">
        <f t="shared" si="6"/>
        <v>1.3966480446927373E-2</v>
      </c>
      <c r="BJ29" s="3">
        <v>6</v>
      </c>
    </row>
    <row r="30" spans="1:62" s="3" customFormat="1" x14ac:dyDescent="0.25">
      <c r="A30" s="19"/>
      <c r="B30" s="19" t="s">
        <v>46</v>
      </c>
      <c r="C30" s="20">
        <f t="shared" si="0"/>
        <v>2144</v>
      </c>
      <c r="D30" s="21">
        <f t="shared" si="1"/>
        <v>8.0456319423596514E-3</v>
      </c>
      <c r="E30" s="22">
        <v>0</v>
      </c>
      <c r="F30" s="21">
        <f t="shared" si="2"/>
        <v>0</v>
      </c>
      <c r="G30" s="22">
        <v>0</v>
      </c>
      <c r="H30" s="21">
        <f t="shared" si="7"/>
        <v>0</v>
      </c>
      <c r="I30" s="22">
        <f>'plazas aut municipio x cat'!BK31</f>
        <v>2144</v>
      </c>
      <c r="J30" s="21">
        <f t="shared" si="4"/>
        <v>1.6456483194277075E-2</v>
      </c>
      <c r="K30" s="22">
        <v>0</v>
      </c>
      <c r="L30" s="21">
        <f t="shared" si="5"/>
        <v>0</v>
      </c>
      <c r="M30" s="22">
        <v>0</v>
      </c>
      <c r="N30" s="21">
        <f t="shared" si="6"/>
        <v>0</v>
      </c>
      <c r="BJ30" s="3">
        <v>0</v>
      </c>
    </row>
    <row r="31" spans="1:62" s="3" customFormat="1" x14ac:dyDescent="0.25">
      <c r="A31" s="19"/>
      <c r="B31" s="19" t="s">
        <v>47</v>
      </c>
      <c r="C31" s="20">
        <f t="shared" si="0"/>
        <v>14046</v>
      </c>
      <c r="D31" s="21">
        <f t="shared" si="1"/>
        <v>5.2709396577604324E-2</v>
      </c>
      <c r="E31" s="22">
        <v>4459</v>
      </c>
      <c r="F31" s="21">
        <f t="shared" si="2"/>
        <v>5.0215094934570596E-2</v>
      </c>
      <c r="G31" s="22">
        <v>3010</v>
      </c>
      <c r="H31" s="21">
        <f t="shared" si="3"/>
        <v>6.5766474392588703E-2</v>
      </c>
      <c r="I31" s="22">
        <f>'plazas aut municipio x cat'!BK32</f>
        <v>6577</v>
      </c>
      <c r="J31" s="21">
        <f t="shared" si="4"/>
        <v>5.0482411366026263E-2</v>
      </c>
      <c r="K31" s="22">
        <v>0</v>
      </c>
      <c r="L31" s="21">
        <f t="shared" si="5"/>
        <v>0</v>
      </c>
      <c r="M31" s="22">
        <v>0</v>
      </c>
      <c r="N31" s="21">
        <f t="shared" si="6"/>
        <v>0</v>
      </c>
      <c r="BJ31" s="3">
        <v>0</v>
      </c>
    </row>
    <row r="32" spans="1:62" s="3" customFormat="1" x14ac:dyDescent="0.25">
      <c r="A32" s="19"/>
      <c r="B32" s="19" t="s">
        <v>48</v>
      </c>
      <c r="C32" s="20">
        <f t="shared" si="0"/>
        <v>913</v>
      </c>
      <c r="D32" s="21">
        <f t="shared" si="1"/>
        <v>3.426148303812669E-3</v>
      </c>
      <c r="E32" s="22">
        <v>14</v>
      </c>
      <c r="F32" s="21">
        <f t="shared" si="2"/>
        <v>1.5766120858577896E-4</v>
      </c>
      <c r="G32" s="22">
        <v>0</v>
      </c>
      <c r="H32" s="21">
        <f t="shared" si="3"/>
        <v>0</v>
      </c>
      <c r="I32" s="22">
        <f>'plazas aut municipio x cat'!BK33</f>
        <v>881</v>
      </c>
      <c r="J32" s="21">
        <f t="shared" si="4"/>
        <v>6.7622022827229953E-3</v>
      </c>
      <c r="K32" s="22">
        <v>14</v>
      </c>
      <c r="L32" s="21">
        <f t="shared" si="5"/>
        <v>2.5134649910233394E-2</v>
      </c>
      <c r="M32" s="22">
        <v>4</v>
      </c>
      <c r="N32" s="21">
        <f t="shared" si="6"/>
        <v>3.7243947858472998E-3</v>
      </c>
      <c r="BJ32" s="3">
        <v>0</v>
      </c>
    </row>
    <row r="33" spans="1:62" s="3" customFormat="1" x14ac:dyDescent="0.25">
      <c r="A33" s="19"/>
      <c r="B33" s="19" t="s">
        <v>49</v>
      </c>
      <c r="C33" s="20">
        <f t="shared" si="0"/>
        <v>760</v>
      </c>
      <c r="D33" s="21">
        <f t="shared" si="1"/>
        <v>2.8519963974782347E-3</v>
      </c>
      <c r="E33" s="22">
        <v>98</v>
      </c>
      <c r="F33" s="21">
        <f t="shared" si="2"/>
        <v>1.1036284601004527E-3</v>
      </c>
      <c r="G33" s="22">
        <v>14</v>
      </c>
      <c r="H33" s="21">
        <f t="shared" si="3"/>
        <v>3.0589057857018006E-4</v>
      </c>
      <c r="I33" s="22">
        <f>'plazas aut municipio x cat'!BK34</f>
        <v>603</v>
      </c>
      <c r="J33" s="21">
        <f t="shared" si="4"/>
        <v>4.6283858983904268E-3</v>
      </c>
      <c r="K33" s="22">
        <v>24</v>
      </c>
      <c r="L33" s="21">
        <f t="shared" si="5"/>
        <v>4.3087971274685818E-2</v>
      </c>
      <c r="M33" s="22">
        <v>21</v>
      </c>
      <c r="N33" s="21">
        <f t="shared" si="6"/>
        <v>1.9553072625698324E-2</v>
      </c>
      <c r="BJ33" s="3">
        <v>10</v>
      </c>
    </row>
    <row r="34" spans="1:62" s="3" customFormat="1" x14ac:dyDescent="0.25">
      <c r="A34" s="19"/>
      <c r="B34" s="19" t="s">
        <v>50</v>
      </c>
      <c r="C34" s="20">
        <f t="shared" si="0"/>
        <v>2415</v>
      </c>
      <c r="D34" s="21">
        <f t="shared" si="1"/>
        <v>9.062593815670969E-3</v>
      </c>
      <c r="E34" s="22">
        <v>12</v>
      </c>
      <c r="F34" s="21">
        <f t="shared" si="2"/>
        <v>1.3513817878781054E-4</v>
      </c>
      <c r="G34" s="22">
        <v>272</v>
      </c>
      <c r="H34" s="21">
        <f t="shared" si="3"/>
        <v>5.943016955077784E-3</v>
      </c>
      <c r="I34" s="22">
        <f>'plazas aut municipio x cat'!BK35</f>
        <v>2096</v>
      </c>
      <c r="J34" s="21">
        <f t="shared" si="4"/>
        <v>1.608805446604699E-2</v>
      </c>
      <c r="K34" s="22">
        <v>0</v>
      </c>
      <c r="L34" s="21">
        <f t="shared" si="5"/>
        <v>0</v>
      </c>
      <c r="M34" s="22">
        <v>35</v>
      </c>
      <c r="N34" s="21">
        <f t="shared" si="6"/>
        <v>3.2588454376163874E-2</v>
      </c>
      <c r="BJ34" s="3">
        <v>0</v>
      </c>
    </row>
    <row r="35" spans="1:62" s="3" customFormat="1" x14ac:dyDescent="0.25">
      <c r="A35" s="19"/>
      <c r="B35" s="19" t="s">
        <v>51</v>
      </c>
      <c r="C35" s="20">
        <f t="shared" si="0"/>
        <v>373</v>
      </c>
      <c r="D35" s="21">
        <f t="shared" si="1"/>
        <v>1.3997298108676074E-3</v>
      </c>
      <c r="E35" s="22">
        <v>0</v>
      </c>
      <c r="F35" s="21">
        <f t="shared" si="2"/>
        <v>0</v>
      </c>
      <c r="G35" s="22">
        <v>14</v>
      </c>
      <c r="H35" s="21">
        <f t="shared" si="3"/>
        <v>3.0589057857018006E-4</v>
      </c>
      <c r="I35" s="22">
        <f>'plazas aut municipio x cat'!BK36</f>
        <v>326</v>
      </c>
      <c r="J35" s="21">
        <f t="shared" si="4"/>
        <v>2.5022451125626521E-3</v>
      </c>
      <c r="K35" s="22">
        <v>21</v>
      </c>
      <c r="L35" s="21">
        <f t="shared" si="5"/>
        <v>3.7701974865350089E-2</v>
      </c>
      <c r="M35" s="22">
        <v>12</v>
      </c>
      <c r="N35" s="21">
        <f t="shared" si="6"/>
        <v>1.11731843575419E-2</v>
      </c>
      <c r="BJ35" s="3">
        <v>0</v>
      </c>
    </row>
    <row r="36" spans="1:62" s="3" customFormat="1" x14ac:dyDescent="0.25">
      <c r="A36" s="19"/>
      <c r="B36" s="19" t="s">
        <v>52</v>
      </c>
      <c r="C36" s="20">
        <f t="shared" si="0"/>
        <v>440</v>
      </c>
      <c r="D36" s="21">
        <f t="shared" si="1"/>
        <v>1.6511558090663465E-3</v>
      </c>
      <c r="E36" s="22">
        <v>10</v>
      </c>
      <c r="F36" s="21">
        <f t="shared" si="2"/>
        <v>1.1261514898984212E-4</v>
      </c>
      <c r="G36" s="22">
        <v>17</v>
      </c>
      <c r="H36" s="21">
        <f t="shared" si="3"/>
        <v>3.714385596923615E-4</v>
      </c>
      <c r="I36" s="22">
        <f>'plazas aut municipio x cat'!BK37</f>
        <v>400</v>
      </c>
      <c r="J36" s="21">
        <f t="shared" si="4"/>
        <v>3.0702394019173646E-3</v>
      </c>
      <c r="K36" s="22">
        <v>0</v>
      </c>
      <c r="L36" s="21">
        <f t="shared" si="5"/>
        <v>0</v>
      </c>
      <c r="M36" s="22">
        <v>13</v>
      </c>
      <c r="N36" s="21">
        <f t="shared" si="6"/>
        <v>1.2104283054003724E-2</v>
      </c>
      <c r="P36" s="23"/>
      <c r="BJ36" s="3">
        <v>7</v>
      </c>
    </row>
    <row r="37" spans="1:62" s="3" customFormat="1" x14ac:dyDescent="0.25">
      <c r="A37" s="19"/>
      <c r="B37" s="19" t="s">
        <v>53</v>
      </c>
      <c r="C37" s="20">
        <f t="shared" si="0"/>
        <v>416</v>
      </c>
      <c r="D37" s="21">
        <f t="shared" si="1"/>
        <v>1.5610927649354549E-3</v>
      </c>
      <c r="E37" s="22">
        <v>0</v>
      </c>
      <c r="F37" s="21">
        <f t="shared" si="2"/>
        <v>0</v>
      </c>
      <c r="G37" s="22">
        <v>0</v>
      </c>
      <c r="H37" s="21">
        <f t="shared" si="3"/>
        <v>0</v>
      </c>
      <c r="I37" s="22">
        <f>'plazas aut municipio x cat'!BK38</f>
        <v>404</v>
      </c>
      <c r="J37" s="21">
        <f t="shared" si="4"/>
        <v>3.1009417959365383E-3</v>
      </c>
      <c r="K37" s="22">
        <v>0</v>
      </c>
      <c r="L37" s="21">
        <f t="shared" si="5"/>
        <v>0</v>
      </c>
      <c r="M37" s="22">
        <v>12</v>
      </c>
      <c r="N37" s="21">
        <f t="shared" si="6"/>
        <v>1.11731843575419E-2</v>
      </c>
      <c r="BJ37" s="3">
        <v>0</v>
      </c>
    </row>
    <row r="38" spans="1:62" s="3" customFormat="1" x14ac:dyDescent="0.25">
      <c r="A38" s="19"/>
      <c r="B38" s="19" t="s">
        <v>54</v>
      </c>
      <c r="C38" s="20">
        <f t="shared" si="0"/>
        <v>668</v>
      </c>
      <c r="D38" s="21">
        <f t="shared" si="1"/>
        <v>2.5067547283098169E-3</v>
      </c>
      <c r="E38" s="22">
        <v>119</v>
      </c>
      <c r="F38" s="21">
        <f t="shared" si="2"/>
        <v>1.3401202729791211E-3</v>
      </c>
      <c r="G38" s="22">
        <v>6</v>
      </c>
      <c r="H38" s="21">
        <f t="shared" si="3"/>
        <v>1.3109596224436288E-4</v>
      </c>
      <c r="I38" s="22">
        <f>'plazas aut municipio x cat'!BK39</f>
        <v>497</v>
      </c>
      <c r="J38" s="21">
        <f t="shared" si="4"/>
        <v>3.8147724568823255E-3</v>
      </c>
      <c r="K38" s="22">
        <v>40</v>
      </c>
      <c r="L38" s="21">
        <f t="shared" si="5"/>
        <v>7.1813285457809697E-2</v>
      </c>
      <c r="M38" s="22">
        <v>6</v>
      </c>
      <c r="N38" s="21">
        <f t="shared" si="6"/>
        <v>5.5865921787709499E-3</v>
      </c>
      <c r="BJ38" s="3">
        <v>6</v>
      </c>
    </row>
    <row r="39" spans="1:62" s="3" customFormat="1" x14ac:dyDescent="0.25">
      <c r="B39" s="19"/>
      <c r="C39" s="24"/>
      <c r="D39" s="25"/>
      <c r="E39" s="26"/>
      <c r="F39" s="25"/>
      <c r="G39" s="26"/>
      <c r="H39" s="25"/>
      <c r="I39" s="22"/>
      <c r="J39" s="25"/>
      <c r="K39" s="26"/>
      <c r="L39" s="25"/>
      <c r="M39" s="26"/>
      <c r="N39" s="25"/>
      <c r="BJ39" s="3">
        <v>0</v>
      </c>
    </row>
    <row r="40" spans="1:62" s="3" customFormat="1" ht="6" customHeight="1" x14ac:dyDescent="0.25">
      <c r="A40" s="3">
        <v>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8"/>
    </row>
    <row r="41" spans="1:62" s="3" customFormat="1" ht="29.25" customHeight="1" x14ac:dyDescent="0.25">
      <c r="B41" s="101" t="s">
        <v>55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1:62" s="3" customFormat="1" x14ac:dyDescent="0.25"/>
    <row r="43" spans="1:62" hidden="1" x14ac:dyDescent="0.25">
      <c r="B43" t="s">
        <v>56</v>
      </c>
      <c r="C43" s="30">
        <f>SUM(C8:C11,C13:C14,C16,C18,C19,C26,C28,C31,C38)</f>
        <v>196395</v>
      </c>
      <c r="D43" s="21">
        <f>C43/$C43</f>
        <v>1</v>
      </c>
      <c r="E43" s="30">
        <f>SUM(E8:E11,E13:E14,E16,E18,E19,E26,E28,E31,E38)</f>
        <v>65417</v>
      </c>
      <c r="F43" s="21">
        <f>E43/$C43</f>
        <v>0.3330889279258637</v>
      </c>
      <c r="G43" s="30">
        <f>SUM(G8:G11,G13:G14,G16,G18,G19,G26,G28,G31,G38)</f>
        <v>40622</v>
      </c>
      <c r="H43" s="21">
        <f>G43/$C43</f>
        <v>0.20683825962982763</v>
      </c>
      <c r="I43" s="30">
        <v>69501</v>
      </c>
      <c r="J43" s="21">
        <f>I43/$C43</f>
        <v>0.35388375467807226</v>
      </c>
      <c r="K43" s="30">
        <f>SUM(K8:K11,K13:K14,K16,K18,K19,K26,K28,K31,K38)</f>
        <v>264</v>
      </c>
      <c r="L43" s="21">
        <f>K43/$C43</f>
        <v>1.3442297410830215E-3</v>
      </c>
      <c r="M43" s="30">
        <f>SUM(M8:M11,M13:M14,M16,M18,M19,M26,M28,M31,M38)</f>
        <v>413</v>
      </c>
      <c r="N43" s="21">
        <f>M43/$C43</f>
        <v>2.1029048601033632E-3</v>
      </c>
    </row>
    <row r="44" spans="1:62" hidden="1" x14ac:dyDescent="0.25">
      <c r="B44" t="s">
        <v>57</v>
      </c>
      <c r="C44" s="30">
        <f>SUM(C12,C15,C17,C20,C22,C23:C25,C27,C30,C32,C33,C35,C37)</f>
        <v>47003</v>
      </c>
      <c r="D44" s="21">
        <f t="shared" ref="D44:F46" si="8">C44/$C44</f>
        <v>1</v>
      </c>
      <c r="E44" s="30">
        <f>SUM(E12,E15,E17,E20,E22,E23:E25,E27,E30,E32,E33,E35,E37)</f>
        <v>19219</v>
      </c>
      <c r="F44" s="21">
        <f t="shared" si="8"/>
        <v>0.40888879433227665</v>
      </c>
      <c r="G44" s="30">
        <f>SUM(G12,G15,G17,G20,G22,G23:G25,G27,G30,G32,G33,G35,G37)</f>
        <v>4540</v>
      </c>
      <c r="H44" s="21">
        <f t="shared" ref="H44:H46" si="9">G44/$C44</f>
        <v>9.6589579388549673E-2</v>
      </c>
      <c r="I44" s="30">
        <v>17463</v>
      </c>
      <c r="J44" s="21">
        <f t="shared" ref="J44:J46" si="10">I44/$C44</f>
        <v>0.37152947684190368</v>
      </c>
      <c r="K44" s="30">
        <f>SUM(K12,K15,K17,K20,K22,K23:K25,K27,K30,K32,K33,K35,K37)</f>
        <v>271</v>
      </c>
      <c r="L44" s="21">
        <f t="shared" ref="L44:L46" si="11">K44/$C44</f>
        <v>5.7655894304618855E-3</v>
      </c>
      <c r="M44" s="30">
        <f>SUM(M12,M15,M17,M20,M22,M23:M25,M27,M30,M32,M33,M35,M37)</f>
        <v>516</v>
      </c>
      <c r="N44" s="21">
        <f t="shared" ref="N44:N46" si="12">M44/$C44</f>
        <v>1.0978022679403442E-2</v>
      </c>
    </row>
    <row r="45" spans="1:62" hidden="1" x14ac:dyDescent="0.25">
      <c r="B45" t="s">
        <v>58</v>
      </c>
      <c r="C45" s="30">
        <f>SUM(C21,C34,C36)</f>
        <v>9438</v>
      </c>
      <c r="D45" s="21">
        <f t="shared" si="8"/>
        <v>1</v>
      </c>
      <c r="E45" s="30">
        <f>SUM(E21,E34,E36)</f>
        <v>1218</v>
      </c>
      <c r="F45" s="21">
        <f t="shared" si="8"/>
        <v>0.12905276541640179</v>
      </c>
      <c r="G45" s="30">
        <f>SUM(G21,G34,G36)</f>
        <v>556</v>
      </c>
      <c r="H45" s="21">
        <f t="shared" si="9"/>
        <v>5.8910786183513454E-2</v>
      </c>
      <c r="I45" s="30">
        <v>6245</v>
      </c>
      <c r="J45" s="21">
        <f t="shared" si="10"/>
        <v>0.6616867980504344</v>
      </c>
      <c r="K45" s="30">
        <f>SUM(K21,K34,K36)</f>
        <v>22</v>
      </c>
      <c r="L45" s="21">
        <f t="shared" si="11"/>
        <v>2.331002331002331E-3</v>
      </c>
      <c r="M45" s="30">
        <f>SUM(M21,M34,M36)</f>
        <v>130</v>
      </c>
      <c r="N45" s="21">
        <f t="shared" si="12"/>
        <v>1.3774104683195593E-2</v>
      </c>
    </row>
    <row r="46" spans="1:62" hidden="1" x14ac:dyDescent="0.25">
      <c r="B46" t="s">
        <v>59</v>
      </c>
      <c r="C46" s="30">
        <f>C29</f>
        <v>13644</v>
      </c>
      <c r="D46" s="21">
        <f t="shared" si="8"/>
        <v>1</v>
      </c>
      <c r="E46" s="30">
        <f>E29</f>
        <v>2944</v>
      </c>
      <c r="F46" s="21">
        <f t="shared" si="8"/>
        <v>0.2157725007329229</v>
      </c>
      <c r="G46" s="30">
        <f>G29</f>
        <v>50</v>
      </c>
      <c r="H46" s="21">
        <f t="shared" si="9"/>
        <v>3.664614482556435E-3</v>
      </c>
      <c r="I46" s="30">
        <v>8407</v>
      </c>
      <c r="J46" s="21">
        <f t="shared" si="10"/>
        <v>0.61616827909703897</v>
      </c>
      <c r="K46" s="30">
        <f>K29</f>
        <v>0</v>
      </c>
      <c r="L46" s="21">
        <f t="shared" si="11"/>
        <v>0</v>
      </c>
      <c r="M46" s="30">
        <f>M29</f>
        <v>15</v>
      </c>
      <c r="N46" s="21">
        <f t="shared" si="12"/>
        <v>1.0993843447669306E-3</v>
      </c>
    </row>
  </sheetData>
  <mergeCells count="10">
    <mergeCell ref="B41:N41"/>
    <mergeCell ref="I2:J2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5A7A-C7FD-4E34-AE2E-7976A9D49262}">
  <sheetPr>
    <tabColor rgb="FF92D050"/>
  </sheetPr>
  <dimension ref="A1:BS71"/>
  <sheetViews>
    <sheetView showGridLines="0" workbookViewId="0"/>
  </sheetViews>
  <sheetFormatPr baseColWidth="10" defaultRowHeight="15" x14ac:dyDescent="0.25"/>
  <cols>
    <col min="1" max="1" width="17.7109375" customWidth="1"/>
    <col min="2" max="2" width="23" customWidth="1"/>
    <col min="3" max="71" width="9.5703125" customWidth="1"/>
  </cols>
  <sheetData>
    <row r="1" spans="1:71" ht="30" customHeight="1" x14ac:dyDescent="0.25">
      <c r="F1" s="1" t="s">
        <v>13</v>
      </c>
      <c r="H1" s="1" t="s">
        <v>14</v>
      </c>
      <c r="I1" s="1"/>
      <c r="K1" s="1"/>
      <c r="L1" s="1"/>
      <c r="N1" s="31"/>
      <c r="O1" s="31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</row>
    <row r="3" spans="1:71" s="3" customFormat="1" ht="56.25" customHeight="1" thickBot="1" x14ac:dyDescent="0.3">
      <c r="B3" s="103" t="s">
        <v>102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3"/>
      <c r="BL3" s="32"/>
      <c r="BM3" s="32"/>
      <c r="BN3" s="32"/>
      <c r="BO3" s="32"/>
      <c r="BP3" s="32"/>
      <c r="BQ3" s="32"/>
      <c r="BR3" s="32"/>
      <c r="BS3" s="32"/>
    </row>
    <row r="4" spans="1:71" s="3" customFormat="1" ht="9.75" customHeight="1" x14ac:dyDescent="0.25">
      <c r="B4" s="34"/>
      <c r="C4" s="35"/>
      <c r="D4" s="34"/>
      <c r="E4" s="34"/>
      <c r="F4" s="3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5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5"/>
      <c r="BL4" s="34"/>
      <c r="BM4" s="34"/>
      <c r="BN4" s="35"/>
      <c r="BO4" s="34"/>
      <c r="BP4" s="34"/>
      <c r="BQ4" s="35"/>
      <c r="BR4" s="34"/>
      <c r="BS4" s="34"/>
    </row>
    <row r="5" spans="1:71" s="3" customFormat="1" x14ac:dyDescent="0.25">
      <c r="B5" s="12"/>
      <c r="C5" s="36"/>
      <c r="D5" s="36"/>
      <c r="E5" s="36"/>
      <c r="F5" s="116" t="s">
        <v>60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 t="s">
        <v>61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07" t="s">
        <v>18</v>
      </c>
      <c r="BL5" s="108"/>
      <c r="BM5" s="108"/>
      <c r="BN5" s="110" t="s">
        <v>19</v>
      </c>
      <c r="BO5" s="111"/>
      <c r="BP5" s="112"/>
      <c r="BQ5" s="107" t="s">
        <v>20</v>
      </c>
      <c r="BR5" s="108"/>
      <c r="BS5" s="108"/>
    </row>
    <row r="6" spans="1:71" s="3" customFormat="1" x14ac:dyDescent="0.25">
      <c r="B6" s="104" t="s">
        <v>16</v>
      </c>
      <c r="C6" s="121" t="s">
        <v>17</v>
      </c>
      <c r="D6" s="114"/>
      <c r="E6" s="122"/>
      <c r="F6" s="105" t="s">
        <v>62</v>
      </c>
      <c r="G6" s="104"/>
      <c r="H6" s="106"/>
      <c r="I6" s="105" t="s">
        <v>63</v>
      </c>
      <c r="J6" s="104"/>
      <c r="K6" s="106"/>
      <c r="L6" s="105" t="s">
        <v>64</v>
      </c>
      <c r="M6" s="104"/>
      <c r="N6" s="106"/>
      <c r="O6" s="105" t="s">
        <v>65</v>
      </c>
      <c r="P6" s="104"/>
      <c r="Q6" s="106"/>
      <c r="R6" s="105" t="s">
        <v>66</v>
      </c>
      <c r="S6" s="104"/>
      <c r="T6" s="106"/>
      <c r="U6" s="105" t="s">
        <v>67</v>
      </c>
      <c r="V6" s="104"/>
      <c r="W6" s="106"/>
      <c r="X6" s="105" t="s">
        <v>68</v>
      </c>
      <c r="Y6" s="104"/>
      <c r="Z6" s="106"/>
      <c r="AA6" s="105" t="s">
        <v>69</v>
      </c>
      <c r="AB6" s="104"/>
      <c r="AC6" s="106"/>
      <c r="AD6" s="105" t="s">
        <v>70</v>
      </c>
      <c r="AE6" s="104"/>
      <c r="AF6" s="104"/>
      <c r="AG6" s="110" t="s">
        <v>71</v>
      </c>
      <c r="AH6" s="111"/>
      <c r="AI6" s="112"/>
      <c r="AJ6" s="110" t="s">
        <v>72</v>
      </c>
      <c r="AK6" s="111"/>
      <c r="AL6" s="112"/>
      <c r="AM6" s="110" t="s">
        <v>73</v>
      </c>
      <c r="AN6" s="111"/>
      <c r="AO6" s="112"/>
      <c r="AP6" s="110" t="s">
        <v>74</v>
      </c>
      <c r="AQ6" s="111"/>
      <c r="AR6" s="112"/>
      <c r="AS6" s="110" t="s">
        <v>75</v>
      </c>
      <c r="AT6" s="111"/>
      <c r="AU6" s="112"/>
      <c r="AV6" s="110" t="s">
        <v>65</v>
      </c>
      <c r="AW6" s="111"/>
      <c r="AX6" s="112"/>
      <c r="AY6" s="110" t="s">
        <v>66</v>
      </c>
      <c r="AZ6" s="111"/>
      <c r="BA6" s="112"/>
      <c r="BB6" s="110" t="s">
        <v>67</v>
      </c>
      <c r="BC6" s="111"/>
      <c r="BD6" s="112"/>
      <c r="BE6" s="110" t="s">
        <v>76</v>
      </c>
      <c r="BF6" s="111"/>
      <c r="BG6" s="112"/>
      <c r="BH6" s="110" t="s">
        <v>77</v>
      </c>
      <c r="BI6" s="111"/>
      <c r="BJ6" s="111"/>
      <c r="BK6" s="109"/>
      <c r="BL6" s="104"/>
      <c r="BM6" s="104"/>
      <c r="BN6" s="113"/>
      <c r="BO6" s="114"/>
      <c r="BP6" s="115"/>
      <c r="BQ6" s="109"/>
      <c r="BR6" s="104"/>
      <c r="BS6" s="104"/>
    </row>
    <row r="7" spans="1:71" s="3" customFormat="1" ht="51" x14ac:dyDescent="0.25">
      <c r="A7" s="23"/>
      <c r="B7" s="104"/>
      <c r="C7" s="37" t="s">
        <v>21</v>
      </c>
      <c r="D7" s="38" t="s">
        <v>78</v>
      </c>
      <c r="E7" s="39" t="s">
        <v>79</v>
      </c>
      <c r="F7" s="13" t="s">
        <v>21</v>
      </c>
      <c r="G7" s="40" t="s">
        <v>78</v>
      </c>
      <c r="H7" s="14" t="s">
        <v>79</v>
      </c>
      <c r="I7" s="13" t="s">
        <v>21</v>
      </c>
      <c r="J7" s="40" t="s">
        <v>78</v>
      </c>
      <c r="K7" s="14" t="s">
        <v>79</v>
      </c>
      <c r="L7" s="13" t="s">
        <v>21</v>
      </c>
      <c r="M7" s="40" t="s">
        <v>78</v>
      </c>
      <c r="N7" s="14" t="s">
        <v>79</v>
      </c>
      <c r="O7" s="13" t="s">
        <v>21</v>
      </c>
      <c r="P7" s="40" t="s">
        <v>78</v>
      </c>
      <c r="Q7" s="14" t="s">
        <v>79</v>
      </c>
      <c r="R7" s="13" t="s">
        <v>21</v>
      </c>
      <c r="S7" s="40" t="s">
        <v>78</v>
      </c>
      <c r="T7" s="14" t="s">
        <v>79</v>
      </c>
      <c r="U7" s="13" t="s">
        <v>21</v>
      </c>
      <c r="V7" s="40" t="s">
        <v>78</v>
      </c>
      <c r="W7" s="14" t="s">
        <v>79</v>
      </c>
      <c r="X7" s="13" t="s">
        <v>21</v>
      </c>
      <c r="Y7" s="40" t="s">
        <v>78</v>
      </c>
      <c r="Z7" s="14" t="s">
        <v>79</v>
      </c>
      <c r="AA7" s="13" t="s">
        <v>21</v>
      </c>
      <c r="AB7" s="40" t="s">
        <v>78</v>
      </c>
      <c r="AC7" s="14" t="s">
        <v>79</v>
      </c>
      <c r="AD7" s="13" t="s">
        <v>21</v>
      </c>
      <c r="AE7" s="40" t="s">
        <v>78</v>
      </c>
      <c r="AF7" s="41" t="s">
        <v>79</v>
      </c>
      <c r="AG7" s="42" t="s">
        <v>21</v>
      </c>
      <c r="AH7" s="43" t="s">
        <v>78</v>
      </c>
      <c r="AI7" s="44" t="s">
        <v>79</v>
      </c>
      <c r="AJ7" s="42" t="s">
        <v>21</v>
      </c>
      <c r="AK7" s="43" t="s">
        <v>78</v>
      </c>
      <c r="AL7" s="44" t="s">
        <v>79</v>
      </c>
      <c r="AM7" s="42" t="s">
        <v>21</v>
      </c>
      <c r="AN7" s="43" t="s">
        <v>78</v>
      </c>
      <c r="AO7" s="44" t="s">
        <v>79</v>
      </c>
      <c r="AP7" s="42" t="s">
        <v>21</v>
      </c>
      <c r="AQ7" s="43" t="s">
        <v>78</v>
      </c>
      <c r="AR7" s="44" t="s">
        <v>79</v>
      </c>
      <c r="AS7" s="42" t="s">
        <v>21</v>
      </c>
      <c r="AT7" s="43" t="s">
        <v>78</v>
      </c>
      <c r="AU7" s="44" t="s">
        <v>79</v>
      </c>
      <c r="AV7" s="42" t="s">
        <v>21</v>
      </c>
      <c r="AW7" s="43" t="s">
        <v>78</v>
      </c>
      <c r="AX7" s="44" t="s">
        <v>79</v>
      </c>
      <c r="AY7" s="42" t="s">
        <v>21</v>
      </c>
      <c r="AZ7" s="43" t="s">
        <v>78</v>
      </c>
      <c r="BA7" s="44" t="s">
        <v>79</v>
      </c>
      <c r="BB7" s="42" t="s">
        <v>21</v>
      </c>
      <c r="BC7" s="43" t="s">
        <v>78</v>
      </c>
      <c r="BD7" s="44" t="s">
        <v>79</v>
      </c>
      <c r="BE7" s="42" t="s">
        <v>21</v>
      </c>
      <c r="BF7" s="43" t="s">
        <v>78</v>
      </c>
      <c r="BG7" s="44" t="s">
        <v>79</v>
      </c>
      <c r="BH7" s="42" t="s">
        <v>21</v>
      </c>
      <c r="BI7" s="43" t="s">
        <v>78</v>
      </c>
      <c r="BJ7" s="45" t="s">
        <v>79</v>
      </c>
      <c r="BK7" s="46" t="s">
        <v>21</v>
      </c>
      <c r="BL7" s="40" t="s">
        <v>78</v>
      </c>
      <c r="BM7" s="47" t="s">
        <v>79</v>
      </c>
      <c r="BN7" s="48" t="s">
        <v>21</v>
      </c>
      <c r="BO7" s="38" t="s">
        <v>78</v>
      </c>
      <c r="BP7" s="39" t="s">
        <v>79</v>
      </c>
      <c r="BQ7" s="13" t="s">
        <v>21</v>
      </c>
      <c r="BR7" s="40" t="s">
        <v>78</v>
      </c>
      <c r="BS7" s="14" t="s">
        <v>79</v>
      </c>
    </row>
    <row r="8" spans="1:71" s="18" customFormat="1" ht="15.75" x14ac:dyDescent="0.25">
      <c r="A8" s="49"/>
      <c r="B8" s="15" t="s">
        <v>23</v>
      </c>
      <c r="C8" s="16">
        <f>F8+AG8+BK8+BN8+BQ8</f>
        <v>266480</v>
      </c>
      <c r="D8" s="16">
        <f>G8+AH8+BL8+BO8+BR8</f>
        <v>15966</v>
      </c>
      <c r="E8" s="50">
        <f>C8/(C8-D8)-1</f>
        <v>6.3732965023910904E-2</v>
      </c>
      <c r="F8" s="16">
        <v>88798</v>
      </c>
      <c r="G8" s="51">
        <v>510</v>
      </c>
      <c r="H8" s="17">
        <v>5.7879415995560901E-3</v>
      </c>
      <c r="I8" s="16">
        <v>1218</v>
      </c>
      <c r="J8" s="51">
        <v>0</v>
      </c>
      <c r="K8" s="17">
        <v>0</v>
      </c>
      <c r="L8" s="16">
        <v>2080</v>
      </c>
      <c r="M8" s="51">
        <v>127</v>
      </c>
      <c r="N8" s="17">
        <v>6.5028161802355378E-2</v>
      </c>
      <c r="O8" s="16">
        <v>12891</v>
      </c>
      <c r="P8" s="51">
        <v>-700</v>
      </c>
      <c r="Q8" s="17">
        <v>-5.1504672209550462E-2</v>
      </c>
      <c r="R8" s="16">
        <v>54763</v>
      </c>
      <c r="S8" s="51">
        <v>198</v>
      </c>
      <c r="T8" s="17">
        <v>3.6286997159351575E-3</v>
      </c>
      <c r="U8" s="16">
        <v>11179</v>
      </c>
      <c r="V8" s="51">
        <v>798</v>
      </c>
      <c r="W8" s="17">
        <v>7.6871207012811915E-2</v>
      </c>
      <c r="X8" s="16">
        <v>2822</v>
      </c>
      <c r="Y8" s="51">
        <v>0</v>
      </c>
      <c r="Z8" s="17">
        <v>0</v>
      </c>
      <c r="AA8" s="16">
        <v>3587</v>
      </c>
      <c r="AB8" s="51">
        <v>0</v>
      </c>
      <c r="AC8" s="17">
        <v>0</v>
      </c>
      <c r="AD8" s="16">
        <v>166</v>
      </c>
      <c r="AE8" s="51">
        <v>22</v>
      </c>
      <c r="AF8" s="17">
        <v>0.15277777777777768</v>
      </c>
      <c r="AG8" s="16">
        <v>45768</v>
      </c>
      <c r="AH8" s="51">
        <v>-590</v>
      </c>
      <c r="AI8" s="17">
        <v>-5.8545470315277681E-3</v>
      </c>
      <c r="AJ8" s="16">
        <v>6579</v>
      </c>
      <c r="AK8" s="51">
        <v>2</v>
      </c>
      <c r="AL8" s="17">
        <v>3.0409001064324315E-4</v>
      </c>
      <c r="AM8" s="16">
        <v>10379</v>
      </c>
      <c r="AN8" s="51">
        <v>-651</v>
      </c>
      <c r="AO8" s="17">
        <v>-5.9020852221214892E-2</v>
      </c>
      <c r="AP8" s="16">
        <v>17193</v>
      </c>
      <c r="AQ8" s="51">
        <v>308</v>
      </c>
      <c r="AR8" s="17">
        <v>1.8241042345276792E-2</v>
      </c>
      <c r="AS8" s="16">
        <v>218</v>
      </c>
      <c r="AT8" s="51">
        <v>0</v>
      </c>
      <c r="AU8" s="17">
        <v>0</v>
      </c>
      <c r="AV8" s="16">
        <v>7209</v>
      </c>
      <c r="AW8" s="51">
        <v>0</v>
      </c>
      <c r="AX8" s="17">
        <v>0</v>
      </c>
      <c r="AY8" s="16">
        <v>2099</v>
      </c>
      <c r="AZ8" s="51">
        <v>-164</v>
      </c>
      <c r="BA8" s="17">
        <v>-7.2470172337604999E-2</v>
      </c>
      <c r="BB8" s="16">
        <v>1579</v>
      </c>
      <c r="BC8" s="51">
        <v>0</v>
      </c>
      <c r="BD8" s="17">
        <v>0</v>
      </c>
      <c r="BE8" s="16">
        <v>414</v>
      </c>
      <c r="BF8" s="51">
        <v>75</v>
      </c>
      <c r="BG8" s="17">
        <v>0.22123893805309724</v>
      </c>
      <c r="BH8" s="16">
        <v>98</v>
      </c>
      <c r="BI8" s="51">
        <v>0</v>
      </c>
      <c r="BJ8" s="17">
        <v>0</v>
      </c>
      <c r="BK8" s="16">
        <v>130283</v>
      </c>
      <c r="BL8" s="51">
        <v>16026</v>
      </c>
      <c r="BM8" s="17">
        <v>0.14021733424326732</v>
      </c>
      <c r="BN8" s="16">
        <v>557</v>
      </c>
      <c r="BO8" s="51">
        <v>13</v>
      </c>
      <c r="BP8" s="17">
        <v>2.5782688766114115E-2</v>
      </c>
      <c r="BQ8" s="16">
        <v>1074</v>
      </c>
      <c r="BR8" s="51">
        <v>7</v>
      </c>
      <c r="BS8" s="17">
        <v>7.5046904315196894E-3</v>
      </c>
    </row>
    <row r="9" spans="1:71" s="3" customFormat="1" x14ac:dyDescent="0.25">
      <c r="A9" s="23"/>
      <c r="B9" s="19" t="s">
        <v>24</v>
      </c>
      <c r="C9" s="20">
        <f t="shared" ref="C9:D39" si="0">F9+AG9+BK9+BN9+BQ9</f>
        <v>73043</v>
      </c>
      <c r="D9" s="24">
        <f t="shared" si="0"/>
        <v>3694</v>
      </c>
      <c r="E9" s="52">
        <f t="shared" ref="E9:E39" si="1">C9/(C9-D9)-1</f>
        <v>5.3266809903531387E-2</v>
      </c>
      <c r="F9" s="22">
        <v>35167</v>
      </c>
      <c r="G9" s="24">
        <v>64</v>
      </c>
      <c r="H9" s="52">
        <v>1.8232059937897116E-3</v>
      </c>
      <c r="I9" s="22">
        <v>335</v>
      </c>
      <c r="J9" s="24">
        <v>0</v>
      </c>
      <c r="K9" s="52">
        <v>0</v>
      </c>
      <c r="L9" s="22">
        <v>967</v>
      </c>
      <c r="M9" s="24">
        <v>0</v>
      </c>
      <c r="N9" s="52">
        <v>0</v>
      </c>
      <c r="O9" s="22">
        <v>3479</v>
      </c>
      <c r="P9" s="24">
        <v>0</v>
      </c>
      <c r="Q9" s="52">
        <v>0</v>
      </c>
      <c r="R9" s="22">
        <v>20450</v>
      </c>
      <c r="S9" s="24">
        <v>64</v>
      </c>
      <c r="T9" s="52">
        <v>3.1394093986067961E-3</v>
      </c>
      <c r="U9" s="22">
        <v>6760</v>
      </c>
      <c r="V9" s="24">
        <v>0</v>
      </c>
      <c r="W9" s="52">
        <v>0</v>
      </c>
      <c r="X9" s="22">
        <v>1062</v>
      </c>
      <c r="Y9" s="24">
        <v>0</v>
      </c>
      <c r="Z9" s="52">
        <v>0</v>
      </c>
      <c r="AA9" s="22">
        <v>2114</v>
      </c>
      <c r="AB9" s="24">
        <v>0</v>
      </c>
      <c r="AC9" s="52">
        <v>0</v>
      </c>
      <c r="AD9" s="22">
        <v>0</v>
      </c>
      <c r="AE9" s="24">
        <v>0</v>
      </c>
      <c r="AF9" s="52" t="s">
        <v>103</v>
      </c>
      <c r="AG9" s="22">
        <v>12379</v>
      </c>
      <c r="AH9" s="24">
        <v>2</v>
      </c>
      <c r="AI9" s="52">
        <v>1.6159004605320604E-4</v>
      </c>
      <c r="AJ9" s="22">
        <v>1162</v>
      </c>
      <c r="AK9" s="24">
        <v>2</v>
      </c>
      <c r="AL9" s="52">
        <v>1.7241379310344307E-3</v>
      </c>
      <c r="AM9" s="22">
        <v>4416</v>
      </c>
      <c r="AN9" s="24">
        <v>0</v>
      </c>
      <c r="AO9" s="52">
        <v>0</v>
      </c>
      <c r="AP9" s="22">
        <v>3406</v>
      </c>
      <c r="AQ9" s="24">
        <v>0</v>
      </c>
      <c r="AR9" s="52">
        <v>0</v>
      </c>
      <c r="AS9" s="22">
        <v>0</v>
      </c>
      <c r="AT9" s="24">
        <v>0</v>
      </c>
      <c r="AU9" s="52" t="s">
        <v>103</v>
      </c>
      <c r="AV9" s="22">
        <v>2774</v>
      </c>
      <c r="AW9" s="24">
        <v>0</v>
      </c>
      <c r="AX9" s="52">
        <v>0</v>
      </c>
      <c r="AY9" s="22">
        <v>265</v>
      </c>
      <c r="AZ9" s="24">
        <v>0</v>
      </c>
      <c r="BA9" s="52">
        <v>0</v>
      </c>
      <c r="BB9" s="22">
        <v>330</v>
      </c>
      <c r="BC9" s="24">
        <v>0</v>
      </c>
      <c r="BD9" s="52">
        <v>0</v>
      </c>
      <c r="BE9" s="22">
        <v>4</v>
      </c>
      <c r="BF9" s="24">
        <v>0</v>
      </c>
      <c r="BG9" s="52">
        <v>0</v>
      </c>
      <c r="BH9" s="22">
        <v>22</v>
      </c>
      <c r="BI9" s="24">
        <v>0</v>
      </c>
      <c r="BJ9" s="52">
        <v>0</v>
      </c>
      <c r="BK9" s="22">
        <v>25461</v>
      </c>
      <c r="BL9" s="24">
        <v>3628</v>
      </c>
      <c r="BM9" s="52">
        <v>0.16617047588512812</v>
      </c>
      <c r="BN9" s="22">
        <v>22</v>
      </c>
      <c r="BO9" s="24">
        <v>0</v>
      </c>
      <c r="BP9" s="52">
        <v>0</v>
      </c>
      <c r="BQ9" s="22">
        <v>14</v>
      </c>
      <c r="BR9" s="24">
        <v>0</v>
      </c>
      <c r="BS9" s="52">
        <v>0</v>
      </c>
    </row>
    <row r="10" spans="1:71" s="3" customFormat="1" x14ac:dyDescent="0.25">
      <c r="A10" s="23"/>
      <c r="B10" s="19" t="s">
        <v>25</v>
      </c>
      <c r="C10" s="20">
        <f t="shared" si="0"/>
        <v>407</v>
      </c>
      <c r="D10" s="24">
        <f t="shared" si="0"/>
        <v>45</v>
      </c>
      <c r="E10" s="52">
        <f t="shared" si="1"/>
        <v>0.12430939226519344</v>
      </c>
      <c r="F10" s="22">
        <v>0</v>
      </c>
      <c r="G10" s="24">
        <v>0</v>
      </c>
      <c r="H10" s="52" t="s">
        <v>103</v>
      </c>
      <c r="I10" s="22">
        <v>0</v>
      </c>
      <c r="J10" s="24">
        <v>0</v>
      </c>
      <c r="K10" s="52" t="s">
        <v>103</v>
      </c>
      <c r="L10" s="22">
        <v>0</v>
      </c>
      <c r="M10" s="24">
        <v>0</v>
      </c>
      <c r="N10" s="52" t="s">
        <v>103</v>
      </c>
      <c r="O10" s="22">
        <v>0</v>
      </c>
      <c r="P10" s="24">
        <v>0</v>
      </c>
      <c r="Q10" s="52" t="s">
        <v>103</v>
      </c>
      <c r="R10" s="22">
        <v>0</v>
      </c>
      <c r="S10" s="24">
        <v>0</v>
      </c>
      <c r="T10" s="52" t="s">
        <v>103</v>
      </c>
      <c r="U10" s="22">
        <v>0</v>
      </c>
      <c r="V10" s="24">
        <v>0</v>
      </c>
      <c r="W10" s="52" t="s">
        <v>103</v>
      </c>
      <c r="X10" s="22">
        <v>0</v>
      </c>
      <c r="Y10" s="24">
        <v>0</v>
      </c>
      <c r="Z10" s="52" t="s">
        <v>103</v>
      </c>
      <c r="AA10" s="22">
        <v>0</v>
      </c>
      <c r="AB10" s="24">
        <v>0</v>
      </c>
      <c r="AC10" s="52" t="s">
        <v>103</v>
      </c>
      <c r="AD10" s="22">
        <v>0</v>
      </c>
      <c r="AE10" s="24">
        <v>0</v>
      </c>
      <c r="AF10" s="52" t="s">
        <v>103</v>
      </c>
      <c r="AG10" s="22">
        <v>0</v>
      </c>
      <c r="AH10" s="24">
        <v>0</v>
      </c>
      <c r="AI10" s="52" t="s">
        <v>103</v>
      </c>
      <c r="AJ10" s="22">
        <v>0</v>
      </c>
      <c r="AK10" s="24">
        <v>0</v>
      </c>
      <c r="AL10" s="52" t="s">
        <v>103</v>
      </c>
      <c r="AM10" s="22">
        <v>0</v>
      </c>
      <c r="AN10" s="24">
        <v>0</v>
      </c>
      <c r="AO10" s="52" t="s">
        <v>103</v>
      </c>
      <c r="AP10" s="22">
        <v>0</v>
      </c>
      <c r="AQ10" s="24">
        <v>0</v>
      </c>
      <c r="AR10" s="52" t="s">
        <v>103</v>
      </c>
      <c r="AS10" s="22">
        <v>0</v>
      </c>
      <c r="AT10" s="24">
        <v>0</v>
      </c>
      <c r="AU10" s="52" t="s">
        <v>103</v>
      </c>
      <c r="AV10" s="22">
        <v>0</v>
      </c>
      <c r="AW10" s="24">
        <v>0</v>
      </c>
      <c r="AX10" s="52" t="s">
        <v>103</v>
      </c>
      <c r="AY10" s="22">
        <v>0</v>
      </c>
      <c r="AZ10" s="24">
        <v>0</v>
      </c>
      <c r="BA10" s="52" t="s">
        <v>103</v>
      </c>
      <c r="BB10" s="22">
        <v>0</v>
      </c>
      <c r="BC10" s="24">
        <v>0</v>
      </c>
      <c r="BD10" s="52" t="s">
        <v>103</v>
      </c>
      <c r="BE10" s="22">
        <v>0</v>
      </c>
      <c r="BF10" s="24">
        <v>0</v>
      </c>
      <c r="BG10" s="52" t="s">
        <v>103</v>
      </c>
      <c r="BH10" s="22">
        <v>0</v>
      </c>
      <c r="BI10" s="24">
        <v>0</v>
      </c>
      <c r="BJ10" s="52" t="s">
        <v>103</v>
      </c>
      <c r="BK10" s="22">
        <v>390</v>
      </c>
      <c r="BL10" s="24">
        <v>45</v>
      </c>
      <c r="BM10" s="52">
        <v>0.13043478260869557</v>
      </c>
      <c r="BN10" s="22">
        <v>0</v>
      </c>
      <c r="BO10" s="24">
        <v>0</v>
      </c>
      <c r="BP10" s="52" t="s">
        <v>103</v>
      </c>
      <c r="BQ10" s="22">
        <v>17</v>
      </c>
      <c r="BR10" s="24">
        <v>0</v>
      </c>
      <c r="BS10" s="52">
        <v>0</v>
      </c>
    </row>
    <row r="11" spans="1:71" s="3" customFormat="1" x14ac:dyDescent="0.25">
      <c r="A11" s="23"/>
      <c r="B11" s="19" t="s">
        <v>26</v>
      </c>
      <c r="C11" s="20">
        <f t="shared" si="0"/>
        <v>3692</v>
      </c>
      <c r="D11" s="24">
        <f t="shared" si="0"/>
        <v>278</v>
      </c>
      <c r="E11" s="52">
        <f t="shared" si="1"/>
        <v>8.1429408318687724E-2</v>
      </c>
      <c r="F11" s="22">
        <v>18</v>
      </c>
      <c r="G11" s="24">
        <v>0</v>
      </c>
      <c r="H11" s="52">
        <v>0</v>
      </c>
      <c r="I11" s="22">
        <v>0</v>
      </c>
      <c r="J11" s="24">
        <v>0</v>
      </c>
      <c r="K11" s="52" t="s">
        <v>103</v>
      </c>
      <c r="L11" s="22">
        <v>18</v>
      </c>
      <c r="M11" s="24">
        <v>0</v>
      </c>
      <c r="N11" s="52">
        <v>0</v>
      </c>
      <c r="O11" s="22">
        <v>0</v>
      </c>
      <c r="P11" s="24">
        <v>0</v>
      </c>
      <c r="Q11" s="52" t="s">
        <v>103</v>
      </c>
      <c r="R11" s="22">
        <v>0</v>
      </c>
      <c r="S11" s="24">
        <v>0</v>
      </c>
      <c r="T11" s="52" t="s">
        <v>103</v>
      </c>
      <c r="U11" s="22">
        <v>0</v>
      </c>
      <c r="V11" s="24">
        <v>0</v>
      </c>
      <c r="W11" s="52" t="s">
        <v>103</v>
      </c>
      <c r="X11" s="22">
        <v>0</v>
      </c>
      <c r="Y11" s="24">
        <v>0</v>
      </c>
      <c r="Z11" s="52" t="s">
        <v>103</v>
      </c>
      <c r="AA11" s="22">
        <v>0</v>
      </c>
      <c r="AB11" s="24">
        <v>0</v>
      </c>
      <c r="AC11" s="52" t="s">
        <v>103</v>
      </c>
      <c r="AD11" s="22">
        <v>0</v>
      </c>
      <c r="AE11" s="24">
        <v>0</v>
      </c>
      <c r="AF11" s="52" t="s">
        <v>103</v>
      </c>
      <c r="AG11" s="22">
        <v>24</v>
      </c>
      <c r="AH11" s="24">
        <v>0</v>
      </c>
      <c r="AI11" s="52">
        <v>0</v>
      </c>
      <c r="AJ11" s="22">
        <v>0</v>
      </c>
      <c r="AK11" s="24">
        <v>0</v>
      </c>
      <c r="AL11" s="52" t="s">
        <v>103</v>
      </c>
      <c r="AM11" s="22">
        <v>0</v>
      </c>
      <c r="AN11" s="24">
        <v>0</v>
      </c>
      <c r="AO11" s="52" t="s">
        <v>103</v>
      </c>
      <c r="AP11" s="22">
        <v>0</v>
      </c>
      <c r="AQ11" s="24">
        <v>0</v>
      </c>
      <c r="AR11" s="52" t="s">
        <v>103</v>
      </c>
      <c r="AS11" s="22">
        <v>0</v>
      </c>
      <c r="AT11" s="24">
        <v>0</v>
      </c>
      <c r="AU11" s="52" t="s">
        <v>103</v>
      </c>
      <c r="AV11" s="22">
        <v>0</v>
      </c>
      <c r="AW11" s="24">
        <v>0</v>
      </c>
      <c r="AX11" s="52" t="s">
        <v>103</v>
      </c>
      <c r="AY11" s="22">
        <v>0</v>
      </c>
      <c r="AZ11" s="24">
        <v>0</v>
      </c>
      <c r="BA11" s="52" t="s">
        <v>103</v>
      </c>
      <c r="BB11" s="22">
        <v>0</v>
      </c>
      <c r="BC11" s="24">
        <v>0</v>
      </c>
      <c r="BD11" s="52" t="s">
        <v>103</v>
      </c>
      <c r="BE11" s="22">
        <v>4</v>
      </c>
      <c r="BF11" s="24">
        <v>0</v>
      </c>
      <c r="BG11" s="52">
        <v>0</v>
      </c>
      <c r="BH11" s="22">
        <v>20</v>
      </c>
      <c r="BI11" s="24">
        <v>0</v>
      </c>
      <c r="BJ11" s="52" t="s">
        <v>103</v>
      </c>
      <c r="BK11" s="22">
        <v>3578</v>
      </c>
      <c r="BL11" s="24">
        <v>278</v>
      </c>
      <c r="BM11" s="52">
        <v>8.424242424242423E-2</v>
      </c>
      <c r="BN11" s="22">
        <v>0</v>
      </c>
      <c r="BO11" s="24">
        <v>0</v>
      </c>
      <c r="BP11" s="52" t="s">
        <v>103</v>
      </c>
      <c r="BQ11" s="22">
        <v>72</v>
      </c>
      <c r="BR11" s="24">
        <v>0</v>
      </c>
      <c r="BS11" s="52">
        <v>0</v>
      </c>
    </row>
    <row r="12" spans="1:71" s="3" customFormat="1" x14ac:dyDescent="0.25">
      <c r="A12" s="23"/>
      <c r="B12" s="19" t="s">
        <v>27</v>
      </c>
      <c r="C12" s="20">
        <f t="shared" si="0"/>
        <v>63967</v>
      </c>
      <c r="D12" s="24">
        <f t="shared" si="0"/>
        <v>2763</v>
      </c>
      <c r="E12" s="52">
        <f t="shared" si="1"/>
        <v>4.5144108228220459E-2</v>
      </c>
      <c r="F12" s="22">
        <v>17164</v>
      </c>
      <c r="G12" s="24">
        <v>-656</v>
      </c>
      <c r="H12" s="52">
        <v>-3.6812570145903445E-2</v>
      </c>
      <c r="I12" s="22">
        <v>190</v>
      </c>
      <c r="J12" s="24">
        <v>0</v>
      </c>
      <c r="K12" s="52">
        <v>0</v>
      </c>
      <c r="L12" s="22">
        <v>96</v>
      </c>
      <c r="M12" s="24">
        <v>0</v>
      </c>
      <c r="N12" s="52">
        <v>0</v>
      </c>
      <c r="O12" s="22">
        <v>2824</v>
      </c>
      <c r="P12" s="24">
        <v>-678</v>
      </c>
      <c r="Q12" s="52">
        <v>-0.1936036550542547</v>
      </c>
      <c r="R12" s="22">
        <v>12425</v>
      </c>
      <c r="S12" s="24">
        <v>0</v>
      </c>
      <c r="T12" s="52">
        <v>0</v>
      </c>
      <c r="U12" s="22">
        <v>1330</v>
      </c>
      <c r="V12" s="24">
        <v>0</v>
      </c>
      <c r="W12" s="52">
        <v>0</v>
      </c>
      <c r="X12" s="22">
        <v>0</v>
      </c>
      <c r="Y12" s="24">
        <v>0</v>
      </c>
      <c r="Z12" s="52" t="s">
        <v>103</v>
      </c>
      <c r="AA12" s="22">
        <v>277</v>
      </c>
      <c r="AB12" s="24">
        <v>0</v>
      </c>
      <c r="AC12" s="52">
        <v>0</v>
      </c>
      <c r="AD12" s="22">
        <v>22</v>
      </c>
      <c r="AE12" s="24">
        <v>22</v>
      </c>
      <c r="AF12" s="52" t="s">
        <v>103</v>
      </c>
      <c r="AG12" s="22">
        <v>20856</v>
      </c>
      <c r="AH12" s="24">
        <v>319</v>
      </c>
      <c r="AI12" s="52">
        <v>1.553294054633092E-2</v>
      </c>
      <c r="AJ12" s="22">
        <v>2829</v>
      </c>
      <c r="AK12" s="24">
        <v>0</v>
      </c>
      <c r="AL12" s="52">
        <v>0</v>
      </c>
      <c r="AM12" s="22">
        <v>3852</v>
      </c>
      <c r="AN12" s="24">
        <v>-407</v>
      </c>
      <c r="AO12" s="52">
        <v>-9.5562338577130812E-2</v>
      </c>
      <c r="AP12" s="22">
        <v>9610</v>
      </c>
      <c r="AQ12" s="24">
        <v>890</v>
      </c>
      <c r="AR12" s="52">
        <v>0.10206422018348627</v>
      </c>
      <c r="AS12" s="22">
        <v>218</v>
      </c>
      <c r="AT12" s="24">
        <v>0</v>
      </c>
      <c r="AU12" s="52">
        <v>0</v>
      </c>
      <c r="AV12" s="22">
        <v>3259</v>
      </c>
      <c r="AW12" s="24">
        <v>0</v>
      </c>
      <c r="AX12" s="52">
        <v>0</v>
      </c>
      <c r="AY12" s="22">
        <v>1088</v>
      </c>
      <c r="AZ12" s="24">
        <v>-164</v>
      </c>
      <c r="BA12" s="52">
        <v>-0.13099041533546329</v>
      </c>
      <c r="BB12" s="22">
        <v>0</v>
      </c>
      <c r="BC12" s="24">
        <v>0</v>
      </c>
      <c r="BD12" s="52" t="s">
        <v>103</v>
      </c>
      <c r="BE12" s="22">
        <v>0</v>
      </c>
      <c r="BF12" s="24">
        <v>0</v>
      </c>
      <c r="BG12" s="52" t="s">
        <v>103</v>
      </c>
      <c r="BH12" s="22">
        <v>0</v>
      </c>
      <c r="BI12" s="24">
        <v>0</v>
      </c>
      <c r="BJ12" s="52" t="s">
        <v>103</v>
      </c>
      <c r="BK12" s="22">
        <v>25887</v>
      </c>
      <c r="BL12" s="24">
        <v>3100</v>
      </c>
      <c r="BM12" s="52">
        <v>0.1360424803616096</v>
      </c>
      <c r="BN12" s="22">
        <v>12</v>
      </c>
      <c r="BO12" s="24">
        <v>0</v>
      </c>
      <c r="BP12" s="52">
        <v>0</v>
      </c>
      <c r="BQ12" s="22">
        <v>48</v>
      </c>
      <c r="BR12" s="24">
        <v>0</v>
      </c>
      <c r="BS12" s="52">
        <v>0</v>
      </c>
    </row>
    <row r="13" spans="1:71" s="3" customFormat="1" x14ac:dyDescent="0.25">
      <c r="A13" s="53"/>
      <c r="B13" s="19" t="s">
        <v>28</v>
      </c>
      <c r="C13" s="20">
        <f t="shared" si="0"/>
        <v>778</v>
      </c>
      <c r="D13" s="24">
        <f t="shared" si="0"/>
        <v>124</v>
      </c>
      <c r="E13" s="52">
        <f t="shared" si="1"/>
        <v>0.18960244648318048</v>
      </c>
      <c r="F13" s="22">
        <v>234</v>
      </c>
      <c r="G13" s="24">
        <v>0</v>
      </c>
      <c r="H13" s="52">
        <v>0</v>
      </c>
      <c r="I13" s="22">
        <v>0</v>
      </c>
      <c r="J13" s="24">
        <v>0</v>
      </c>
      <c r="K13" s="52" t="s">
        <v>103</v>
      </c>
      <c r="L13" s="22">
        <v>0</v>
      </c>
      <c r="M13" s="24">
        <v>0</v>
      </c>
      <c r="N13" s="52" t="s">
        <v>103</v>
      </c>
      <c r="O13" s="22">
        <v>0</v>
      </c>
      <c r="P13" s="24">
        <v>0</v>
      </c>
      <c r="Q13" s="52" t="s">
        <v>103</v>
      </c>
      <c r="R13" s="22">
        <v>0</v>
      </c>
      <c r="S13" s="24">
        <v>0</v>
      </c>
      <c r="T13" s="52" t="s">
        <v>103</v>
      </c>
      <c r="U13" s="22">
        <v>0</v>
      </c>
      <c r="V13" s="24">
        <v>0</v>
      </c>
      <c r="W13" s="52" t="s">
        <v>103</v>
      </c>
      <c r="X13" s="22">
        <v>0</v>
      </c>
      <c r="Y13" s="24">
        <v>0</v>
      </c>
      <c r="Z13" s="52" t="s">
        <v>103</v>
      </c>
      <c r="AA13" s="22">
        <v>234</v>
      </c>
      <c r="AB13" s="24">
        <v>0</v>
      </c>
      <c r="AC13" s="52">
        <v>0</v>
      </c>
      <c r="AD13" s="22">
        <v>0</v>
      </c>
      <c r="AE13" s="24">
        <v>0</v>
      </c>
      <c r="AF13" s="52" t="s">
        <v>103</v>
      </c>
      <c r="AG13" s="22">
        <v>0</v>
      </c>
      <c r="AH13" s="24">
        <v>0</v>
      </c>
      <c r="AI13" s="52" t="s">
        <v>103</v>
      </c>
      <c r="AJ13" s="22">
        <v>0</v>
      </c>
      <c r="AK13" s="24">
        <v>0</v>
      </c>
      <c r="AL13" s="52" t="s">
        <v>103</v>
      </c>
      <c r="AM13" s="22">
        <v>0</v>
      </c>
      <c r="AN13" s="24">
        <v>0</v>
      </c>
      <c r="AO13" s="52" t="s">
        <v>103</v>
      </c>
      <c r="AP13" s="22">
        <v>0</v>
      </c>
      <c r="AQ13" s="24">
        <v>0</v>
      </c>
      <c r="AR13" s="52" t="s">
        <v>103</v>
      </c>
      <c r="AS13" s="22">
        <v>0</v>
      </c>
      <c r="AT13" s="24">
        <v>0</v>
      </c>
      <c r="AU13" s="52" t="s">
        <v>103</v>
      </c>
      <c r="AV13" s="22">
        <v>0</v>
      </c>
      <c r="AW13" s="24">
        <v>0</v>
      </c>
      <c r="AX13" s="52" t="s">
        <v>103</v>
      </c>
      <c r="AY13" s="22">
        <v>0</v>
      </c>
      <c r="AZ13" s="24">
        <v>0</v>
      </c>
      <c r="BA13" s="52" t="s">
        <v>103</v>
      </c>
      <c r="BB13" s="22">
        <v>0</v>
      </c>
      <c r="BC13" s="24">
        <v>0</v>
      </c>
      <c r="BD13" s="52" t="s">
        <v>103</v>
      </c>
      <c r="BE13" s="22">
        <v>0</v>
      </c>
      <c r="BF13" s="24">
        <v>0</v>
      </c>
      <c r="BG13" s="52" t="s">
        <v>103</v>
      </c>
      <c r="BH13" s="22">
        <v>0</v>
      </c>
      <c r="BI13" s="24">
        <v>0</v>
      </c>
      <c r="BJ13" s="52" t="s">
        <v>103</v>
      </c>
      <c r="BK13" s="22">
        <v>500</v>
      </c>
      <c r="BL13" s="24">
        <v>124</v>
      </c>
      <c r="BM13" s="52">
        <v>0.32978723404255317</v>
      </c>
      <c r="BN13" s="22">
        <v>0</v>
      </c>
      <c r="BO13" s="24">
        <v>0</v>
      </c>
      <c r="BP13" s="52" t="s">
        <v>103</v>
      </c>
      <c r="BQ13" s="22">
        <v>44</v>
      </c>
      <c r="BR13" s="24">
        <v>0</v>
      </c>
      <c r="BS13" s="52">
        <v>0</v>
      </c>
    </row>
    <row r="14" spans="1:71" s="3" customFormat="1" x14ac:dyDescent="0.25">
      <c r="A14" s="53"/>
      <c r="B14" s="19" t="s">
        <v>29</v>
      </c>
      <c r="C14" s="20">
        <f t="shared" si="0"/>
        <v>3868</v>
      </c>
      <c r="D14" s="24">
        <f t="shared" si="0"/>
        <v>325</v>
      </c>
      <c r="E14" s="52">
        <f t="shared" si="1"/>
        <v>9.1730172170477076E-2</v>
      </c>
      <c r="F14" s="22">
        <v>986</v>
      </c>
      <c r="G14" s="24">
        <v>0</v>
      </c>
      <c r="H14" s="52">
        <v>0</v>
      </c>
      <c r="I14" s="22">
        <v>0</v>
      </c>
      <c r="J14" s="24">
        <v>0</v>
      </c>
      <c r="K14" s="52" t="s">
        <v>103</v>
      </c>
      <c r="L14" s="22">
        <v>0</v>
      </c>
      <c r="M14" s="24">
        <v>0</v>
      </c>
      <c r="N14" s="52" t="s">
        <v>103</v>
      </c>
      <c r="O14" s="22">
        <v>180</v>
      </c>
      <c r="P14" s="24">
        <v>0</v>
      </c>
      <c r="Q14" s="52">
        <v>0</v>
      </c>
      <c r="R14" s="22">
        <v>806</v>
      </c>
      <c r="S14" s="24">
        <v>0</v>
      </c>
      <c r="T14" s="52">
        <v>0</v>
      </c>
      <c r="U14" s="22">
        <v>0</v>
      </c>
      <c r="V14" s="24">
        <v>0</v>
      </c>
      <c r="W14" s="52" t="s">
        <v>103</v>
      </c>
      <c r="X14" s="22">
        <v>0</v>
      </c>
      <c r="Y14" s="24">
        <v>0</v>
      </c>
      <c r="Z14" s="52" t="s">
        <v>103</v>
      </c>
      <c r="AA14" s="22">
        <v>0</v>
      </c>
      <c r="AB14" s="24">
        <v>0</v>
      </c>
      <c r="AC14" s="52" t="s">
        <v>103</v>
      </c>
      <c r="AD14" s="22">
        <v>0</v>
      </c>
      <c r="AE14" s="24">
        <v>0</v>
      </c>
      <c r="AF14" s="52" t="s">
        <v>103</v>
      </c>
      <c r="AG14" s="22">
        <v>35</v>
      </c>
      <c r="AH14" s="24">
        <v>0</v>
      </c>
      <c r="AI14" s="52">
        <v>0</v>
      </c>
      <c r="AJ14" s="22">
        <v>0</v>
      </c>
      <c r="AK14" s="24">
        <v>0</v>
      </c>
      <c r="AL14" s="52" t="s">
        <v>103</v>
      </c>
      <c r="AM14" s="22">
        <v>30</v>
      </c>
      <c r="AN14" s="24">
        <v>0</v>
      </c>
      <c r="AO14" s="52">
        <v>0</v>
      </c>
      <c r="AP14" s="22">
        <v>0</v>
      </c>
      <c r="AQ14" s="24">
        <v>0</v>
      </c>
      <c r="AR14" s="52" t="s">
        <v>103</v>
      </c>
      <c r="AS14" s="22">
        <v>0</v>
      </c>
      <c r="AT14" s="24">
        <v>0</v>
      </c>
      <c r="AU14" s="52" t="s">
        <v>103</v>
      </c>
      <c r="AV14" s="22">
        <v>0</v>
      </c>
      <c r="AW14" s="24">
        <v>0</v>
      </c>
      <c r="AX14" s="52" t="s">
        <v>103</v>
      </c>
      <c r="AY14" s="22">
        <v>0</v>
      </c>
      <c r="AZ14" s="24">
        <v>0</v>
      </c>
      <c r="BA14" s="52" t="s">
        <v>103</v>
      </c>
      <c r="BB14" s="22">
        <v>0</v>
      </c>
      <c r="BC14" s="24">
        <v>0</v>
      </c>
      <c r="BD14" s="52" t="s">
        <v>103</v>
      </c>
      <c r="BE14" s="22">
        <v>5</v>
      </c>
      <c r="BF14" s="24">
        <v>0</v>
      </c>
      <c r="BG14" s="52">
        <v>0</v>
      </c>
      <c r="BH14" s="22">
        <v>0</v>
      </c>
      <c r="BI14" s="24">
        <v>0</v>
      </c>
      <c r="BJ14" s="52" t="s">
        <v>103</v>
      </c>
      <c r="BK14" s="22">
        <v>2844</v>
      </c>
      <c r="BL14" s="24">
        <v>325</v>
      </c>
      <c r="BM14" s="52">
        <v>0.12901945216355704</v>
      </c>
      <c r="BN14" s="22">
        <v>0</v>
      </c>
      <c r="BO14" s="24">
        <v>0</v>
      </c>
      <c r="BP14" s="52" t="s">
        <v>103</v>
      </c>
      <c r="BQ14" s="22">
        <v>3</v>
      </c>
      <c r="BR14" s="24">
        <v>0</v>
      </c>
      <c r="BS14" s="52">
        <v>0</v>
      </c>
    </row>
    <row r="15" spans="1:71" s="3" customFormat="1" x14ac:dyDescent="0.25">
      <c r="A15" s="53"/>
      <c r="B15" s="19" t="s">
        <v>30</v>
      </c>
      <c r="C15" s="20">
        <f t="shared" si="0"/>
        <v>451</v>
      </c>
      <c r="D15" s="24">
        <f t="shared" si="0"/>
        <v>18</v>
      </c>
      <c r="E15" s="52">
        <f t="shared" si="1"/>
        <v>4.1570438799076292E-2</v>
      </c>
      <c r="F15" s="22">
        <v>0</v>
      </c>
      <c r="G15" s="24">
        <v>0</v>
      </c>
      <c r="H15" s="52" t="s">
        <v>103</v>
      </c>
      <c r="I15" s="22">
        <v>0</v>
      </c>
      <c r="J15" s="24">
        <v>0</v>
      </c>
      <c r="K15" s="52" t="s">
        <v>103</v>
      </c>
      <c r="L15" s="22">
        <v>0</v>
      </c>
      <c r="M15" s="24">
        <v>0</v>
      </c>
      <c r="N15" s="52" t="s">
        <v>103</v>
      </c>
      <c r="O15" s="22">
        <v>0</v>
      </c>
      <c r="P15" s="24">
        <v>0</v>
      </c>
      <c r="Q15" s="52" t="s">
        <v>103</v>
      </c>
      <c r="R15" s="22">
        <v>0</v>
      </c>
      <c r="S15" s="24">
        <v>0</v>
      </c>
      <c r="T15" s="52" t="s">
        <v>103</v>
      </c>
      <c r="U15" s="22">
        <v>0</v>
      </c>
      <c r="V15" s="24">
        <v>0</v>
      </c>
      <c r="W15" s="52" t="s">
        <v>103</v>
      </c>
      <c r="X15" s="22">
        <v>0</v>
      </c>
      <c r="Y15" s="24">
        <v>0</v>
      </c>
      <c r="Z15" s="52" t="s">
        <v>103</v>
      </c>
      <c r="AA15" s="22">
        <v>0</v>
      </c>
      <c r="AB15" s="24">
        <v>0</v>
      </c>
      <c r="AC15" s="52" t="s">
        <v>103</v>
      </c>
      <c r="AD15" s="22">
        <v>0</v>
      </c>
      <c r="AE15" s="24">
        <v>0</v>
      </c>
      <c r="AF15" s="52" t="s">
        <v>103</v>
      </c>
      <c r="AG15" s="22">
        <v>4</v>
      </c>
      <c r="AH15" s="24">
        <v>0</v>
      </c>
      <c r="AI15" s="52">
        <v>0</v>
      </c>
      <c r="AJ15" s="22">
        <v>0</v>
      </c>
      <c r="AK15" s="24">
        <v>0</v>
      </c>
      <c r="AL15" s="52" t="s">
        <v>103</v>
      </c>
      <c r="AM15" s="22">
        <v>0</v>
      </c>
      <c r="AN15" s="24">
        <v>0</v>
      </c>
      <c r="AO15" s="52" t="s">
        <v>103</v>
      </c>
      <c r="AP15" s="22">
        <v>0</v>
      </c>
      <c r="AQ15" s="24">
        <v>0</v>
      </c>
      <c r="AR15" s="52" t="s">
        <v>103</v>
      </c>
      <c r="AS15" s="22">
        <v>0</v>
      </c>
      <c r="AT15" s="24">
        <v>0</v>
      </c>
      <c r="AU15" s="52" t="s">
        <v>103</v>
      </c>
      <c r="AV15" s="22">
        <v>0</v>
      </c>
      <c r="AW15" s="24">
        <v>0</v>
      </c>
      <c r="AX15" s="52" t="s">
        <v>103</v>
      </c>
      <c r="AY15" s="22">
        <v>0</v>
      </c>
      <c r="AZ15" s="24">
        <v>0</v>
      </c>
      <c r="BA15" s="52" t="s">
        <v>103</v>
      </c>
      <c r="BB15" s="22">
        <v>0</v>
      </c>
      <c r="BC15" s="24">
        <v>0</v>
      </c>
      <c r="BD15" s="52" t="s">
        <v>103</v>
      </c>
      <c r="BE15" s="22">
        <v>4</v>
      </c>
      <c r="BF15" s="24">
        <v>0</v>
      </c>
      <c r="BG15" s="52">
        <v>0</v>
      </c>
      <c r="BH15" s="22">
        <v>0</v>
      </c>
      <c r="BI15" s="24">
        <v>0</v>
      </c>
      <c r="BJ15" s="52" t="s">
        <v>103</v>
      </c>
      <c r="BK15" s="22">
        <v>400</v>
      </c>
      <c r="BL15" s="24">
        <v>18</v>
      </c>
      <c r="BM15" s="52">
        <v>4.7120418848167533E-2</v>
      </c>
      <c r="BN15" s="22">
        <v>0</v>
      </c>
      <c r="BO15" s="24">
        <v>0</v>
      </c>
      <c r="BP15" s="52" t="s">
        <v>103</v>
      </c>
      <c r="BQ15" s="22">
        <v>47</v>
      </c>
      <c r="BR15" s="24">
        <v>0</v>
      </c>
      <c r="BS15" s="52">
        <v>0</v>
      </c>
    </row>
    <row r="16" spans="1:71" s="3" customFormat="1" x14ac:dyDescent="0.25">
      <c r="A16" s="53"/>
      <c r="B16" s="19" t="s">
        <v>31</v>
      </c>
      <c r="C16" s="20">
        <f t="shared" si="0"/>
        <v>1324</v>
      </c>
      <c r="D16" s="24">
        <f t="shared" si="0"/>
        <v>168</v>
      </c>
      <c r="E16" s="52">
        <f t="shared" si="1"/>
        <v>0.1453287197231834</v>
      </c>
      <c r="F16" s="22">
        <v>76</v>
      </c>
      <c r="G16" s="24">
        <v>0</v>
      </c>
      <c r="H16" s="52">
        <v>0</v>
      </c>
      <c r="I16" s="22">
        <v>6</v>
      </c>
      <c r="J16" s="24">
        <v>0</v>
      </c>
      <c r="K16" s="52">
        <v>0</v>
      </c>
      <c r="L16" s="22">
        <v>0</v>
      </c>
      <c r="M16" s="24">
        <v>0</v>
      </c>
      <c r="N16" s="52" t="s">
        <v>103</v>
      </c>
      <c r="O16" s="22">
        <v>0</v>
      </c>
      <c r="P16" s="24">
        <v>0</v>
      </c>
      <c r="Q16" s="52" t="s">
        <v>103</v>
      </c>
      <c r="R16" s="22">
        <v>40</v>
      </c>
      <c r="S16" s="24">
        <v>0</v>
      </c>
      <c r="T16" s="52">
        <v>0</v>
      </c>
      <c r="U16" s="22">
        <v>0</v>
      </c>
      <c r="V16" s="24">
        <v>0</v>
      </c>
      <c r="W16" s="52" t="s">
        <v>103</v>
      </c>
      <c r="X16" s="22">
        <v>0</v>
      </c>
      <c r="Y16" s="24">
        <v>0</v>
      </c>
      <c r="Z16" s="52" t="s">
        <v>103</v>
      </c>
      <c r="AA16" s="22">
        <v>0</v>
      </c>
      <c r="AB16" s="24">
        <v>0</v>
      </c>
      <c r="AC16" s="52" t="s">
        <v>103</v>
      </c>
      <c r="AD16" s="22">
        <v>30</v>
      </c>
      <c r="AE16" s="24">
        <v>0</v>
      </c>
      <c r="AF16" s="52">
        <v>0</v>
      </c>
      <c r="AG16" s="22">
        <v>45</v>
      </c>
      <c r="AH16" s="24">
        <v>7</v>
      </c>
      <c r="AI16" s="52">
        <v>0.18421052631578938</v>
      </c>
      <c r="AJ16" s="22">
        <v>0</v>
      </c>
      <c r="AK16" s="24">
        <v>0</v>
      </c>
      <c r="AL16" s="52" t="s">
        <v>103</v>
      </c>
      <c r="AM16" s="22">
        <v>0</v>
      </c>
      <c r="AN16" s="24">
        <v>0</v>
      </c>
      <c r="AO16" s="52" t="s">
        <v>103</v>
      </c>
      <c r="AP16" s="22">
        <v>0</v>
      </c>
      <c r="AQ16" s="24">
        <v>0</v>
      </c>
      <c r="AR16" s="52" t="s">
        <v>103</v>
      </c>
      <c r="AS16" s="22">
        <v>0</v>
      </c>
      <c r="AT16" s="24">
        <v>0</v>
      </c>
      <c r="AU16" s="52" t="s">
        <v>103</v>
      </c>
      <c r="AV16" s="22">
        <v>0</v>
      </c>
      <c r="AW16" s="24">
        <v>0</v>
      </c>
      <c r="AX16" s="52" t="s">
        <v>103</v>
      </c>
      <c r="AY16" s="22">
        <v>0</v>
      </c>
      <c r="AZ16" s="24">
        <v>0</v>
      </c>
      <c r="BA16" s="52" t="s">
        <v>103</v>
      </c>
      <c r="BB16" s="22">
        <v>0</v>
      </c>
      <c r="BC16" s="24">
        <v>0</v>
      </c>
      <c r="BD16" s="52" t="s">
        <v>103</v>
      </c>
      <c r="BE16" s="22">
        <v>41</v>
      </c>
      <c r="BF16" s="24">
        <v>7</v>
      </c>
      <c r="BG16" s="52">
        <v>0.20588235294117641</v>
      </c>
      <c r="BH16" s="22">
        <v>4</v>
      </c>
      <c r="BI16" s="24">
        <v>0</v>
      </c>
      <c r="BJ16" s="52" t="s">
        <v>103</v>
      </c>
      <c r="BK16" s="22">
        <v>1088</v>
      </c>
      <c r="BL16" s="24">
        <v>161</v>
      </c>
      <c r="BM16" s="52">
        <v>0.17367853290183377</v>
      </c>
      <c r="BN16" s="22">
        <v>78</v>
      </c>
      <c r="BO16" s="24">
        <v>0</v>
      </c>
      <c r="BP16" s="52">
        <v>0</v>
      </c>
      <c r="BQ16" s="22">
        <v>37</v>
      </c>
      <c r="BR16" s="24">
        <v>0</v>
      </c>
      <c r="BS16" s="52">
        <v>0</v>
      </c>
    </row>
    <row r="17" spans="1:71" s="3" customFormat="1" x14ac:dyDescent="0.25">
      <c r="B17" s="19" t="s">
        <v>32</v>
      </c>
      <c r="C17" s="20">
        <f t="shared" si="0"/>
        <v>10644</v>
      </c>
      <c r="D17" s="24">
        <f t="shared" si="0"/>
        <v>675</v>
      </c>
      <c r="E17" s="52">
        <f t="shared" si="1"/>
        <v>6.7709900692145553E-2</v>
      </c>
      <c r="F17" s="22">
        <v>930</v>
      </c>
      <c r="G17" s="24">
        <v>0</v>
      </c>
      <c r="H17" s="52">
        <v>0</v>
      </c>
      <c r="I17" s="22">
        <v>54</v>
      </c>
      <c r="J17" s="24">
        <v>0</v>
      </c>
      <c r="K17" s="52">
        <v>0</v>
      </c>
      <c r="L17" s="22">
        <v>84</v>
      </c>
      <c r="M17" s="24">
        <v>0</v>
      </c>
      <c r="N17" s="52">
        <v>0</v>
      </c>
      <c r="O17" s="22">
        <v>472</v>
      </c>
      <c r="P17" s="24">
        <v>0</v>
      </c>
      <c r="Q17" s="52">
        <v>0</v>
      </c>
      <c r="R17" s="22">
        <v>320</v>
      </c>
      <c r="S17" s="24">
        <v>0</v>
      </c>
      <c r="T17" s="52">
        <v>0</v>
      </c>
      <c r="U17" s="22">
        <v>0</v>
      </c>
      <c r="V17" s="24">
        <v>0</v>
      </c>
      <c r="W17" s="52" t="s">
        <v>103</v>
      </c>
      <c r="X17" s="22">
        <v>0</v>
      </c>
      <c r="Y17" s="24">
        <v>0</v>
      </c>
      <c r="Z17" s="52" t="s">
        <v>103</v>
      </c>
      <c r="AA17" s="22">
        <v>0</v>
      </c>
      <c r="AB17" s="24">
        <v>0</v>
      </c>
      <c r="AC17" s="52" t="s">
        <v>103</v>
      </c>
      <c r="AD17" s="22">
        <v>0</v>
      </c>
      <c r="AE17" s="24">
        <v>0</v>
      </c>
      <c r="AF17" s="52" t="s">
        <v>103</v>
      </c>
      <c r="AG17" s="22">
        <v>460</v>
      </c>
      <c r="AH17" s="24">
        <v>0</v>
      </c>
      <c r="AI17" s="52">
        <v>0</v>
      </c>
      <c r="AJ17" s="22">
        <v>124</v>
      </c>
      <c r="AK17" s="24">
        <v>0</v>
      </c>
      <c r="AL17" s="52">
        <v>0</v>
      </c>
      <c r="AM17" s="22">
        <v>211</v>
      </c>
      <c r="AN17" s="24">
        <v>0</v>
      </c>
      <c r="AO17" s="52">
        <v>0</v>
      </c>
      <c r="AP17" s="22">
        <v>0</v>
      </c>
      <c r="AQ17" s="24">
        <v>0</v>
      </c>
      <c r="AR17" s="52" t="s">
        <v>103</v>
      </c>
      <c r="AS17" s="22">
        <v>0</v>
      </c>
      <c r="AT17" s="24">
        <v>0</v>
      </c>
      <c r="AU17" s="52" t="s">
        <v>103</v>
      </c>
      <c r="AV17" s="22">
        <v>0</v>
      </c>
      <c r="AW17" s="24">
        <v>0</v>
      </c>
      <c r="AX17" s="52" t="s">
        <v>103</v>
      </c>
      <c r="AY17" s="22">
        <v>0</v>
      </c>
      <c r="AZ17" s="24">
        <v>0</v>
      </c>
      <c r="BA17" s="52" t="s">
        <v>103</v>
      </c>
      <c r="BB17" s="22">
        <v>0</v>
      </c>
      <c r="BC17" s="24">
        <v>0</v>
      </c>
      <c r="BD17" s="52" t="s">
        <v>103</v>
      </c>
      <c r="BE17" s="22">
        <v>119</v>
      </c>
      <c r="BF17" s="24">
        <v>0</v>
      </c>
      <c r="BG17" s="52">
        <v>0</v>
      </c>
      <c r="BH17" s="22">
        <v>6</v>
      </c>
      <c r="BI17" s="24">
        <v>0</v>
      </c>
      <c r="BJ17" s="52" t="s">
        <v>103</v>
      </c>
      <c r="BK17" s="22">
        <v>9149</v>
      </c>
      <c r="BL17" s="24">
        <v>679</v>
      </c>
      <c r="BM17" s="52">
        <v>8.0165289256198369E-2</v>
      </c>
      <c r="BN17" s="22">
        <v>42</v>
      </c>
      <c r="BO17" s="24">
        <v>0</v>
      </c>
      <c r="BP17" s="52">
        <v>0</v>
      </c>
      <c r="BQ17" s="22">
        <v>63</v>
      </c>
      <c r="BR17" s="24">
        <v>-4</v>
      </c>
      <c r="BS17" s="52">
        <v>-5.9701492537313383E-2</v>
      </c>
    </row>
    <row r="18" spans="1:71" s="3" customFormat="1" x14ac:dyDescent="0.25">
      <c r="B18" s="19" t="s">
        <v>33</v>
      </c>
      <c r="C18" s="20">
        <f t="shared" si="0"/>
        <v>475</v>
      </c>
      <c r="D18" s="24">
        <f t="shared" si="0"/>
        <v>66</v>
      </c>
      <c r="E18" s="52">
        <f t="shared" si="1"/>
        <v>0.1613691931540342</v>
      </c>
      <c r="F18" s="22">
        <v>0</v>
      </c>
      <c r="G18" s="24">
        <v>0</v>
      </c>
      <c r="H18" s="52" t="s">
        <v>103</v>
      </c>
      <c r="I18" s="22">
        <v>0</v>
      </c>
      <c r="J18" s="24">
        <v>0</v>
      </c>
      <c r="K18" s="52" t="s">
        <v>103</v>
      </c>
      <c r="L18" s="22">
        <v>0</v>
      </c>
      <c r="M18" s="24">
        <v>0</v>
      </c>
      <c r="N18" s="52" t="s">
        <v>103</v>
      </c>
      <c r="O18" s="22">
        <v>0</v>
      </c>
      <c r="P18" s="24">
        <v>0</v>
      </c>
      <c r="Q18" s="52" t="s">
        <v>103</v>
      </c>
      <c r="R18" s="22">
        <v>0</v>
      </c>
      <c r="S18" s="24">
        <v>0</v>
      </c>
      <c r="T18" s="52" t="s">
        <v>103</v>
      </c>
      <c r="U18" s="22">
        <v>0</v>
      </c>
      <c r="V18" s="24">
        <v>0</v>
      </c>
      <c r="W18" s="52" t="s">
        <v>103</v>
      </c>
      <c r="X18" s="22">
        <v>0</v>
      </c>
      <c r="Y18" s="24">
        <v>0</v>
      </c>
      <c r="Z18" s="52" t="s">
        <v>103</v>
      </c>
      <c r="AA18" s="22">
        <v>0</v>
      </c>
      <c r="AB18" s="24">
        <v>0</v>
      </c>
      <c r="AC18" s="52" t="s">
        <v>103</v>
      </c>
      <c r="AD18" s="22">
        <v>0</v>
      </c>
      <c r="AE18" s="24">
        <v>0</v>
      </c>
      <c r="AF18" s="52" t="s">
        <v>103</v>
      </c>
      <c r="AG18" s="22">
        <v>0</v>
      </c>
      <c r="AH18" s="24">
        <v>0</v>
      </c>
      <c r="AI18" s="52" t="s">
        <v>103</v>
      </c>
      <c r="AJ18" s="22">
        <v>0</v>
      </c>
      <c r="AK18" s="24">
        <v>0</v>
      </c>
      <c r="AL18" s="52" t="s">
        <v>103</v>
      </c>
      <c r="AM18" s="22">
        <v>0</v>
      </c>
      <c r="AN18" s="24">
        <v>0</v>
      </c>
      <c r="AO18" s="52" t="s">
        <v>103</v>
      </c>
      <c r="AP18" s="22">
        <v>0</v>
      </c>
      <c r="AQ18" s="24">
        <v>0</v>
      </c>
      <c r="AR18" s="52" t="s">
        <v>103</v>
      </c>
      <c r="AS18" s="22">
        <v>0</v>
      </c>
      <c r="AT18" s="24">
        <v>0</v>
      </c>
      <c r="AU18" s="52" t="s">
        <v>103</v>
      </c>
      <c r="AV18" s="22">
        <v>0</v>
      </c>
      <c r="AW18" s="24">
        <v>0</v>
      </c>
      <c r="AX18" s="52" t="s">
        <v>103</v>
      </c>
      <c r="AY18" s="22">
        <v>0</v>
      </c>
      <c r="AZ18" s="24">
        <v>0</v>
      </c>
      <c r="BA18" s="52" t="s">
        <v>103</v>
      </c>
      <c r="BB18" s="22">
        <v>0</v>
      </c>
      <c r="BC18" s="24">
        <v>0</v>
      </c>
      <c r="BD18" s="52" t="s">
        <v>103</v>
      </c>
      <c r="BE18" s="22">
        <v>0</v>
      </c>
      <c r="BF18" s="24">
        <v>0</v>
      </c>
      <c r="BG18" s="52" t="s">
        <v>103</v>
      </c>
      <c r="BH18" s="22">
        <v>0</v>
      </c>
      <c r="BI18" s="24">
        <v>0</v>
      </c>
      <c r="BJ18" s="52" t="s">
        <v>103</v>
      </c>
      <c r="BK18" s="22">
        <v>471</v>
      </c>
      <c r="BL18" s="24">
        <v>66</v>
      </c>
      <c r="BM18" s="52">
        <v>0.16296296296296298</v>
      </c>
      <c r="BN18" s="22">
        <v>0</v>
      </c>
      <c r="BO18" s="24">
        <v>0</v>
      </c>
      <c r="BP18" s="52" t="s">
        <v>103</v>
      </c>
      <c r="BQ18" s="22">
        <v>4</v>
      </c>
      <c r="BR18" s="24">
        <v>0</v>
      </c>
      <c r="BS18" s="52">
        <v>0</v>
      </c>
    </row>
    <row r="19" spans="1:71" s="3" customFormat="1" x14ac:dyDescent="0.25">
      <c r="B19" s="19" t="s">
        <v>34</v>
      </c>
      <c r="C19" s="20">
        <f t="shared" si="0"/>
        <v>7978</v>
      </c>
      <c r="D19" s="24">
        <f t="shared" si="0"/>
        <v>497</v>
      </c>
      <c r="E19" s="52">
        <f t="shared" si="1"/>
        <v>6.6434968587087306E-2</v>
      </c>
      <c r="F19" s="22">
        <v>3177</v>
      </c>
      <c r="G19" s="24">
        <v>0</v>
      </c>
      <c r="H19" s="52">
        <v>0</v>
      </c>
      <c r="I19" s="22">
        <v>81</v>
      </c>
      <c r="J19" s="24">
        <v>0</v>
      </c>
      <c r="K19" s="52">
        <v>0</v>
      </c>
      <c r="L19" s="22">
        <v>6</v>
      </c>
      <c r="M19" s="24">
        <v>0</v>
      </c>
      <c r="N19" s="52">
        <v>0</v>
      </c>
      <c r="O19" s="22">
        <v>286</v>
      </c>
      <c r="P19" s="24">
        <v>0</v>
      </c>
      <c r="Q19" s="52">
        <v>0</v>
      </c>
      <c r="R19" s="22">
        <v>624</v>
      </c>
      <c r="S19" s="24">
        <v>0</v>
      </c>
      <c r="T19" s="52">
        <v>0</v>
      </c>
      <c r="U19" s="22">
        <v>0</v>
      </c>
      <c r="V19" s="24">
        <v>0</v>
      </c>
      <c r="W19" s="52" t="s">
        <v>103</v>
      </c>
      <c r="X19" s="22">
        <v>1218</v>
      </c>
      <c r="Y19" s="24">
        <v>0</v>
      </c>
      <c r="Z19" s="52">
        <v>0</v>
      </c>
      <c r="AA19" s="22">
        <v>962</v>
      </c>
      <c r="AB19" s="24">
        <v>0</v>
      </c>
      <c r="AC19" s="52">
        <v>0</v>
      </c>
      <c r="AD19" s="22">
        <v>0</v>
      </c>
      <c r="AE19" s="24">
        <v>0</v>
      </c>
      <c r="AF19" s="52" t="s">
        <v>103</v>
      </c>
      <c r="AG19" s="22">
        <v>700</v>
      </c>
      <c r="AH19" s="24">
        <v>0</v>
      </c>
      <c r="AI19" s="52">
        <v>0</v>
      </c>
      <c r="AJ19" s="22">
        <v>0</v>
      </c>
      <c r="AK19" s="24">
        <v>0</v>
      </c>
      <c r="AL19" s="52" t="s">
        <v>103</v>
      </c>
      <c r="AM19" s="22">
        <v>0</v>
      </c>
      <c r="AN19" s="24">
        <v>0</v>
      </c>
      <c r="AO19" s="52" t="s">
        <v>103</v>
      </c>
      <c r="AP19" s="22">
        <v>0</v>
      </c>
      <c r="AQ19" s="24">
        <v>0</v>
      </c>
      <c r="AR19" s="52" t="s">
        <v>103</v>
      </c>
      <c r="AS19" s="22">
        <v>0</v>
      </c>
      <c r="AT19" s="24">
        <v>0</v>
      </c>
      <c r="AU19" s="52" t="s">
        <v>103</v>
      </c>
      <c r="AV19" s="22">
        <v>0</v>
      </c>
      <c r="AW19" s="24">
        <v>0</v>
      </c>
      <c r="AX19" s="52" t="s">
        <v>103</v>
      </c>
      <c r="AY19" s="22">
        <v>0</v>
      </c>
      <c r="AZ19" s="24">
        <v>0</v>
      </c>
      <c r="BA19" s="52" t="s">
        <v>103</v>
      </c>
      <c r="BB19" s="22">
        <v>700</v>
      </c>
      <c r="BC19" s="24">
        <v>0</v>
      </c>
      <c r="BD19" s="52">
        <v>0</v>
      </c>
      <c r="BE19" s="22">
        <v>0</v>
      </c>
      <c r="BF19" s="24">
        <v>0</v>
      </c>
      <c r="BG19" s="52" t="s">
        <v>103</v>
      </c>
      <c r="BH19" s="22">
        <v>0</v>
      </c>
      <c r="BI19" s="24">
        <v>0</v>
      </c>
      <c r="BJ19" s="52" t="s">
        <v>103</v>
      </c>
      <c r="BK19" s="22">
        <v>4027</v>
      </c>
      <c r="BL19" s="24">
        <v>497</v>
      </c>
      <c r="BM19" s="52">
        <v>0.14079320113314453</v>
      </c>
      <c r="BN19" s="22">
        <v>15</v>
      </c>
      <c r="BO19" s="24">
        <v>0</v>
      </c>
      <c r="BP19" s="52">
        <v>0</v>
      </c>
      <c r="BQ19" s="22">
        <v>59</v>
      </c>
      <c r="BR19" s="24">
        <v>0</v>
      </c>
      <c r="BS19" s="52">
        <v>0</v>
      </c>
    </row>
    <row r="20" spans="1:71" s="3" customFormat="1" x14ac:dyDescent="0.25">
      <c r="B20" s="19" t="s">
        <v>35</v>
      </c>
      <c r="C20" s="20">
        <f t="shared" si="0"/>
        <v>2313</v>
      </c>
      <c r="D20" s="24">
        <f t="shared" si="0"/>
        <v>63</v>
      </c>
      <c r="E20" s="52">
        <f t="shared" si="1"/>
        <v>2.8000000000000025E-2</v>
      </c>
      <c r="F20" s="22">
        <v>8</v>
      </c>
      <c r="G20" s="24">
        <v>0</v>
      </c>
      <c r="H20" s="52">
        <v>0</v>
      </c>
      <c r="I20" s="22">
        <v>0</v>
      </c>
      <c r="J20" s="24">
        <v>0</v>
      </c>
      <c r="K20" s="52" t="s">
        <v>103</v>
      </c>
      <c r="L20" s="22">
        <v>0</v>
      </c>
      <c r="M20" s="24">
        <v>0</v>
      </c>
      <c r="N20" s="52" t="s">
        <v>103</v>
      </c>
      <c r="O20" s="22">
        <v>0</v>
      </c>
      <c r="P20" s="24">
        <v>0</v>
      </c>
      <c r="Q20" s="52" t="s">
        <v>103</v>
      </c>
      <c r="R20" s="22">
        <v>0</v>
      </c>
      <c r="S20" s="24">
        <v>0</v>
      </c>
      <c r="T20" s="52" t="s">
        <v>103</v>
      </c>
      <c r="U20" s="22">
        <v>0</v>
      </c>
      <c r="V20" s="24">
        <v>0</v>
      </c>
      <c r="W20" s="52" t="s">
        <v>103</v>
      </c>
      <c r="X20" s="22">
        <v>0</v>
      </c>
      <c r="Y20" s="24">
        <v>0</v>
      </c>
      <c r="Z20" s="52" t="s">
        <v>103</v>
      </c>
      <c r="AA20" s="22">
        <v>0</v>
      </c>
      <c r="AB20" s="24">
        <v>0</v>
      </c>
      <c r="AC20" s="52" t="s">
        <v>103</v>
      </c>
      <c r="AD20" s="22">
        <v>8</v>
      </c>
      <c r="AE20" s="24">
        <v>0</v>
      </c>
      <c r="AF20" s="52">
        <v>0</v>
      </c>
      <c r="AG20" s="22">
        <v>8</v>
      </c>
      <c r="AH20" s="24">
        <v>0</v>
      </c>
      <c r="AI20" s="52">
        <v>0</v>
      </c>
      <c r="AJ20" s="22">
        <v>0</v>
      </c>
      <c r="AK20" s="24">
        <v>0</v>
      </c>
      <c r="AL20" s="52" t="s">
        <v>103</v>
      </c>
      <c r="AM20" s="22">
        <v>0</v>
      </c>
      <c r="AN20" s="24">
        <v>0</v>
      </c>
      <c r="AO20" s="52" t="s">
        <v>103</v>
      </c>
      <c r="AP20" s="22">
        <v>0</v>
      </c>
      <c r="AQ20" s="24">
        <v>0</v>
      </c>
      <c r="AR20" s="52" t="s">
        <v>103</v>
      </c>
      <c r="AS20" s="22">
        <v>0</v>
      </c>
      <c r="AT20" s="24">
        <v>0</v>
      </c>
      <c r="AU20" s="52" t="s">
        <v>103</v>
      </c>
      <c r="AV20" s="22">
        <v>0</v>
      </c>
      <c r="AW20" s="24">
        <v>0</v>
      </c>
      <c r="AX20" s="52" t="s">
        <v>103</v>
      </c>
      <c r="AY20" s="22">
        <v>0</v>
      </c>
      <c r="AZ20" s="24">
        <v>0</v>
      </c>
      <c r="BA20" s="52" t="s">
        <v>103</v>
      </c>
      <c r="BB20" s="22">
        <v>0</v>
      </c>
      <c r="BC20" s="24">
        <v>0</v>
      </c>
      <c r="BD20" s="52" t="s">
        <v>103</v>
      </c>
      <c r="BE20" s="22">
        <v>8</v>
      </c>
      <c r="BF20" s="24">
        <v>0</v>
      </c>
      <c r="BG20" s="52">
        <v>0</v>
      </c>
      <c r="BH20" s="22">
        <v>0</v>
      </c>
      <c r="BI20" s="24">
        <v>0</v>
      </c>
      <c r="BJ20" s="52" t="s">
        <v>103</v>
      </c>
      <c r="BK20" s="22">
        <v>2189</v>
      </c>
      <c r="BL20" s="24">
        <v>51</v>
      </c>
      <c r="BM20" s="52">
        <v>2.385406922357336E-2</v>
      </c>
      <c r="BN20" s="22">
        <v>81</v>
      </c>
      <c r="BO20" s="24">
        <v>0</v>
      </c>
      <c r="BP20" s="52">
        <v>0</v>
      </c>
      <c r="BQ20" s="22">
        <v>27</v>
      </c>
      <c r="BR20" s="24">
        <v>12</v>
      </c>
      <c r="BS20" s="52">
        <v>0.8</v>
      </c>
    </row>
    <row r="21" spans="1:71" s="3" customFormat="1" x14ac:dyDescent="0.25">
      <c r="B21" s="19" t="s">
        <v>36</v>
      </c>
      <c r="C21" s="20">
        <f t="shared" si="0"/>
        <v>3718</v>
      </c>
      <c r="D21" s="24">
        <f t="shared" si="0"/>
        <v>444</v>
      </c>
      <c r="E21" s="52">
        <f t="shared" si="1"/>
        <v>0.13561392791692128</v>
      </c>
      <c r="F21" s="22">
        <v>36</v>
      </c>
      <c r="G21" s="24">
        <v>0</v>
      </c>
      <c r="H21" s="52">
        <v>0</v>
      </c>
      <c r="I21" s="22">
        <v>0</v>
      </c>
      <c r="J21" s="24">
        <v>0</v>
      </c>
      <c r="K21" s="52" t="s">
        <v>103</v>
      </c>
      <c r="L21" s="22">
        <v>0</v>
      </c>
      <c r="M21" s="24">
        <v>0</v>
      </c>
      <c r="N21" s="52" t="s">
        <v>103</v>
      </c>
      <c r="O21" s="22">
        <v>8</v>
      </c>
      <c r="P21" s="24">
        <v>0</v>
      </c>
      <c r="Q21" s="52">
        <v>0</v>
      </c>
      <c r="R21" s="22">
        <v>0</v>
      </c>
      <c r="S21" s="24">
        <v>0</v>
      </c>
      <c r="T21" s="52" t="s">
        <v>103</v>
      </c>
      <c r="U21" s="22">
        <v>0</v>
      </c>
      <c r="V21" s="24">
        <v>0</v>
      </c>
      <c r="W21" s="52" t="s">
        <v>103</v>
      </c>
      <c r="X21" s="22">
        <v>0</v>
      </c>
      <c r="Y21" s="24">
        <v>0</v>
      </c>
      <c r="Z21" s="52" t="s">
        <v>103</v>
      </c>
      <c r="AA21" s="22">
        <v>0</v>
      </c>
      <c r="AB21" s="24">
        <v>0</v>
      </c>
      <c r="AC21" s="52" t="s">
        <v>103</v>
      </c>
      <c r="AD21" s="22">
        <v>28</v>
      </c>
      <c r="AE21" s="24">
        <v>0</v>
      </c>
      <c r="AF21" s="52">
        <v>0</v>
      </c>
      <c r="AG21" s="22">
        <v>19</v>
      </c>
      <c r="AH21" s="24">
        <v>0</v>
      </c>
      <c r="AI21" s="52">
        <v>0</v>
      </c>
      <c r="AJ21" s="22">
        <v>0</v>
      </c>
      <c r="AK21" s="24">
        <v>0</v>
      </c>
      <c r="AL21" s="52" t="s">
        <v>103</v>
      </c>
      <c r="AM21" s="22">
        <v>0</v>
      </c>
      <c r="AN21" s="24">
        <v>0</v>
      </c>
      <c r="AO21" s="52" t="s">
        <v>103</v>
      </c>
      <c r="AP21" s="22">
        <v>0</v>
      </c>
      <c r="AQ21" s="24">
        <v>0</v>
      </c>
      <c r="AR21" s="52" t="s">
        <v>103</v>
      </c>
      <c r="AS21" s="22">
        <v>0</v>
      </c>
      <c r="AT21" s="24">
        <v>0</v>
      </c>
      <c r="AU21" s="52" t="s">
        <v>103</v>
      </c>
      <c r="AV21" s="22">
        <v>0</v>
      </c>
      <c r="AW21" s="24">
        <v>0</v>
      </c>
      <c r="AX21" s="52" t="s">
        <v>103</v>
      </c>
      <c r="AY21" s="22">
        <v>0</v>
      </c>
      <c r="AZ21" s="24">
        <v>0</v>
      </c>
      <c r="BA21" s="52" t="s">
        <v>103</v>
      </c>
      <c r="BB21" s="22">
        <v>0</v>
      </c>
      <c r="BC21" s="24">
        <v>0</v>
      </c>
      <c r="BD21" s="52" t="s">
        <v>103</v>
      </c>
      <c r="BE21" s="22">
        <v>19</v>
      </c>
      <c r="BF21" s="24">
        <v>0</v>
      </c>
      <c r="BG21" s="52">
        <v>0</v>
      </c>
      <c r="BH21" s="22">
        <v>0</v>
      </c>
      <c r="BI21" s="24">
        <v>0</v>
      </c>
      <c r="BJ21" s="52" t="s">
        <v>103</v>
      </c>
      <c r="BK21" s="22">
        <v>3541</v>
      </c>
      <c r="BL21" s="24">
        <v>444</v>
      </c>
      <c r="BM21" s="52">
        <v>0.14336454633516316</v>
      </c>
      <c r="BN21" s="22">
        <v>0</v>
      </c>
      <c r="BO21" s="24">
        <v>0</v>
      </c>
      <c r="BP21" s="52" t="s">
        <v>103</v>
      </c>
      <c r="BQ21" s="22">
        <v>122</v>
      </c>
      <c r="BR21" s="24">
        <v>0</v>
      </c>
      <c r="BS21" s="52">
        <v>0</v>
      </c>
    </row>
    <row r="22" spans="1:71" s="3" customFormat="1" x14ac:dyDescent="0.25">
      <c r="B22" s="19" t="s">
        <v>37</v>
      </c>
      <c r="C22" s="20">
        <f t="shared" si="0"/>
        <v>6583</v>
      </c>
      <c r="D22" s="24">
        <f t="shared" si="0"/>
        <v>481</v>
      </c>
      <c r="E22" s="52">
        <f t="shared" si="1"/>
        <v>7.8826614224844382E-2</v>
      </c>
      <c r="F22" s="22">
        <v>1196</v>
      </c>
      <c r="G22" s="24">
        <v>42</v>
      </c>
      <c r="H22" s="52">
        <v>3.6395147313691423E-2</v>
      </c>
      <c r="I22" s="22">
        <v>164</v>
      </c>
      <c r="J22" s="24">
        <v>0</v>
      </c>
      <c r="K22" s="52">
        <v>0</v>
      </c>
      <c r="L22" s="22">
        <v>46</v>
      </c>
      <c r="M22" s="24">
        <v>0</v>
      </c>
      <c r="N22" s="52">
        <v>0</v>
      </c>
      <c r="O22" s="22">
        <v>322</v>
      </c>
      <c r="P22" s="24">
        <v>0</v>
      </c>
      <c r="Q22" s="52">
        <v>0</v>
      </c>
      <c r="R22" s="22">
        <v>612</v>
      </c>
      <c r="S22" s="24">
        <v>0</v>
      </c>
      <c r="T22" s="52">
        <v>0</v>
      </c>
      <c r="U22" s="22">
        <v>0</v>
      </c>
      <c r="V22" s="24">
        <v>0</v>
      </c>
      <c r="W22" s="52" t="s">
        <v>103</v>
      </c>
      <c r="X22" s="22">
        <v>0</v>
      </c>
      <c r="Y22" s="24">
        <v>0</v>
      </c>
      <c r="Z22" s="52" t="s">
        <v>103</v>
      </c>
      <c r="AA22" s="22">
        <v>0</v>
      </c>
      <c r="AB22" s="24">
        <v>0</v>
      </c>
      <c r="AC22" s="52" t="s">
        <v>103</v>
      </c>
      <c r="AD22" s="22">
        <v>10</v>
      </c>
      <c r="AE22" s="24">
        <v>0</v>
      </c>
      <c r="AF22" s="52">
        <v>0</v>
      </c>
      <c r="AG22" s="22">
        <v>267</v>
      </c>
      <c r="AH22" s="24">
        <v>26</v>
      </c>
      <c r="AI22" s="52">
        <v>0.10788381742738595</v>
      </c>
      <c r="AJ22" s="22">
        <v>197</v>
      </c>
      <c r="AK22" s="24">
        <v>0</v>
      </c>
      <c r="AL22" s="52">
        <v>0</v>
      </c>
      <c r="AM22" s="22">
        <v>0</v>
      </c>
      <c r="AN22" s="24">
        <v>0</v>
      </c>
      <c r="AO22" s="52" t="s">
        <v>103</v>
      </c>
      <c r="AP22" s="22">
        <v>0</v>
      </c>
      <c r="AQ22" s="24">
        <v>0</v>
      </c>
      <c r="AR22" s="52" t="s">
        <v>103</v>
      </c>
      <c r="AS22" s="22">
        <v>0</v>
      </c>
      <c r="AT22" s="24">
        <v>0</v>
      </c>
      <c r="AU22" s="52" t="s">
        <v>103</v>
      </c>
      <c r="AV22" s="22">
        <v>0</v>
      </c>
      <c r="AW22" s="24">
        <v>0</v>
      </c>
      <c r="AX22" s="52" t="s">
        <v>103</v>
      </c>
      <c r="AY22" s="22">
        <v>0</v>
      </c>
      <c r="AZ22" s="24">
        <v>0</v>
      </c>
      <c r="BA22" s="52" t="s">
        <v>103</v>
      </c>
      <c r="BB22" s="22">
        <v>0</v>
      </c>
      <c r="BC22" s="24">
        <v>0</v>
      </c>
      <c r="BD22" s="52" t="s">
        <v>103</v>
      </c>
      <c r="BE22" s="22">
        <v>64</v>
      </c>
      <c r="BF22" s="24">
        <v>26</v>
      </c>
      <c r="BG22" s="52">
        <v>0.68421052631578938</v>
      </c>
      <c r="BH22" s="22">
        <v>6</v>
      </c>
      <c r="BI22" s="24">
        <v>0</v>
      </c>
      <c r="BJ22" s="52" t="s">
        <v>103</v>
      </c>
      <c r="BK22" s="22">
        <v>5016</v>
      </c>
      <c r="BL22" s="24">
        <v>413</v>
      </c>
      <c r="BM22" s="52">
        <v>8.9724092982837345E-2</v>
      </c>
      <c r="BN22" s="22">
        <v>22</v>
      </c>
      <c r="BO22" s="24">
        <v>0</v>
      </c>
      <c r="BP22" s="52">
        <v>0</v>
      </c>
      <c r="BQ22" s="22">
        <v>82</v>
      </c>
      <c r="BR22" s="24">
        <v>0</v>
      </c>
      <c r="BS22" s="52">
        <v>0</v>
      </c>
    </row>
    <row r="23" spans="1:71" s="3" customFormat="1" x14ac:dyDescent="0.25">
      <c r="B23" s="19" t="s">
        <v>38</v>
      </c>
      <c r="C23" s="20">
        <f t="shared" si="0"/>
        <v>1032</v>
      </c>
      <c r="D23" s="24">
        <f t="shared" si="0"/>
        <v>104</v>
      </c>
      <c r="E23" s="52">
        <f t="shared" si="1"/>
        <v>0.11206896551724133</v>
      </c>
      <c r="F23" s="22">
        <v>0</v>
      </c>
      <c r="G23" s="24">
        <v>0</v>
      </c>
      <c r="H23" s="52" t="s">
        <v>103</v>
      </c>
      <c r="I23" s="22">
        <v>0</v>
      </c>
      <c r="J23" s="24">
        <v>0</v>
      </c>
      <c r="K23" s="52" t="s">
        <v>103</v>
      </c>
      <c r="L23" s="22">
        <v>0</v>
      </c>
      <c r="M23" s="24">
        <v>0</v>
      </c>
      <c r="N23" s="52" t="s">
        <v>103</v>
      </c>
      <c r="O23" s="22">
        <v>0</v>
      </c>
      <c r="P23" s="24">
        <v>0</v>
      </c>
      <c r="Q23" s="52" t="s">
        <v>103</v>
      </c>
      <c r="R23" s="22">
        <v>0</v>
      </c>
      <c r="S23" s="24">
        <v>0</v>
      </c>
      <c r="T23" s="52" t="s">
        <v>103</v>
      </c>
      <c r="U23" s="22">
        <v>0</v>
      </c>
      <c r="V23" s="24">
        <v>0</v>
      </c>
      <c r="W23" s="52" t="s">
        <v>103</v>
      </c>
      <c r="X23" s="22">
        <v>0</v>
      </c>
      <c r="Y23" s="24">
        <v>0</v>
      </c>
      <c r="Z23" s="52" t="s">
        <v>103</v>
      </c>
      <c r="AA23" s="22">
        <v>0</v>
      </c>
      <c r="AB23" s="24">
        <v>0</v>
      </c>
      <c r="AC23" s="52" t="s">
        <v>103</v>
      </c>
      <c r="AD23" s="22">
        <v>0</v>
      </c>
      <c r="AE23" s="24">
        <v>0</v>
      </c>
      <c r="AF23" s="52" t="s">
        <v>103</v>
      </c>
      <c r="AG23" s="22">
        <v>0</v>
      </c>
      <c r="AH23" s="24">
        <v>0</v>
      </c>
      <c r="AI23" s="52" t="s">
        <v>103</v>
      </c>
      <c r="AJ23" s="22">
        <v>0</v>
      </c>
      <c r="AK23" s="24">
        <v>0</v>
      </c>
      <c r="AL23" s="52" t="s">
        <v>103</v>
      </c>
      <c r="AM23" s="22">
        <v>0</v>
      </c>
      <c r="AN23" s="24">
        <v>0</v>
      </c>
      <c r="AO23" s="52" t="s">
        <v>103</v>
      </c>
      <c r="AP23" s="22">
        <v>0</v>
      </c>
      <c r="AQ23" s="24">
        <v>0</v>
      </c>
      <c r="AR23" s="52" t="s">
        <v>103</v>
      </c>
      <c r="AS23" s="22">
        <v>0</v>
      </c>
      <c r="AT23" s="24">
        <v>0</v>
      </c>
      <c r="AU23" s="52" t="s">
        <v>103</v>
      </c>
      <c r="AV23" s="22">
        <v>0</v>
      </c>
      <c r="AW23" s="24">
        <v>0</v>
      </c>
      <c r="AX23" s="52" t="s">
        <v>103</v>
      </c>
      <c r="AY23" s="22">
        <v>0</v>
      </c>
      <c r="AZ23" s="24">
        <v>0</v>
      </c>
      <c r="BA23" s="52" t="s">
        <v>103</v>
      </c>
      <c r="BB23" s="22">
        <v>0</v>
      </c>
      <c r="BC23" s="24">
        <v>0</v>
      </c>
      <c r="BD23" s="52" t="s">
        <v>103</v>
      </c>
      <c r="BE23" s="22">
        <v>0</v>
      </c>
      <c r="BF23" s="24">
        <v>0</v>
      </c>
      <c r="BG23" s="52" t="s">
        <v>103</v>
      </c>
      <c r="BH23" s="22">
        <v>0</v>
      </c>
      <c r="BI23" s="24">
        <v>0</v>
      </c>
      <c r="BJ23" s="52" t="s">
        <v>103</v>
      </c>
      <c r="BK23" s="22">
        <v>1006</v>
      </c>
      <c r="BL23" s="24">
        <v>104</v>
      </c>
      <c r="BM23" s="52">
        <v>0.11529933481152987</v>
      </c>
      <c r="BN23" s="22">
        <v>0</v>
      </c>
      <c r="BO23" s="24">
        <v>0</v>
      </c>
      <c r="BP23" s="52" t="s">
        <v>103</v>
      </c>
      <c r="BQ23" s="22">
        <v>26</v>
      </c>
      <c r="BR23" s="24">
        <v>0</v>
      </c>
      <c r="BS23" s="52">
        <v>0</v>
      </c>
    </row>
    <row r="24" spans="1:71" s="3" customFormat="1" x14ac:dyDescent="0.25">
      <c r="B24" s="19" t="s">
        <v>39</v>
      </c>
      <c r="C24" s="20">
        <f t="shared" si="0"/>
        <v>2445</v>
      </c>
      <c r="D24" s="24">
        <f t="shared" si="0"/>
        <v>343</v>
      </c>
      <c r="E24" s="52">
        <f t="shared" si="1"/>
        <v>0.16317792578496659</v>
      </c>
      <c r="F24" s="22">
        <v>111</v>
      </c>
      <c r="G24" s="24">
        <v>0</v>
      </c>
      <c r="H24" s="52">
        <v>0</v>
      </c>
      <c r="I24" s="22">
        <v>8</v>
      </c>
      <c r="J24" s="24">
        <v>0</v>
      </c>
      <c r="K24" s="52">
        <v>0</v>
      </c>
      <c r="L24" s="22">
        <v>15</v>
      </c>
      <c r="M24" s="24">
        <v>0</v>
      </c>
      <c r="N24" s="52">
        <v>0</v>
      </c>
      <c r="O24" s="22">
        <v>74</v>
      </c>
      <c r="P24" s="24">
        <v>0</v>
      </c>
      <c r="Q24" s="52">
        <v>0</v>
      </c>
      <c r="R24" s="22">
        <v>0</v>
      </c>
      <c r="S24" s="24">
        <v>0</v>
      </c>
      <c r="T24" s="52" t="s">
        <v>103</v>
      </c>
      <c r="U24" s="22">
        <v>0</v>
      </c>
      <c r="V24" s="24">
        <v>0</v>
      </c>
      <c r="W24" s="52" t="s">
        <v>103</v>
      </c>
      <c r="X24" s="22">
        <v>0</v>
      </c>
      <c r="Y24" s="24">
        <v>0</v>
      </c>
      <c r="Z24" s="52" t="s">
        <v>103</v>
      </c>
      <c r="AA24" s="22">
        <v>0</v>
      </c>
      <c r="AB24" s="24">
        <v>0</v>
      </c>
      <c r="AC24" s="52" t="s">
        <v>103</v>
      </c>
      <c r="AD24" s="22">
        <v>14</v>
      </c>
      <c r="AE24" s="24">
        <v>0</v>
      </c>
      <c r="AF24" s="52">
        <v>0</v>
      </c>
      <c r="AG24" s="22">
        <v>48</v>
      </c>
      <c r="AH24" s="24">
        <v>0</v>
      </c>
      <c r="AI24" s="52">
        <v>0</v>
      </c>
      <c r="AJ24" s="22">
        <v>30</v>
      </c>
      <c r="AK24" s="24">
        <v>0</v>
      </c>
      <c r="AL24" s="52">
        <v>0</v>
      </c>
      <c r="AM24" s="22">
        <v>0</v>
      </c>
      <c r="AN24" s="24">
        <v>0</v>
      </c>
      <c r="AO24" s="52" t="s">
        <v>103</v>
      </c>
      <c r="AP24" s="22">
        <v>0</v>
      </c>
      <c r="AQ24" s="24">
        <v>0</v>
      </c>
      <c r="AR24" s="52" t="s">
        <v>103</v>
      </c>
      <c r="AS24" s="22">
        <v>0</v>
      </c>
      <c r="AT24" s="24">
        <v>0</v>
      </c>
      <c r="AU24" s="52" t="s">
        <v>103</v>
      </c>
      <c r="AV24" s="22">
        <v>0</v>
      </c>
      <c r="AW24" s="24">
        <v>0</v>
      </c>
      <c r="AX24" s="52" t="s">
        <v>103</v>
      </c>
      <c r="AY24" s="22">
        <v>0</v>
      </c>
      <c r="AZ24" s="24">
        <v>0</v>
      </c>
      <c r="BA24" s="52" t="s">
        <v>103</v>
      </c>
      <c r="BB24" s="22">
        <v>0</v>
      </c>
      <c r="BC24" s="24">
        <v>0</v>
      </c>
      <c r="BD24" s="52" t="s">
        <v>103</v>
      </c>
      <c r="BE24" s="22">
        <v>14</v>
      </c>
      <c r="BF24" s="24">
        <v>0</v>
      </c>
      <c r="BG24" s="52">
        <v>0</v>
      </c>
      <c r="BH24" s="22">
        <v>4</v>
      </c>
      <c r="BI24" s="24">
        <v>0</v>
      </c>
      <c r="BJ24" s="52" t="s">
        <v>103</v>
      </c>
      <c r="BK24" s="22">
        <v>2192</v>
      </c>
      <c r="BL24" s="24">
        <v>343</v>
      </c>
      <c r="BM24" s="52">
        <v>0.1855056787452678</v>
      </c>
      <c r="BN24" s="22">
        <v>28</v>
      </c>
      <c r="BO24" s="24">
        <v>0</v>
      </c>
      <c r="BP24" s="52">
        <v>0</v>
      </c>
      <c r="BQ24" s="22">
        <v>66</v>
      </c>
      <c r="BR24" s="24">
        <v>0</v>
      </c>
      <c r="BS24" s="52">
        <v>0</v>
      </c>
    </row>
    <row r="25" spans="1:71" s="3" customFormat="1" x14ac:dyDescent="0.25">
      <c r="B25" s="19" t="s">
        <v>40</v>
      </c>
      <c r="C25" s="20">
        <f t="shared" si="0"/>
        <v>28567</v>
      </c>
      <c r="D25" s="24">
        <f t="shared" si="0"/>
        <v>1156</v>
      </c>
      <c r="E25" s="52">
        <f t="shared" si="1"/>
        <v>4.2172850315566723E-2</v>
      </c>
      <c r="F25" s="22">
        <v>17295</v>
      </c>
      <c r="G25" s="24">
        <v>1176</v>
      </c>
      <c r="H25" s="52">
        <v>7.2957379490042884E-2</v>
      </c>
      <c r="I25" s="22">
        <v>131</v>
      </c>
      <c r="J25" s="24">
        <v>0</v>
      </c>
      <c r="K25" s="52">
        <v>0</v>
      </c>
      <c r="L25" s="22">
        <v>317</v>
      </c>
      <c r="M25" s="24">
        <v>0</v>
      </c>
      <c r="N25" s="52">
        <v>0</v>
      </c>
      <c r="O25" s="22">
        <v>2530</v>
      </c>
      <c r="P25" s="24">
        <v>244</v>
      </c>
      <c r="Q25" s="52">
        <v>0.10673665791776021</v>
      </c>
      <c r="R25" s="22">
        <v>12977</v>
      </c>
      <c r="S25" s="24">
        <v>134</v>
      </c>
      <c r="T25" s="52">
        <v>1.0433699291442888E-2</v>
      </c>
      <c r="U25" s="22">
        <v>798</v>
      </c>
      <c r="V25" s="24">
        <v>798</v>
      </c>
      <c r="W25" s="52" t="s">
        <v>103</v>
      </c>
      <c r="X25" s="22">
        <v>542</v>
      </c>
      <c r="Y25" s="24">
        <v>0</v>
      </c>
      <c r="Z25" s="52">
        <v>0</v>
      </c>
      <c r="AA25" s="22">
        <v>0</v>
      </c>
      <c r="AB25" s="24">
        <v>0</v>
      </c>
      <c r="AC25" s="52" t="s">
        <v>103</v>
      </c>
      <c r="AD25" s="22">
        <v>0</v>
      </c>
      <c r="AE25" s="24">
        <v>0</v>
      </c>
      <c r="AF25" s="52" t="s">
        <v>103</v>
      </c>
      <c r="AG25" s="22">
        <v>4034</v>
      </c>
      <c r="AH25" s="24">
        <v>-806</v>
      </c>
      <c r="AI25" s="52">
        <v>-0.16652892561983468</v>
      </c>
      <c r="AJ25" s="22">
        <v>182</v>
      </c>
      <c r="AK25" s="24">
        <v>0</v>
      </c>
      <c r="AL25" s="52">
        <v>0</v>
      </c>
      <c r="AM25" s="22">
        <v>413</v>
      </c>
      <c r="AN25" s="24">
        <v>-244</v>
      </c>
      <c r="AO25" s="52">
        <v>-0.37138508371385082</v>
      </c>
      <c r="AP25" s="22">
        <v>2592</v>
      </c>
      <c r="AQ25" s="24">
        <v>-582</v>
      </c>
      <c r="AR25" s="52">
        <v>-0.18336483931947067</v>
      </c>
      <c r="AS25" s="22">
        <v>0</v>
      </c>
      <c r="AT25" s="24">
        <v>0</v>
      </c>
      <c r="AU25" s="52" t="s">
        <v>103</v>
      </c>
      <c r="AV25" s="22">
        <v>315</v>
      </c>
      <c r="AW25" s="24">
        <v>0</v>
      </c>
      <c r="AX25" s="52">
        <v>0</v>
      </c>
      <c r="AY25" s="22">
        <v>512</v>
      </c>
      <c r="AZ25" s="24">
        <v>0</v>
      </c>
      <c r="BA25" s="52">
        <v>0</v>
      </c>
      <c r="BB25" s="22">
        <v>0</v>
      </c>
      <c r="BC25" s="24">
        <v>0</v>
      </c>
      <c r="BD25" s="52" t="s">
        <v>103</v>
      </c>
      <c r="BE25" s="22">
        <v>20</v>
      </c>
      <c r="BF25" s="24">
        <v>20</v>
      </c>
      <c r="BG25" s="52" t="s">
        <v>103</v>
      </c>
      <c r="BH25" s="22">
        <v>0</v>
      </c>
      <c r="BI25" s="24">
        <v>0</v>
      </c>
      <c r="BJ25" s="52" t="s">
        <v>103</v>
      </c>
      <c r="BK25" s="22">
        <v>7238</v>
      </c>
      <c r="BL25" s="24">
        <v>786</v>
      </c>
      <c r="BM25" s="52">
        <v>0.12182269063856177</v>
      </c>
      <c r="BN25" s="22">
        <v>0</v>
      </c>
      <c r="BO25" s="24">
        <v>0</v>
      </c>
      <c r="BP25" s="52" t="s">
        <v>103</v>
      </c>
      <c r="BQ25" s="22">
        <v>0</v>
      </c>
      <c r="BR25" s="24">
        <v>0</v>
      </c>
      <c r="BS25" s="52" t="s">
        <v>103</v>
      </c>
    </row>
    <row r="26" spans="1:71" s="3" customFormat="1" x14ac:dyDescent="0.25">
      <c r="B26" s="19" t="s">
        <v>41</v>
      </c>
      <c r="C26" s="20">
        <f t="shared" si="0"/>
        <v>3666</v>
      </c>
      <c r="D26" s="24">
        <f t="shared" si="0"/>
        <v>362</v>
      </c>
      <c r="E26" s="52">
        <f t="shared" si="1"/>
        <v>0.1095641646489105</v>
      </c>
      <c r="F26" s="22">
        <v>1355</v>
      </c>
      <c r="G26" s="24">
        <v>0</v>
      </c>
      <c r="H26" s="52">
        <v>0</v>
      </c>
      <c r="I26" s="22">
        <v>0</v>
      </c>
      <c r="J26" s="24">
        <v>0</v>
      </c>
      <c r="K26" s="52" t="s">
        <v>103</v>
      </c>
      <c r="L26" s="22">
        <v>0</v>
      </c>
      <c r="M26" s="24">
        <v>0</v>
      </c>
      <c r="N26" s="52" t="s">
        <v>103</v>
      </c>
      <c r="O26" s="22">
        <v>496</v>
      </c>
      <c r="P26" s="24">
        <v>0</v>
      </c>
      <c r="Q26" s="52">
        <v>0</v>
      </c>
      <c r="R26" s="22">
        <v>859</v>
      </c>
      <c r="S26" s="24">
        <v>0</v>
      </c>
      <c r="T26" s="52">
        <v>0</v>
      </c>
      <c r="U26" s="22">
        <v>0</v>
      </c>
      <c r="V26" s="24">
        <v>0</v>
      </c>
      <c r="W26" s="52" t="s">
        <v>103</v>
      </c>
      <c r="X26" s="22">
        <v>0</v>
      </c>
      <c r="Y26" s="24">
        <v>0</v>
      </c>
      <c r="Z26" s="52" t="s">
        <v>103</v>
      </c>
      <c r="AA26" s="22">
        <v>0</v>
      </c>
      <c r="AB26" s="24">
        <v>0</v>
      </c>
      <c r="AC26" s="52" t="s">
        <v>103</v>
      </c>
      <c r="AD26" s="22">
        <v>0</v>
      </c>
      <c r="AE26" s="24">
        <v>0</v>
      </c>
      <c r="AF26" s="52" t="s">
        <v>103</v>
      </c>
      <c r="AG26" s="22">
        <v>355</v>
      </c>
      <c r="AH26" s="24">
        <v>0</v>
      </c>
      <c r="AI26" s="52">
        <v>0</v>
      </c>
      <c r="AJ26" s="22">
        <v>160</v>
      </c>
      <c r="AK26" s="24">
        <v>0</v>
      </c>
      <c r="AL26" s="52">
        <v>0</v>
      </c>
      <c r="AM26" s="22">
        <v>0</v>
      </c>
      <c r="AN26" s="24">
        <v>0</v>
      </c>
      <c r="AO26" s="52" t="s">
        <v>103</v>
      </c>
      <c r="AP26" s="22">
        <v>178</v>
      </c>
      <c r="AQ26" s="24">
        <v>0</v>
      </c>
      <c r="AR26" s="52">
        <v>0</v>
      </c>
      <c r="AS26" s="22">
        <v>0</v>
      </c>
      <c r="AT26" s="24">
        <v>0</v>
      </c>
      <c r="AU26" s="52" t="s">
        <v>103</v>
      </c>
      <c r="AV26" s="22">
        <v>0</v>
      </c>
      <c r="AW26" s="24">
        <v>0</v>
      </c>
      <c r="AX26" s="52" t="s">
        <v>103</v>
      </c>
      <c r="AY26" s="22">
        <v>0</v>
      </c>
      <c r="AZ26" s="24">
        <v>0</v>
      </c>
      <c r="BA26" s="52" t="s">
        <v>103</v>
      </c>
      <c r="BB26" s="22">
        <v>0</v>
      </c>
      <c r="BC26" s="24">
        <v>0</v>
      </c>
      <c r="BD26" s="52" t="s">
        <v>103</v>
      </c>
      <c r="BE26" s="22">
        <v>17</v>
      </c>
      <c r="BF26" s="24">
        <v>0</v>
      </c>
      <c r="BG26" s="52">
        <v>0</v>
      </c>
      <c r="BH26" s="22">
        <v>0</v>
      </c>
      <c r="BI26" s="24">
        <v>0</v>
      </c>
      <c r="BJ26" s="52" t="s">
        <v>103</v>
      </c>
      <c r="BK26" s="22">
        <v>1711</v>
      </c>
      <c r="BL26" s="24">
        <v>362</v>
      </c>
      <c r="BM26" s="52">
        <v>0.26834692364714607</v>
      </c>
      <c r="BN26" s="22">
        <v>90</v>
      </c>
      <c r="BO26" s="24">
        <v>0</v>
      </c>
      <c r="BP26" s="52">
        <v>0</v>
      </c>
      <c r="BQ26" s="22">
        <v>155</v>
      </c>
      <c r="BR26" s="24">
        <v>0</v>
      </c>
      <c r="BS26" s="52">
        <v>0</v>
      </c>
    </row>
    <row r="27" spans="1:71" s="3" customFormat="1" x14ac:dyDescent="0.25">
      <c r="B27" s="19" t="s">
        <v>42</v>
      </c>
      <c r="C27" s="20">
        <f t="shared" si="0"/>
        <v>2375</v>
      </c>
      <c r="D27" s="24">
        <f t="shared" si="0"/>
        <v>211</v>
      </c>
      <c r="E27" s="52">
        <f t="shared" si="1"/>
        <v>9.7504621072088682E-2</v>
      </c>
      <c r="F27" s="22">
        <v>21</v>
      </c>
      <c r="G27" s="24">
        <v>0</v>
      </c>
      <c r="H27" s="52">
        <v>0</v>
      </c>
      <c r="I27" s="22">
        <v>14</v>
      </c>
      <c r="J27" s="24">
        <v>0</v>
      </c>
      <c r="K27" s="52">
        <v>0</v>
      </c>
      <c r="L27" s="22">
        <v>7</v>
      </c>
      <c r="M27" s="24">
        <v>0</v>
      </c>
      <c r="N27" s="52">
        <v>0</v>
      </c>
      <c r="O27" s="22">
        <v>0</v>
      </c>
      <c r="P27" s="24">
        <v>0</v>
      </c>
      <c r="Q27" s="52" t="s">
        <v>103</v>
      </c>
      <c r="R27" s="22">
        <v>0</v>
      </c>
      <c r="S27" s="24">
        <v>0</v>
      </c>
      <c r="T27" s="52" t="s">
        <v>103</v>
      </c>
      <c r="U27" s="22">
        <v>0</v>
      </c>
      <c r="V27" s="24">
        <v>0</v>
      </c>
      <c r="W27" s="52" t="s">
        <v>103</v>
      </c>
      <c r="X27" s="22">
        <v>0</v>
      </c>
      <c r="Y27" s="24">
        <v>0</v>
      </c>
      <c r="Z27" s="52" t="s">
        <v>103</v>
      </c>
      <c r="AA27" s="22">
        <v>0</v>
      </c>
      <c r="AB27" s="24">
        <v>0</v>
      </c>
      <c r="AC27" s="52" t="s">
        <v>103</v>
      </c>
      <c r="AD27" s="22">
        <v>0</v>
      </c>
      <c r="AE27" s="24">
        <v>0</v>
      </c>
      <c r="AF27" s="52" t="s">
        <v>103</v>
      </c>
      <c r="AG27" s="22">
        <v>7</v>
      </c>
      <c r="AH27" s="24">
        <v>0</v>
      </c>
      <c r="AI27" s="52">
        <v>0</v>
      </c>
      <c r="AJ27" s="22">
        <v>0</v>
      </c>
      <c r="AK27" s="24">
        <v>0</v>
      </c>
      <c r="AL27" s="52" t="s">
        <v>103</v>
      </c>
      <c r="AM27" s="22">
        <v>0</v>
      </c>
      <c r="AN27" s="24">
        <v>0</v>
      </c>
      <c r="AO27" s="52" t="s">
        <v>103</v>
      </c>
      <c r="AP27" s="22">
        <v>0</v>
      </c>
      <c r="AQ27" s="24">
        <v>0</v>
      </c>
      <c r="AR27" s="52" t="s">
        <v>103</v>
      </c>
      <c r="AS27" s="22">
        <v>0</v>
      </c>
      <c r="AT27" s="24">
        <v>0</v>
      </c>
      <c r="AU27" s="52" t="s">
        <v>103</v>
      </c>
      <c r="AV27" s="22">
        <v>0</v>
      </c>
      <c r="AW27" s="24">
        <v>0</v>
      </c>
      <c r="AX27" s="52" t="s">
        <v>103</v>
      </c>
      <c r="AY27" s="22">
        <v>0</v>
      </c>
      <c r="AZ27" s="24">
        <v>0</v>
      </c>
      <c r="BA27" s="52" t="s">
        <v>103</v>
      </c>
      <c r="BB27" s="22">
        <v>0</v>
      </c>
      <c r="BC27" s="24">
        <v>0</v>
      </c>
      <c r="BD27" s="52" t="s">
        <v>103</v>
      </c>
      <c r="BE27" s="22">
        <v>0</v>
      </c>
      <c r="BF27" s="24">
        <v>0</v>
      </c>
      <c r="BG27" s="52" t="s">
        <v>103</v>
      </c>
      <c r="BH27" s="22">
        <v>7</v>
      </c>
      <c r="BI27" s="24">
        <v>0</v>
      </c>
      <c r="BJ27" s="52" t="s">
        <v>103</v>
      </c>
      <c r="BK27" s="22">
        <v>2298</v>
      </c>
      <c r="BL27" s="24">
        <v>211</v>
      </c>
      <c r="BM27" s="52">
        <v>0.10110206037374225</v>
      </c>
      <c r="BN27" s="22">
        <v>20</v>
      </c>
      <c r="BO27" s="24">
        <v>0</v>
      </c>
      <c r="BP27" s="52">
        <v>0</v>
      </c>
      <c r="BQ27" s="22">
        <v>29</v>
      </c>
      <c r="BR27" s="24">
        <v>0</v>
      </c>
      <c r="BS27" s="52">
        <v>0</v>
      </c>
    </row>
    <row r="28" spans="1:71" s="3" customFormat="1" x14ac:dyDescent="0.25">
      <c r="B28" s="19" t="s">
        <v>43</v>
      </c>
      <c r="C28" s="20">
        <f t="shared" si="0"/>
        <v>392</v>
      </c>
      <c r="D28" s="24">
        <f t="shared" si="0"/>
        <v>99</v>
      </c>
      <c r="E28" s="52">
        <f t="shared" si="1"/>
        <v>0.33788395904436852</v>
      </c>
      <c r="F28" s="22">
        <v>0</v>
      </c>
      <c r="G28" s="24">
        <v>0</v>
      </c>
      <c r="H28" s="52">
        <f>(D28/(D28-G28))-1</f>
        <v>0</v>
      </c>
      <c r="I28" s="22"/>
      <c r="J28" s="24">
        <v>0</v>
      </c>
      <c r="K28" s="52" t="s">
        <v>103</v>
      </c>
      <c r="L28" s="22">
        <v>0</v>
      </c>
      <c r="M28" s="24">
        <v>0</v>
      </c>
      <c r="N28" s="52" t="s">
        <v>103</v>
      </c>
      <c r="O28" s="22">
        <v>0</v>
      </c>
      <c r="P28" s="24">
        <v>0</v>
      </c>
      <c r="Q28" s="52" t="s">
        <v>103</v>
      </c>
      <c r="R28" s="22">
        <v>0</v>
      </c>
      <c r="S28" s="24">
        <v>0</v>
      </c>
      <c r="T28" s="52" t="s">
        <v>103</v>
      </c>
      <c r="U28" s="22">
        <v>0</v>
      </c>
      <c r="V28" s="24">
        <v>0</v>
      </c>
      <c r="W28" s="52" t="s">
        <v>103</v>
      </c>
      <c r="X28" s="22">
        <v>0</v>
      </c>
      <c r="Y28" s="24">
        <v>0</v>
      </c>
      <c r="Z28" s="52" t="s">
        <v>103</v>
      </c>
      <c r="AA28" s="22">
        <v>0</v>
      </c>
      <c r="AB28" s="24">
        <v>0</v>
      </c>
      <c r="AC28" s="52" t="s">
        <v>103</v>
      </c>
      <c r="AD28" s="22">
        <v>0</v>
      </c>
      <c r="AE28" s="24">
        <v>0</v>
      </c>
      <c r="AF28" s="52" t="s">
        <v>103</v>
      </c>
      <c r="AG28" s="22">
        <v>11</v>
      </c>
      <c r="AH28" s="24">
        <v>0</v>
      </c>
      <c r="AI28" s="52">
        <v>0</v>
      </c>
      <c r="AJ28" s="22">
        <v>0</v>
      </c>
      <c r="AK28" s="24">
        <v>0</v>
      </c>
      <c r="AL28" s="52" t="s">
        <v>103</v>
      </c>
      <c r="AM28" s="22">
        <v>0</v>
      </c>
      <c r="AN28" s="24">
        <v>0</v>
      </c>
      <c r="AO28" s="52" t="s">
        <v>103</v>
      </c>
      <c r="AP28" s="22">
        <v>0</v>
      </c>
      <c r="AQ28" s="24">
        <v>0</v>
      </c>
      <c r="AR28" s="52" t="s">
        <v>103</v>
      </c>
      <c r="AS28" s="22">
        <v>0</v>
      </c>
      <c r="AT28" s="24">
        <v>0</v>
      </c>
      <c r="AU28" s="52" t="s">
        <v>103</v>
      </c>
      <c r="AV28" s="22">
        <v>0</v>
      </c>
      <c r="AW28" s="24">
        <v>0</v>
      </c>
      <c r="AX28" s="52" t="s">
        <v>103</v>
      </c>
      <c r="AY28" s="22">
        <v>0</v>
      </c>
      <c r="AZ28" s="24">
        <v>0</v>
      </c>
      <c r="BA28" s="52" t="s">
        <v>103</v>
      </c>
      <c r="BB28" s="22">
        <v>0</v>
      </c>
      <c r="BC28" s="24">
        <v>0</v>
      </c>
      <c r="BD28" s="52" t="s">
        <v>103</v>
      </c>
      <c r="BE28" s="22">
        <v>11</v>
      </c>
      <c r="BF28" s="24">
        <v>0</v>
      </c>
      <c r="BG28" s="52">
        <v>0</v>
      </c>
      <c r="BH28" s="22">
        <v>0</v>
      </c>
      <c r="BI28" s="24">
        <v>0</v>
      </c>
      <c r="BJ28" s="52" t="s">
        <v>103</v>
      </c>
      <c r="BK28" s="22">
        <v>352</v>
      </c>
      <c r="BL28" s="24">
        <v>99</v>
      </c>
      <c r="BM28" s="52">
        <v>0.39130434782608692</v>
      </c>
      <c r="BN28" s="22">
        <v>16</v>
      </c>
      <c r="BO28" s="24">
        <v>0</v>
      </c>
      <c r="BP28" s="52">
        <v>0</v>
      </c>
      <c r="BQ28" s="22">
        <v>13</v>
      </c>
      <c r="BR28" s="24">
        <v>0</v>
      </c>
      <c r="BS28" s="52">
        <v>0</v>
      </c>
    </row>
    <row r="29" spans="1:71" s="3" customFormat="1" x14ac:dyDescent="0.25">
      <c r="B29" s="19" t="s">
        <v>44</v>
      </c>
      <c r="C29" s="20">
        <f t="shared" si="0"/>
        <v>12943</v>
      </c>
      <c r="D29" s="24">
        <f t="shared" si="0"/>
        <v>827</v>
      </c>
      <c r="E29" s="52">
        <f t="shared" si="1"/>
        <v>6.8256850445691741E-2</v>
      </c>
      <c r="F29" s="22">
        <v>3368</v>
      </c>
      <c r="G29" s="24">
        <v>0</v>
      </c>
      <c r="H29" s="52" t="e">
        <f>VLOOKUP($D$1,'estab aut municipio x tip y cat'!$B$8:$BS$39,62+2,FALSE)</f>
        <v>#N/A</v>
      </c>
      <c r="I29" s="22">
        <v>0</v>
      </c>
      <c r="J29" s="24">
        <v>0</v>
      </c>
      <c r="K29" s="52" t="s">
        <v>103</v>
      </c>
      <c r="L29" s="22">
        <v>0</v>
      </c>
      <c r="M29" s="24">
        <v>0</v>
      </c>
      <c r="N29" s="52" t="s">
        <v>103</v>
      </c>
      <c r="O29" s="22">
        <v>722</v>
      </c>
      <c r="P29" s="24">
        <v>0</v>
      </c>
      <c r="Q29" s="52">
        <v>0</v>
      </c>
      <c r="R29" s="22">
        <v>848</v>
      </c>
      <c r="S29" s="24">
        <v>0</v>
      </c>
      <c r="T29" s="52">
        <v>0</v>
      </c>
      <c r="U29" s="22">
        <v>1784</v>
      </c>
      <c r="V29" s="24">
        <v>0</v>
      </c>
      <c r="W29" s="52">
        <v>0</v>
      </c>
      <c r="X29" s="22">
        <v>0</v>
      </c>
      <c r="Y29" s="24">
        <v>0</v>
      </c>
      <c r="Z29" s="52" t="s">
        <v>103</v>
      </c>
      <c r="AA29" s="22">
        <v>0</v>
      </c>
      <c r="AB29" s="24">
        <v>0</v>
      </c>
      <c r="AC29" s="52" t="s">
        <v>103</v>
      </c>
      <c r="AD29" s="22">
        <v>14</v>
      </c>
      <c r="AE29" s="24">
        <v>0</v>
      </c>
      <c r="AF29" s="52">
        <v>0</v>
      </c>
      <c r="AG29" s="22">
        <v>3133</v>
      </c>
      <c r="AH29" s="24">
        <v>0</v>
      </c>
      <c r="AI29" s="52">
        <v>0</v>
      </c>
      <c r="AJ29" s="22">
        <v>382</v>
      </c>
      <c r="AK29" s="24">
        <v>0</v>
      </c>
      <c r="AL29" s="52">
        <v>0</v>
      </c>
      <c r="AM29" s="22">
        <v>588</v>
      </c>
      <c r="AN29" s="24">
        <v>0</v>
      </c>
      <c r="AO29" s="52">
        <v>0</v>
      </c>
      <c r="AP29" s="22">
        <v>1135</v>
      </c>
      <c r="AQ29" s="24">
        <v>0</v>
      </c>
      <c r="AR29" s="52">
        <v>0</v>
      </c>
      <c r="AS29" s="22">
        <v>0</v>
      </c>
      <c r="AT29" s="24">
        <v>0</v>
      </c>
      <c r="AU29" s="52" t="s">
        <v>103</v>
      </c>
      <c r="AV29" s="22">
        <v>861</v>
      </c>
      <c r="AW29" s="24">
        <v>0</v>
      </c>
      <c r="AX29" s="52">
        <v>0</v>
      </c>
      <c r="AY29" s="22">
        <v>0</v>
      </c>
      <c r="AZ29" s="24">
        <v>0</v>
      </c>
      <c r="BA29" s="52" t="s">
        <v>103</v>
      </c>
      <c r="BB29" s="22">
        <v>155</v>
      </c>
      <c r="BC29" s="24">
        <v>0</v>
      </c>
      <c r="BD29" s="52">
        <v>0</v>
      </c>
      <c r="BE29" s="22">
        <v>12</v>
      </c>
      <c r="BF29" s="24">
        <v>0</v>
      </c>
      <c r="BG29" s="52">
        <v>0</v>
      </c>
      <c r="BH29" s="22">
        <v>0</v>
      </c>
      <c r="BI29" s="24">
        <v>0</v>
      </c>
      <c r="BJ29" s="52" t="s">
        <v>103</v>
      </c>
      <c r="BK29" s="22">
        <v>6382</v>
      </c>
      <c r="BL29" s="24">
        <v>827</v>
      </c>
      <c r="BM29" s="52">
        <v>0.14887488748874889</v>
      </c>
      <c r="BN29" s="22">
        <v>32</v>
      </c>
      <c r="BO29" s="24">
        <v>0</v>
      </c>
      <c r="BP29" s="52">
        <v>0</v>
      </c>
      <c r="BQ29" s="22">
        <v>28</v>
      </c>
      <c r="BR29" s="24">
        <v>0</v>
      </c>
      <c r="BS29" s="52">
        <v>0</v>
      </c>
    </row>
    <row r="30" spans="1:71" s="3" customFormat="1" x14ac:dyDescent="0.25">
      <c r="A30" s="3">
        <v>26</v>
      </c>
      <c r="B30" s="19" t="s">
        <v>45</v>
      </c>
      <c r="C30" s="20">
        <f t="shared" si="0"/>
        <v>13644</v>
      </c>
      <c r="D30" s="24">
        <f t="shared" si="0"/>
        <v>1196</v>
      </c>
      <c r="E30" s="52">
        <f t="shared" si="1"/>
        <v>9.6079691516709476E-2</v>
      </c>
      <c r="F30" s="22">
        <v>2944</v>
      </c>
      <c r="G30" s="24">
        <v>-115</v>
      </c>
      <c r="H30" s="52">
        <v>-3.7593984962406068E-2</v>
      </c>
      <c r="I30" s="22">
        <v>218</v>
      </c>
      <c r="J30" s="24">
        <v>0</v>
      </c>
      <c r="K30" s="52">
        <v>0</v>
      </c>
      <c r="L30" s="22">
        <v>482</v>
      </c>
      <c r="M30" s="24">
        <v>127</v>
      </c>
      <c r="N30" s="52">
        <v>0.3577464788732394</v>
      </c>
      <c r="O30" s="22">
        <v>408</v>
      </c>
      <c r="P30" s="24">
        <v>-266</v>
      </c>
      <c r="Q30" s="52">
        <v>-0.39465875370919878</v>
      </c>
      <c r="R30" s="22">
        <v>1261</v>
      </c>
      <c r="S30" s="24">
        <v>0</v>
      </c>
      <c r="T30" s="52">
        <v>0</v>
      </c>
      <c r="U30" s="22">
        <v>507</v>
      </c>
      <c r="V30" s="24">
        <v>0</v>
      </c>
      <c r="W30" s="52">
        <v>0</v>
      </c>
      <c r="X30" s="22">
        <v>0</v>
      </c>
      <c r="Y30" s="24">
        <v>0</v>
      </c>
      <c r="Z30" s="52" t="s">
        <v>103</v>
      </c>
      <c r="AA30" s="22">
        <v>0</v>
      </c>
      <c r="AB30" s="24">
        <v>0</v>
      </c>
      <c r="AC30" s="52" t="s">
        <v>103</v>
      </c>
      <c r="AD30" s="22">
        <v>18</v>
      </c>
      <c r="AE30" s="24">
        <v>0</v>
      </c>
      <c r="AF30" s="52">
        <v>0</v>
      </c>
      <c r="AG30" s="22">
        <v>50</v>
      </c>
      <c r="AH30" s="24">
        <v>22</v>
      </c>
      <c r="AI30" s="52">
        <v>0.78571428571428581</v>
      </c>
      <c r="AJ30" s="22">
        <v>0</v>
      </c>
      <c r="AK30" s="24">
        <v>0</v>
      </c>
      <c r="AL30" s="52" t="s">
        <v>103</v>
      </c>
      <c r="AM30" s="22">
        <v>0</v>
      </c>
      <c r="AN30" s="24">
        <v>0</v>
      </c>
      <c r="AO30" s="52" t="s">
        <v>103</v>
      </c>
      <c r="AP30" s="22">
        <v>0</v>
      </c>
      <c r="AQ30" s="24">
        <v>0</v>
      </c>
      <c r="AR30" s="52" t="s">
        <v>103</v>
      </c>
      <c r="AS30" s="22">
        <v>0</v>
      </c>
      <c r="AT30" s="24">
        <v>0</v>
      </c>
      <c r="AU30" s="52" t="s">
        <v>103</v>
      </c>
      <c r="AV30" s="22">
        <v>0</v>
      </c>
      <c r="AW30" s="24">
        <v>0</v>
      </c>
      <c r="AX30" s="52" t="s">
        <v>103</v>
      </c>
      <c r="AY30" s="22">
        <v>0</v>
      </c>
      <c r="AZ30" s="24">
        <v>0</v>
      </c>
      <c r="BA30" s="52" t="s">
        <v>103</v>
      </c>
      <c r="BB30" s="22">
        <v>0</v>
      </c>
      <c r="BC30" s="24">
        <v>0</v>
      </c>
      <c r="BD30" s="52" t="s">
        <v>103</v>
      </c>
      <c r="BE30" s="22">
        <v>44</v>
      </c>
      <c r="BF30" s="24">
        <v>22</v>
      </c>
      <c r="BG30" s="52">
        <v>1</v>
      </c>
      <c r="BH30" s="22">
        <v>6</v>
      </c>
      <c r="BI30" s="24">
        <v>0</v>
      </c>
      <c r="BJ30" s="52" t="s">
        <v>103</v>
      </c>
      <c r="BK30" s="22">
        <v>10635</v>
      </c>
      <c r="BL30" s="24">
        <v>1289</v>
      </c>
      <c r="BM30" s="52">
        <v>0.13791996576075327</v>
      </c>
      <c r="BN30" s="22">
        <v>0</v>
      </c>
      <c r="BO30" s="24">
        <v>0</v>
      </c>
      <c r="BP30" s="52" t="s">
        <v>103</v>
      </c>
      <c r="BQ30" s="22">
        <v>15</v>
      </c>
      <c r="BR30" s="24">
        <v>0</v>
      </c>
      <c r="BS30" s="52">
        <v>0</v>
      </c>
    </row>
    <row r="31" spans="1:71" s="3" customFormat="1" x14ac:dyDescent="0.25">
      <c r="B31" s="19" t="s">
        <v>46</v>
      </c>
      <c r="C31" s="20">
        <f t="shared" si="0"/>
        <v>2144</v>
      </c>
      <c r="D31" s="24">
        <f t="shared" si="0"/>
        <v>415</v>
      </c>
      <c r="E31" s="52">
        <f t="shared" si="1"/>
        <v>0.24002313475997683</v>
      </c>
      <c r="F31" s="22">
        <v>0</v>
      </c>
      <c r="G31" s="24">
        <v>0</v>
      </c>
      <c r="H31" s="52" t="s">
        <v>103</v>
      </c>
      <c r="I31" s="22">
        <v>0</v>
      </c>
      <c r="J31" s="24">
        <v>0</v>
      </c>
      <c r="K31" s="52" t="s">
        <v>103</v>
      </c>
      <c r="L31" s="22">
        <v>0</v>
      </c>
      <c r="M31" s="24">
        <v>0</v>
      </c>
      <c r="N31" s="52" t="s">
        <v>103</v>
      </c>
      <c r="O31" s="22">
        <v>0</v>
      </c>
      <c r="P31" s="24">
        <v>0</v>
      </c>
      <c r="Q31" s="52" t="s">
        <v>103</v>
      </c>
      <c r="R31" s="22">
        <v>0</v>
      </c>
      <c r="S31" s="24">
        <v>0</v>
      </c>
      <c r="T31" s="52" t="s">
        <v>103</v>
      </c>
      <c r="U31" s="22">
        <v>0</v>
      </c>
      <c r="V31" s="24">
        <v>0</v>
      </c>
      <c r="W31" s="52" t="s">
        <v>103</v>
      </c>
      <c r="X31" s="22">
        <v>0</v>
      </c>
      <c r="Y31" s="24">
        <v>0</v>
      </c>
      <c r="Z31" s="52" t="s">
        <v>103</v>
      </c>
      <c r="AA31" s="22">
        <v>0</v>
      </c>
      <c r="AB31" s="24">
        <v>0</v>
      </c>
      <c r="AC31" s="52" t="s">
        <v>103</v>
      </c>
      <c r="AD31" s="22">
        <v>0</v>
      </c>
      <c r="AE31" s="24">
        <v>0</v>
      </c>
      <c r="AF31" s="52" t="s">
        <v>103</v>
      </c>
      <c r="AG31" s="22">
        <v>0</v>
      </c>
      <c r="AH31" s="24">
        <v>0</v>
      </c>
      <c r="AI31" s="52" t="s">
        <v>103</v>
      </c>
      <c r="AJ31" s="22">
        <v>0</v>
      </c>
      <c r="AK31" s="24">
        <v>0</v>
      </c>
      <c r="AL31" s="52" t="s">
        <v>103</v>
      </c>
      <c r="AM31" s="22">
        <v>0</v>
      </c>
      <c r="AN31" s="24">
        <v>0</v>
      </c>
      <c r="AO31" s="52" t="s">
        <v>103</v>
      </c>
      <c r="AP31" s="22">
        <v>0</v>
      </c>
      <c r="AQ31" s="24">
        <v>0</v>
      </c>
      <c r="AR31" s="52" t="s">
        <v>103</v>
      </c>
      <c r="AS31" s="22">
        <v>0</v>
      </c>
      <c r="AT31" s="24">
        <v>0</v>
      </c>
      <c r="AU31" s="52" t="s">
        <v>103</v>
      </c>
      <c r="AV31" s="22">
        <v>0</v>
      </c>
      <c r="AW31" s="24">
        <v>0</v>
      </c>
      <c r="AX31" s="52" t="s">
        <v>103</v>
      </c>
      <c r="AY31" s="22">
        <v>0</v>
      </c>
      <c r="AZ31" s="24">
        <v>0</v>
      </c>
      <c r="BA31" s="52" t="s">
        <v>103</v>
      </c>
      <c r="BB31" s="22">
        <v>0</v>
      </c>
      <c r="BC31" s="24">
        <v>0</v>
      </c>
      <c r="BD31" s="52" t="s">
        <v>103</v>
      </c>
      <c r="BE31" s="22">
        <v>0</v>
      </c>
      <c r="BF31" s="24">
        <v>0</v>
      </c>
      <c r="BG31" s="52" t="s">
        <v>103</v>
      </c>
      <c r="BH31" s="22">
        <v>0</v>
      </c>
      <c r="BI31" s="24">
        <v>0</v>
      </c>
      <c r="BJ31" s="52" t="s">
        <v>103</v>
      </c>
      <c r="BK31" s="22">
        <v>2144</v>
      </c>
      <c r="BL31" s="24">
        <v>415</v>
      </c>
      <c r="BM31" s="52">
        <v>0.24002313475997683</v>
      </c>
      <c r="BN31" s="22">
        <v>0</v>
      </c>
      <c r="BO31" s="24">
        <v>0</v>
      </c>
      <c r="BP31" s="52" t="s">
        <v>103</v>
      </c>
      <c r="BQ31" s="22">
        <v>0</v>
      </c>
      <c r="BR31" s="24">
        <v>0</v>
      </c>
      <c r="BS31" s="52" t="s">
        <v>103</v>
      </c>
    </row>
    <row r="32" spans="1:71" s="3" customFormat="1" x14ac:dyDescent="0.25">
      <c r="B32" s="19" t="s">
        <v>47</v>
      </c>
      <c r="C32" s="20">
        <f t="shared" si="0"/>
        <v>14046</v>
      </c>
      <c r="D32" s="24">
        <f t="shared" si="0"/>
        <v>1114</v>
      </c>
      <c r="E32" s="52">
        <f t="shared" si="1"/>
        <v>8.6142901330034105E-2</v>
      </c>
      <c r="F32" s="22">
        <v>4459</v>
      </c>
      <c r="G32" s="24">
        <v>0</v>
      </c>
      <c r="H32" s="52">
        <v>0</v>
      </c>
      <c r="I32" s="22">
        <v>0</v>
      </c>
      <c r="J32" s="24">
        <v>0</v>
      </c>
      <c r="K32" s="52" t="s">
        <v>103</v>
      </c>
      <c r="L32" s="22">
        <v>0</v>
      </c>
      <c r="M32" s="24">
        <v>0</v>
      </c>
      <c r="N32" s="52" t="s">
        <v>103</v>
      </c>
      <c r="O32" s="22">
        <v>1058</v>
      </c>
      <c r="P32" s="24">
        <v>0</v>
      </c>
      <c r="Q32" s="52">
        <v>0</v>
      </c>
      <c r="R32" s="22">
        <v>3401</v>
      </c>
      <c r="S32" s="24">
        <v>0</v>
      </c>
      <c r="T32" s="52">
        <v>0</v>
      </c>
      <c r="U32" s="22">
        <v>0</v>
      </c>
      <c r="V32" s="24">
        <v>0</v>
      </c>
      <c r="W32" s="52" t="s">
        <v>103</v>
      </c>
      <c r="X32" s="22">
        <v>0</v>
      </c>
      <c r="Y32" s="24">
        <v>0</v>
      </c>
      <c r="Z32" s="52" t="s">
        <v>103</v>
      </c>
      <c r="AA32" s="22">
        <v>0</v>
      </c>
      <c r="AB32" s="24">
        <v>0</v>
      </c>
      <c r="AC32" s="52" t="s">
        <v>103</v>
      </c>
      <c r="AD32" s="22">
        <v>0</v>
      </c>
      <c r="AE32" s="24">
        <v>0</v>
      </c>
      <c r="AF32" s="52" t="s">
        <v>103</v>
      </c>
      <c r="AG32" s="22">
        <v>3010</v>
      </c>
      <c r="AH32" s="24">
        <v>0</v>
      </c>
      <c r="AI32" s="52">
        <v>0</v>
      </c>
      <c r="AJ32" s="22">
        <v>1513</v>
      </c>
      <c r="AK32" s="24">
        <v>0</v>
      </c>
      <c r="AL32" s="52">
        <v>0</v>
      </c>
      <c r="AM32" s="22">
        <v>869</v>
      </c>
      <c r="AN32" s="24">
        <v>0</v>
      </c>
      <c r="AO32" s="52">
        <v>0</v>
      </c>
      <c r="AP32" s="22">
        <v>0</v>
      </c>
      <c r="AQ32" s="24">
        <v>0</v>
      </c>
      <c r="AR32" s="52" t="s">
        <v>103</v>
      </c>
      <c r="AS32" s="22">
        <v>0</v>
      </c>
      <c r="AT32" s="24">
        <v>0</v>
      </c>
      <c r="AU32" s="52" t="s">
        <v>103</v>
      </c>
      <c r="AV32" s="22">
        <v>0</v>
      </c>
      <c r="AW32" s="24">
        <v>0</v>
      </c>
      <c r="AX32" s="52" t="s">
        <v>103</v>
      </c>
      <c r="AY32" s="22">
        <v>234</v>
      </c>
      <c r="AZ32" s="24">
        <v>0</v>
      </c>
      <c r="BA32" s="52">
        <v>0</v>
      </c>
      <c r="BB32" s="22">
        <v>394</v>
      </c>
      <c r="BC32" s="24">
        <v>0</v>
      </c>
      <c r="BD32" s="52">
        <v>0</v>
      </c>
      <c r="BE32" s="22">
        <v>0</v>
      </c>
      <c r="BF32" s="24">
        <v>0</v>
      </c>
      <c r="BG32" s="52" t="s">
        <v>103</v>
      </c>
      <c r="BH32" s="22">
        <v>0</v>
      </c>
      <c r="BI32" s="24">
        <v>0</v>
      </c>
      <c r="BJ32" s="52" t="s">
        <v>103</v>
      </c>
      <c r="BK32" s="22">
        <v>6577</v>
      </c>
      <c r="BL32" s="24">
        <v>1114</v>
      </c>
      <c r="BM32" s="52">
        <v>0.2039172615778877</v>
      </c>
      <c r="BN32" s="22">
        <v>0</v>
      </c>
      <c r="BO32" s="24">
        <v>0</v>
      </c>
      <c r="BP32" s="52" t="s">
        <v>103</v>
      </c>
      <c r="BQ32" s="22">
        <v>0</v>
      </c>
      <c r="BR32" s="24">
        <v>0</v>
      </c>
      <c r="BS32" s="52" t="s">
        <v>103</v>
      </c>
    </row>
    <row r="33" spans="2:71" s="3" customFormat="1" x14ac:dyDescent="0.25">
      <c r="B33" s="19" t="s">
        <v>48</v>
      </c>
      <c r="C33" s="20">
        <f t="shared" si="0"/>
        <v>913</v>
      </c>
      <c r="D33" s="24">
        <f t="shared" si="0"/>
        <v>168</v>
      </c>
      <c r="E33" s="52">
        <f t="shared" si="1"/>
        <v>0.22550335570469793</v>
      </c>
      <c r="F33" s="22">
        <v>14</v>
      </c>
      <c r="G33" s="24">
        <v>0</v>
      </c>
      <c r="H33" s="52">
        <v>0</v>
      </c>
      <c r="I33" s="22">
        <v>0</v>
      </c>
      <c r="J33" s="24">
        <v>0</v>
      </c>
      <c r="K33" s="52" t="s">
        <v>103</v>
      </c>
      <c r="L33" s="22">
        <v>14</v>
      </c>
      <c r="M33" s="24">
        <v>0</v>
      </c>
      <c r="N33" s="52">
        <v>0</v>
      </c>
      <c r="O33" s="22">
        <v>0</v>
      </c>
      <c r="P33" s="24">
        <v>0</v>
      </c>
      <c r="Q33" s="52" t="s">
        <v>103</v>
      </c>
      <c r="R33" s="22">
        <v>0</v>
      </c>
      <c r="S33" s="24">
        <v>0</v>
      </c>
      <c r="T33" s="52" t="s">
        <v>103</v>
      </c>
      <c r="U33" s="22">
        <v>0</v>
      </c>
      <c r="V33" s="24">
        <v>0</v>
      </c>
      <c r="W33" s="52" t="s">
        <v>103</v>
      </c>
      <c r="X33" s="22">
        <v>0</v>
      </c>
      <c r="Y33" s="24">
        <v>0</v>
      </c>
      <c r="Z33" s="52" t="s">
        <v>103</v>
      </c>
      <c r="AA33" s="22">
        <v>0</v>
      </c>
      <c r="AB33" s="24">
        <v>0</v>
      </c>
      <c r="AC33" s="52" t="s">
        <v>103</v>
      </c>
      <c r="AD33" s="22">
        <v>0</v>
      </c>
      <c r="AE33" s="24">
        <v>0</v>
      </c>
      <c r="AF33" s="52" t="s">
        <v>103</v>
      </c>
      <c r="AG33" s="22">
        <v>0</v>
      </c>
      <c r="AH33" s="24">
        <v>0</v>
      </c>
      <c r="AI33" s="52" t="s">
        <v>103</v>
      </c>
      <c r="AJ33" s="22">
        <v>0</v>
      </c>
      <c r="AK33" s="24">
        <v>0</v>
      </c>
      <c r="AL33" s="52" t="s">
        <v>103</v>
      </c>
      <c r="AM33" s="22">
        <v>0</v>
      </c>
      <c r="AN33" s="24">
        <v>0</v>
      </c>
      <c r="AO33" s="52" t="s">
        <v>103</v>
      </c>
      <c r="AP33" s="22">
        <v>0</v>
      </c>
      <c r="AQ33" s="24">
        <v>0</v>
      </c>
      <c r="AR33" s="52" t="s">
        <v>103</v>
      </c>
      <c r="AS33" s="22">
        <v>0</v>
      </c>
      <c r="AT33" s="24">
        <v>0</v>
      </c>
      <c r="AU33" s="52" t="s">
        <v>103</v>
      </c>
      <c r="AV33" s="22">
        <v>0</v>
      </c>
      <c r="AW33" s="24">
        <v>0</v>
      </c>
      <c r="AX33" s="52" t="s">
        <v>103</v>
      </c>
      <c r="AY33" s="22">
        <v>0</v>
      </c>
      <c r="AZ33" s="24">
        <v>0</v>
      </c>
      <c r="BA33" s="52" t="s">
        <v>103</v>
      </c>
      <c r="BB33" s="22">
        <v>0</v>
      </c>
      <c r="BC33" s="24">
        <v>0</v>
      </c>
      <c r="BD33" s="52" t="s">
        <v>103</v>
      </c>
      <c r="BE33" s="22">
        <v>0</v>
      </c>
      <c r="BF33" s="24">
        <v>0</v>
      </c>
      <c r="BG33" s="52" t="s">
        <v>103</v>
      </c>
      <c r="BH33" s="22">
        <v>0</v>
      </c>
      <c r="BI33" s="24">
        <v>0</v>
      </c>
      <c r="BJ33" s="52" t="s">
        <v>103</v>
      </c>
      <c r="BK33" s="22">
        <v>881</v>
      </c>
      <c r="BL33" s="24">
        <v>154</v>
      </c>
      <c r="BM33" s="52">
        <v>0.21182943603851445</v>
      </c>
      <c r="BN33" s="22">
        <v>14</v>
      </c>
      <c r="BO33" s="24">
        <v>14</v>
      </c>
      <c r="BP33" s="52" t="s">
        <v>103</v>
      </c>
      <c r="BQ33" s="22">
        <v>4</v>
      </c>
      <c r="BR33" s="24">
        <v>0</v>
      </c>
      <c r="BS33" s="52">
        <v>0</v>
      </c>
    </row>
    <row r="34" spans="2:71" s="3" customFormat="1" x14ac:dyDescent="0.25">
      <c r="B34" s="19" t="s">
        <v>49</v>
      </c>
      <c r="C34" s="20">
        <f t="shared" si="0"/>
        <v>760</v>
      </c>
      <c r="D34" s="24">
        <f t="shared" si="0"/>
        <v>4</v>
      </c>
      <c r="E34" s="52">
        <f t="shared" si="1"/>
        <v>5.2910052910053462E-3</v>
      </c>
      <c r="F34" s="22">
        <v>98</v>
      </c>
      <c r="G34" s="24">
        <v>0</v>
      </c>
      <c r="H34" s="52">
        <v>0</v>
      </c>
      <c r="I34" s="22">
        <v>0</v>
      </c>
      <c r="J34" s="24">
        <v>0</v>
      </c>
      <c r="K34" s="52" t="s">
        <v>103</v>
      </c>
      <c r="L34" s="22">
        <v>0</v>
      </c>
      <c r="M34" s="24">
        <v>0</v>
      </c>
      <c r="N34" s="52" t="s">
        <v>103</v>
      </c>
      <c r="O34" s="22">
        <v>0</v>
      </c>
      <c r="P34" s="24">
        <v>0</v>
      </c>
      <c r="Q34" s="52" t="s">
        <v>103</v>
      </c>
      <c r="R34" s="22">
        <v>98</v>
      </c>
      <c r="S34" s="24">
        <v>0</v>
      </c>
      <c r="T34" s="52">
        <v>0</v>
      </c>
      <c r="U34" s="22">
        <v>0</v>
      </c>
      <c r="V34" s="24">
        <v>0</v>
      </c>
      <c r="W34" s="52" t="s">
        <v>103</v>
      </c>
      <c r="X34" s="22">
        <v>0</v>
      </c>
      <c r="Y34" s="24">
        <v>0</v>
      </c>
      <c r="Z34" s="52" t="s">
        <v>103</v>
      </c>
      <c r="AA34" s="22">
        <v>0</v>
      </c>
      <c r="AB34" s="24">
        <v>0</v>
      </c>
      <c r="AC34" s="52" t="s">
        <v>103</v>
      </c>
      <c r="AD34" s="22">
        <v>0</v>
      </c>
      <c r="AE34" s="24">
        <v>0</v>
      </c>
      <c r="AF34" s="52" t="s">
        <v>103</v>
      </c>
      <c r="AG34" s="22">
        <v>14</v>
      </c>
      <c r="AH34" s="24">
        <v>0</v>
      </c>
      <c r="AI34" s="52">
        <v>0</v>
      </c>
      <c r="AJ34" s="22">
        <v>0</v>
      </c>
      <c r="AK34" s="24">
        <v>0</v>
      </c>
      <c r="AL34" s="52" t="s">
        <v>103</v>
      </c>
      <c r="AM34" s="22">
        <v>0</v>
      </c>
      <c r="AN34" s="24">
        <v>0</v>
      </c>
      <c r="AO34" s="52" t="s">
        <v>103</v>
      </c>
      <c r="AP34" s="22">
        <v>0</v>
      </c>
      <c r="AQ34" s="24">
        <v>0</v>
      </c>
      <c r="AR34" s="52" t="s">
        <v>103</v>
      </c>
      <c r="AS34" s="22">
        <v>0</v>
      </c>
      <c r="AT34" s="24">
        <v>0</v>
      </c>
      <c r="AU34" s="52" t="s">
        <v>103</v>
      </c>
      <c r="AV34" s="22">
        <v>0</v>
      </c>
      <c r="AW34" s="24">
        <v>0</v>
      </c>
      <c r="AX34" s="52" t="s">
        <v>103</v>
      </c>
      <c r="AY34" s="22">
        <v>0</v>
      </c>
      <c r="AZ34" s="24">
        <v>0</v>
      </c>
      <c r="BA34" s="52" t="s">
        <v>103</v>
      </c>
      <c r="BB34" s="22">
        <v>0</v>
      </c>
      <c r="BC34" s="24">
        <v>0</v>
      </c>
      <c r="BD34" s="52" t="s">
        <v>103</v>
      </c>
      <c r="BE34" s="22">
        <v>4</v>
      </c>
      <c r="BF34" s="24">
        <v>0</v>
      </c>
      <c r="BG34" s="52">
        <v>0</v>
      </c>
      <c r="BH34" s="22">
        <v>10</v>
      </c>
      <c r="BI34" s="24">
        <v>0</v>
      </c>
      <c r="BJ34" s="52" t="s">
        <v>103</v>
      </c>
      <c r="BK34" s="22">
        <v>603</v>
      </c>
      <c r="BL34" s="24">
        <v>4</v>
      </c>
      <c r="BM34" s="52">
        <v>6.6777963272119933E-3</v>
      </c>
      <c r="BN34" s="22">
        <v>24</v>
      </c>
      <c r="BO34" s="24">
        <v>0</v>
      </c>
      <c r="BP34" s="52">
        <v>0</v>
      </c>
      <c r="BQ34" s="22">
        <v>21</v>
      </c>
      <c r="BR34" s="24">
        <v>0</v>
      </c>
      <c r="BS34" s="52">
        <v>0</v>
      </c>
    </row>
    <row r="35" spans="2:71" s="3" customFormat="1" x14ac:dyDescent="0.25">
      <c r="B35" s="19" t="s">
        <v>50</v>
      </c>
      <c r="C35" s="20">
        <f t="shared" si="0"/>
        <v>2415</v>
      </c>
      <c r="D35" s="24">
        <f t="shared" si="0"/>
        <v>263</v>
      </c>
      <c r="E35" s="52">
        <f t="shared" si="1"/>
        <v>0.12221189591078074</v>
      </c>
      <c r="F35" s="22">
        <v>12</v>
      </c>
      <c r="G35" s="24">
        <v>0</v>
      </c>
      <c r="H35" s="52">
        <v>0</v>
      </c>
      <c r="I35" s="22">
        <v>0</v>
      </c>
      <c r="J35" s="24">
        <v>0</v>
      </c>
      <c r="K35" s="52" t="s">
        <v>103</v>
      </c>
      <c r="L35" s="22">
        <v>0</v>
      </c>
      <c r="M35" s="24">
        <v>0</v>
      </c>
      <c r="N35" s="52" t="s">
        <v>103</v>
      </c>
      <c r="O35" s="22">
        <v>0</v>
      </c>
      <c r="P35" s="24">
        <v>0</v>
      </c>
      <c r="Q35" s="52" t="s">
        <v>103</v>
      </c>
      <c r="R35" s="22">
        <v>0</v>
      </c>
      <c r="S35" s="24">
        <v>0</v>
      </c>
      <c r="T35" s="52" t="s">
        <v>103</v>
      </c>
      <c r="U35" s="22">
        <v>0</v>
      </c>
      <c r="V35" s="24">
        <v>0</v>
      </c>
      <c r="W35" s="52" t="s">
        <v>103</v>
      </c>
      <c r="X35" s="22">
        <v>0</v>
      </c>
      <c r="Y35" s="24">
        <v>0</v>
      </c>
      <c r="Z35" s="52" t="s">
        <v>103</v>
      </c>
      <c r="AA35" s="22">
        <v>0</v>
      </c>
      <c r="AB35" s="24">
        <v>0</v>
      </c>
      <c r="AC35" s="52" t="s">
        <v>103</v>
      </c>
      <c r="AD35" s="22">
        <v>12</v>
      </c>
      <c r="AE35" s="24">
        <v>0</v>
      </c>
      <c r="AF35" s="52">
        <v>0</v>
      </c>
      <c r="AG35" s="22">
        <v>272</v>
      </c>
      <c r="AH35" s="24">
        <v>0</v>
      </c>
      <c r="AI35" s="52">
        <v>0</v>
      </c>
      <c r="AJ35" s="22">
        <v>0</v>
      </c>
      <c r="AK35" s="24">
        <v>0</v>
      </c>
      <c r="AL35" s="52" t="s">
        <v>103</v>
      </c>
      <c r="AM35" s="22">
        <v>0</v>
      </c>
      <c r="AN35" s="24">
        <v>0</v>
      </c>
      <c r="AO35" s="52" t="s">
        <v>103</v>
      </c>
      <c r="AP35" s="22">
        <v>272</v>
      </c>
      <c r="AQ35" s="24">
        <v>0</v>
      </c>
      <c r="AR35" s="52">
        <v>0</v>
      </c>
      <c r="AS35" s="22">
        <v>0</v>
      </c>
      <c r="AT35" s="24">
        <v>0</v>
      </c>
      <c r="AU35" s="52" t="s">
        <v>103</v>
      </c>
      <c r="AV35" s="22">
        <v>0</v>
      </c>
      <c r="AW35" s="24">
        <v>0</v>
      </c>
      <c r="AX35" s="52" t="s">
        <v>103</v>
      </c>
      <c r="AY35" s="22">
        <v>0</v>
      </c>
      <c r="AZ35" s="24">
        <v>0</v>
      </c>
      <c r="BA35" s="52" t="s">
        <v>103</v>
      </c>
      <c r="BB35" s="22">
        <v>0</v>
      </c>
      <c r="BC35" s="24">
        <v>0</v>
      </c>
      <c r="BD35" s="52" t="s">
        <v>103</v>
      </c>
      <c r="BE35" s="22">
        <v>0</v>
      </c>
      <c r="BF35" s="24">
        <v>0</v>
      </c>
      <c r="BG35" s="52" t="s">
        <v>103</v>
      </c>
      <c r="BH35" s="22">
        <v>0</v>
      </c>
      <c r="BI35" s="24">
        <v>0</v>
      </c>
      <c r="BJ35" s="52" t="s">
        <v>103</v>
      </c>
      <c r="BK35" s="22">
        <v>2096</v>
      </c>
      <c r="BL35" s="24">
        <v>263</v>
      </c>
      <c r="BM35" s="52">
        <v>0.14348063284233503</v>
      </c>
      <c r="BN35" s="22">
        <v>0</v>
      </c>
      <c r="BO35" s="24">
        <v>0</v>
      </c>
      <c r="BP35" s="52" t="s">
        <v>103</v>
      </c>
      <c r="BQ35" s="22">
        <v>35</v>
      </c>
      <c r="BR35" s="24">
        <v>0</v>
      </c>
      <c r="BS35" s="52">
        <v>0</v>
      </c>
    </row>
    <row r="36" spans="2:71" s="3" customFormat="1" x14ac:dyDescent="0.25">
      <c r="B36" s="19" t="s">
        <v>51</v>
      </c>
      <c r="C36" s="20">
        <f t="shared" si="0"/>
        <v>373</v>
      </c>
      <c r="D36" s="24">
        <f t="shared" si="0"/>
        <v>49</v>
      </c>
      <c r="E36" s="52">
        <f t="shared" si="1"/>
        <v>0.15123456790123457</v>
      </c>
      <c r="F36" s="22">
        <v>0</v>
      </c>
      <c r="G36" s="24">
        <v>0</v>
      </c>
      <c r="H36" s="52" t="s">
        <v>103</v>
      </c>
      <c r="I36" s="22">
        <v>0</v>
      </c>
      <c r="J36" s="24">
        <v>0</v>
      </c>
      <c r="K36" s="52" t="s">
        <v>103</v>
      </c>
      <c r="L36" s="22">
        <v>0</v>
      </c>
      <c r="M36" s="24">
        <v>0</v>
      </c>
      <c r="N36" s="52" t="s">
        <v>103</v>
      </c>
      <c r="O36" s="22">
        <v>0</v>
      </c>
      <c r="P36" s="24">
        <v>0</v>
      </c>
      <c r="Q36" s="52" t="s">
        <v>103</v>
      </c>
      <c r="R36" s="22">
        <v>0</v>
      </c>
      <c r="S36" s="24">
        <v>0</v>
      </c>
      <c r="T36" s="52" t="s">
        <v>103</v>
      </c>
      <c r="U36" s="22">
        <v>0</v>
      </c>
      <c r="V36" s="24">
        <v>0</v>
      </c>
      <c r="W36" s="52" t="s">
        <v>103</v>
      </c>
      <c r="X36" s="22">
        <v>0</v>
      </c>
      <c r="Y36" s="24">
        <v>0</v>
      </c>
      <c r="Z36" s="52" t="s">
        <v>103</v>
      </c>
      <c r="AA36" s="22">
        <v>0</v>
      </c>
      <c r="AB36" s="24">
        <v>0</v>
      </c>
      <c r="AC36" s="52" t="s">
        <v>103</v>
      </c>
      <c r="AD36" s="22">
        <v>0</v>
      </c>
      <c r="AE36" s="24">
        <v>0</v>
      </c>
      <c r="AF36" s="52" t="s">
        <v>103</v>
      </c>
      <c r="AG36" s="22">
        <v>14</v>
      </c>
      <c r="AH36" s="24">
        <v>0</v>
      </c>
      <c r="AI36" s="52">
        <v>0</v>
      </c>
      <c r="AJ36" s="22">
        <v>0</v>
      </c>
      <c r="AK36" s="24">
        <v>0</v>
      </c>
      <c r="AL36" s="52" t="s">
        <v>103</v>
      </c>
      <c r="AM36" s="22">
        <v>0</v>
      </c>
      <c r="AN36" s="24">
        <v>0</v>
      </c>
      <c r="AO36" s="52" t="s">
        <v>103</v>
      </c>
      <c r="AP36" s="22">
        <v>0</v>
      </c>
      <c r="AQ36" s="24">
        <v>0</v>
      </c>
      <c r="AR36" s="52" t="s">
        <v>103</v>
      </c>
      <c r="AS36" s="22">
        <v>0</v>
      </c>
      <c r="AT36" s="24">
        <v>0</v>
      </c>
      <c r="AU36" s="52" t="s">
        <v>103</v>
      </c>
      <c r="AV36" s="22">
        <v>0</v>
      </c>
      <c r="AW36" s="24">
        <v>0</v>
      </c>
      <c r="AX36" s="52" t="s">
        <v>103</v>
      </c>
      <c r="AY36" s="22">
        <v>0</v>
      </c>
      <c r="AZ36" s="24">
        <v>0</v>
      </c>
      <c r="BA36" s="52" t="s">
        <v>103</v>
      </c>
      <c r="BB36" s="22">
        <v>0</v>
      </c>
      <c r="BC36" s="24">
        <v>0</v>
      </c>
      <c r="BD36" s="52" t="s">
        <v>103</v>
      </c>
      <c r="BE36" s="22">
        <v>14</v>
      </c>
      <c r="BF36" s="24">
        <v>0</v>
      </c>
      <c r="BG36" s="52">
        <v>0</v>
      </c>
      <c r="BH36" s="22">
        <v>0</v>
      </c>
      <c r="BI36" s="24">
        <v>0</v>
      </c>
      <c r="BJ36" s="52" t="s">
        <v>103</v>
      </c>
      <c r="BK36" s="22">
        <v>326</v>
      </c>
      <c r="BL36" s="24">
        <v>49</v>
      </c>
      <c r="BM36" s="52">
        <v>0.17689530685920585</v>
      </c>
      <c r="BN36" s="22">
        <v>21</v>
      </c>
      <c r="BO36" s="24">
        <v>0</v>
      </c>
      <c r="BP36" s="52" t="s">
        <v>103</v>
      </c>
      <c r="BQ36" s="22">
        <v>12</v>
      </c>
      <c r="BR36" s="24">
        <v>0</v>
      </c>
      <c r="BS36" s="52" t="s">
        <v>103</v>
      </c>
    </row>
    <row r="37" spans="2:71" s="3" customFormat="1" x14ac:dyDescent="0.25">
      <c r="B37" s="19" t="s">
        <v>52</v>
      </c>
      <c r="C37" s="20">
        <f t="shared" si="0"/>
        <v>440</v>
      </c>
      <c r="D37" s="24">
        <f t="shared" si="0"/>
        <v>58</v>
      </c>
      <c r="E37" s="52">
        <f t="shared" si="1"/>
        <v>0.1518324607329844</v>
      </c>
      <c r="F37" s="22">
        <v>10</v>
      </c>
      <c r="G37" s="24">
        <v>0</v>
      </c>
      <c r="H37" s="52">
        <v>0</v>
      </c>
      <c r="I37" s="22">
        <v>0</v>
      </c>
      <c r="J37" s="24">
        <v>0</v>
      </c>
      <c r="K37" s="52" t="s">
        <v>103</v>
      </c>
      <c r="L37" s="22">
        <v>0</v>
      </c>
      <c r="M37" s="24">
        <v>0</v>
      </c>
      <c r="N37" s="52" t="s">
        <v>103</v>
      </c>
      <c r="O37" s="22">
        <v>0</v>
      </c>
      <c r="P37" s="24">
        <v>0</v>
      </c>
      <c r="Q37" s="52" t="s">
        <v>103</v>
      </c>
      <c r="R37" s="22">
        <v>0</v>
      </c>
      <c r="S37" s="24">
        <v>0</v>
      </c>
      <c r="T37" s="52" t="s">
        <v>103</v>
      </c>
      <c r="U37" s="22">
        <v>0</v>
      </c>
      <c r="V37" s="24">
        <v>0</v>
      </c>
      <c r="W37" s="52" t="s">
        <v>103</v>
      </c>
      <c r="X37" s="22">
        <v>0</v>
      </c>
      <c r="Y37" s="24">
        <v>0</v>
      </c>
      <c r="Z37" s="52" t="s">
        <v>103</v>
      </c>
      <c r="AA37" s="22">
        <v>0</v>
      </c>
      <c r="AB37" s="24">
        <v>0</v>
      </c>
      <c r="AC37" s="52" t="s">
        <v>103</v>
      </c>
      <c r="AD37" s="22">
        <v>10</v>
      </c>
      <c r="AE37" s="24">
        <v>0</v>
      </c>
      <c r="AF37" s="52">
        <v>0</v>
      </c>
      <c r="AG37" s="22">
        <v>17</v>
      </c>
      <c r="AH37" s="24">
        <v>0</v>
      </c>
      <c r="AI37" s="52">
        <v>0</v>
      </c>
      <c r="AJ37" s="22">
        <v>0</v>
      </c>
      <c r="AK37" s="24">
        <v>0</v>
      </c>
      <c r="AL37" s="52" t="s">
        <v>103</v>
      </c>
      <c r="AM37" s="22">
        <v>0</v>
      </c>
      <c r="AN37" s="24">
        <v>0</v>
      </c>
      <c r="AO37" s="52" t="s">
        <v>103</v>
      </c>
      <c r="AP37" s="22">
        <v>0</v>
      </c>
      <c r="AQ37" s="24">
        <v>0</v>
      </c>
      <c r="AR37" s="52" t="s">
        <v>103</v>
      </c>
      <c r="AS37" s="22">
        <v>0</v>
      </c>
      <c r="AT37" s="24">
        <v>0</v>
      </c>
      <c r="AU37" s="52" t="s">
        <v>103</v>
      </c>
      <c r="AV37" s="22">
        <v>0</v>
      </c>
      <c r="AW37" s="24">
        <v>0</v>
      </c>
      <c r="AX37" s="52" t="s">
        <v>103</v>
      </c>
      <c r="AY37" s="22">
        <v>0</v>
      </c>
      <c r="AZ37" s="24">
        <v>0</v>
      </c>
      <c r="BA37" s="52" t="s">
        <v>103</v>
      </c>
      <c r="BB37" s="22">
        <v>0</v>
      </c>
      <c r="BC37" s="24">
        <v>0</v>
      </c>
      <c r="BD37" s="52" t="s">
        <v>103</v>
      </c>
      <c r="BE37" s="22">
        <v>10</v>
      </c>
      <c r="BF37" s="24">
        <v>0</v>
      </c>
      <c r="BG37" s="52">
        <v>0</v>
      </c>
      <c r="BH37" s="22">
        <v>7</v>
      </c>
      <c r="BI37" s="24">
        <v>0</v>
      </c>
      <c r="BJ37" s="52" t="s">
        <v>103</v>
      </c>
      <c r="BK37" s="22">
        <v>400</v>
      </c>
      <c r="BL37" s="24">
        <v>58</v>
      </c>
      <c r="BM37" s="52">
        <v>0.16959064327485374</v>
      </c>
      <c r="BN37" s="22">
        <v>0</v>
      </c>
      <c r="BO37" s="24">
        <v>0</v>
      </c>
      <c r="BP37" s="52" t="s">
        <v>103</v>
      </c>
      <c r="BQ37" s="22">
        <v>13</v>
      </c>
      <c r="BR37" s="24">
        <v>0</v>
      </c>
      <c r="BS37" s="52">
        <v>0</v>
      </c>
    </row>
    <row r="38" spans="2:71" s="3" customFormat="1" x14ac:dyDescent="0.25">
      <c r="B38" s="19" t="s">
        <v>53</v>
      </c>
      <c r="C38" s="20">
        <f t="shared" si="0"/>
        <v>416</v>
      </c>
      <c r="D38" s="24">
        <f t="shared" si="0"/>
        <v>51</v>
      </c>
      <c r="E38" s="52">
        <f t="shared" si="1"/>
        <v>0.13972602739726026</v>
      </c>
      <c r="F38" s="22">
        <v>0</v>
      </c>
      <c r="G38" s="24">
        <v>0</v>
      </c>
      <c r="H38" s="52" t="s">
        <v>103</v>
      </c>
      <c r="I38" s="22">
        <v>0</v>
      </c>
      <c r="J38" s="24">
        <v>0</v>
      </c>
      <c r="K38" s="52" t="s">
        <v>103</v>
      </c>
      <c r="L38" s="22">
        <v>0</v>
      </c>
      <c r="M38" s="24">
        <v>0</v>
      </c>
      <c r="N38" s="52" t="s">
        <v>103</v>
      </c>
      <c r="O38" s="22">
        <v>0</v>
      </c>
      <c r="P38" s="24">
        <v>0</v>
      </c>
      <c r="Q38" s="52" t="s">
        <v>103</v>
      </c>
      <c r="R38" s="22">
        <v>0</v>
      </c>
      <c r="S38" s="24">
        <v>0</v>
      </c>
      <c r="T38" s="52" t="s">
        <v>103</v>
      </c>
      <c r="U38" s="22">
        <v>0</v>
      </c>
      <c r="V38" s="24">
        <v>0</v>
      </c>
      <c r="W38" s="52" t="s">
        <v>103</v>
      </c>
      <c r="X38" s="22">
        <v>0</v>
      </c>
      <c r="Y38" s="24">
        <v>0</v>
      </c>
      <c r="Z38" s="52" t="s">
        <v>103</v>
      </c>
      <c r="AA38" s="22">
        <v>0</v>
      </c>
      <c r="AB38" s="24">
        <v>0</v>
      </c>
      <c r="AC38" s="52" t="s">
        <v>103</v>
      </c>
      <c r="AD38" s="22">
        <v>0</v>
      </c>
      <c r="AE38" s="24">
        <v>0</v>
      </c>
      <c r="AF38" s="52" t="s">
        <v>103</v>
      </c>
      <c r="AG38" s="22">
        <v>0</v>
      </c>
      <c r="AH38" s="24">
        <v>0</v>
      </c>
      <c r="AI38" s="52" t="s">
        <v>103</v>
      </c>
      <c r="AJ38" s="22">
        <v>0</v>
      </c>
      <c r="AK38" s="24">
        <v>0</v>
      </c>
      <c r="AL38" s="52" t="s">
        <v>103</v>
      </c>
      <c r="AM38" s="22">
        <v>0</v>
      </c>
      <c r="AN38" s="24">
        <v>0</v>
      </c>
      <c r="AO38" s="52" t="s">
        <v>103</v>
      </c>
      <c r="AP38" s="22">
        <v>0</v>
      </c>
      <c r="AQ38" s="24">
        <v>0</v>
      </c>
      <c r="AR38" s="52" t="s">
        <v>103</v>
      </c>
      <c r="AS38" s="22">
        <v>0</v>
      </c>
      <c r="AT38" s="24">
        <v>0</v>
      </c>
      <c r="AU38" s="52" t="s">
        <v>103</v>
      </c>
      <c r="AV38" s="22">
        <v>0</v>
      </c>
      <c r="AW38" s="24">
        <v>0</v>
      </c>
      <c r="AX38" s="52" t="s">
        <v>103</v>
      </c>
      <c r="AY38" s="22">
        <v>0</v>
      </c>
      <c r="AZ38" s="24">
        <v>0</v>
      </c>
      <c r="BA38" s="52" t="s">
        <v>103</v>
      </c>
      <c r="BB38" s="22">
        <v>0</v>
      </c>
      <c r="BC38" s="24">
        <v>0</v>
      </c>
      <c r="BD38" s="52" t="s">
        <v>103</v>
      </c>
      <c r="BE38" s="22">
        <v>0</v>
      </c>
      <c r="BF38" s="24">
        <v>0</v>
      </c>
      <c r="BG38" s="52" t="s">
        <v>103</v>
      </c>
      <c r="BH38" s="22">
        <v>0</v>
      </c>
      <c r="BI38" s="24">
        <v>0</v>
      </c>
      <c r="BJ38" s="52" t="s">
        <v>103</v>
      </c>
      <c r="BK38" s="22">
        <v>404</v>
      </c>
      <c r="BL38" s="24">
        <v>51</v>
      </c>
      <c r="BM38" s="52">
        <v>0.14447592067988668</v>
      </c>
      <c r="BN38" s="22">
        <v>0</v>
      </c>
      <c r="BO38" s="24">
        <v>0</v>
      </c>
      <c r="BP38" s="52" t="s">
        <v>103</v>
      </c>
      <c r="BQ38" s="22">
        <v>12</v>
      </c>
      <c r="BR38" s="24">
        <v>0</v>
      </c>
      <c r="BS38" s="52">
        <v>0</v>
      </c>
    </row>
    <row r="39" spans="2:71" s="3" customFormat="1" x14ac:dyDescent="0.25">
      <c r="B39" s="19" t="s">
        <v>54</v>
      </c>
      <c r="C39" s="20">
        <f t="shared" si="0"/>
        <v>668</v>
      </c>
      <c r="D39" s="24">
        <f t="shared" si="0"/>
        <v>35</v>
      </c>
      <c r="E39" s="52">
        <f t="shared" si="1"/>
        <v>5.5292259083728368E-2</v>
      </c>
      <c r="F39" s="22">
        <v>119</v>
      </c>
      <c r="G39" s="24">
        <v>0</v>
      </c>
      <c r="H39" s="52">
        <v>0</v>
      </c>
      <c r="I39" s="22">
        <v>17</v>
      </c>
      <c r="J39" s="24">
        <v>0</v>
      </c>
      <c r="K39" s="52">
        <v>0</v>
      </c>
      <c r="L39" s="22">
        <v>28</v>
      </c>
      <c r="M39" s="24">
        <v>0</v>
      </c>
      <c r="N39" s="52">
        <v>0</v>
      </c>
      <c r="O39" s="22">
        <v>32</v>
      </c>
      <c r="P39" s="24">
        <v>0</v>
      </c>
      <c r="Q39" s="52">
        <v>0</v>
      </c>
      <c r="R39" s="22">
        <v>42</v>
      </c>
      <c r="S39" s="24">
        <v>0</v>
      </c>
      <c r="T39" s="52">
        <v>0</v>
      </c>
      <c r="U39" s="22">
        <v>0</v>
      </c>
      <c r="V39" s="24">
        <v>0</v>
      </c>
      <c r="W39" s="52" t="s">
        <v>103</v>
      </c>
      <c r="X39" s="22">
        <v>0</v>
      </c>
      <c r="Y39" s="24">
        <v>0</v>
      </c>
      <c r="Z39" s="52" t="s">
        <v>103</v>
      </c>
      <c r="AA39" s="22">
        <v>0</v>
      </c>
      <c r="AB39" s="24">
        <v>0</v>
      </c>
      <c r="AC39" s="52" t="s">
        <v>103</v>
      </c>
      <c r="AD39" s="22">
        <v>0</v>
      </c>
      <c r="AE39" s="24">
        <v>0</v>
      </c>
      <c r="AF39" s="52" t="s">
        <v>103</v>
      </c>
      <c r="AG39" s="22">
        <v>6</v>
      </c>
      <c r="AH39" s="24">
        <v>0</v>
      </c>
      <c r="AI39" s="52">
        <v>0</v>
      </c>
      <c r="AJ39" s="22">
        <v>0</v>
      </c>
      <c r="AK39" s="24">
        <v>0</v>
      </c>
      <c r="AL39" s="52" t="s">
        <v>103</v>
      </c>
      <c r="AM39" s="22">
        <v>0</v>
      </c>
      <c r="AN39" s="24">
        <v>0</v>
      </c>
      <c r="AO39" s="52" t="s">
        <v>103</v>
      </c>
      <c r="AP39" s="22">
        <v>0</v>
      </c>
      <c r="AQ39" s="24">
        <v>0</v>
      </c>
      <c r="AR39" s="52" t="s">
        <v>103</v>
      </c>
      <c r="AS39" s="22">
        <v>0</v>
      </c>
      <c r="AT39" s="24">
        <v>0</v>
      </c>
      <c r="AU39" s="52" t="s">
        <v>103</v>
      </c>
      <c r="AV39" s="22">
        <v>0</v>
      </c>
      <c r="AW39" s="24">
        <v>0</v>
      </c>
      <c r="AX39" s="52" t="s">
        <v>103</v>
      </c>
      <c r="AY39" s="22">
        <v>0</v>
      </c>
      <c r="AZ39" s="24">
        <v>0</v>
      </c>
      <c r="BA39" s="52" t="s">
        <v>103</v>
      </c>
      <c r="BB39" s="22">
        <v>0</v>
      </c>
      <c r="BC39" s="24">
        <v>0</v>
      </c>
      <c r="BD39" s="52" t="s">
        <v>103</v>
      </c>
      <c r="BE39" s="22">
        <v>0</v>
      </c>
      <c r="BF39" s="24">
        <v>0</v>
      </c>
      <c r="BG39" s="52" t="s">
        <v>103</v>
      </c>
      <c r="BH39" s="22">
        <v>6</v>
      </c>
      <c r="BI39" s="24">
        <v>0</v>
      </c>
      <c r="BJ39" s="52" t="s">
        <v>103</v>
      </c>
      <c r="BK39" s="22">
        <v>497</v>
      </c>
      <c r="BL39" s="24">
        <v>35</v>
      </c>
      <c r="BM39" s="52">
        <v>7.575757575757569E-2</v>
      </c>
      <c r="BN39" s="22">
        <v>40</v>
      </c>
      <c r="BO39" s="24">
        <v>0</v>
      </c>
      <c r="BP39" s="52">
        <v>0</v>
      </c>
      <c r="BQ39" s="22">
        <v>6</v>
      </c>
      <c r="BR39" s="24">
        <v>0</v>
      </c>
      <c r="BS39" s="52">
        <v>0</v>
      </c>
    </row>
    <row r="40" spans="2:71" s="3" customFormat="1" x14ac:dyDescent="0.25">
      <c r="B40" s="19"/>
      <c r="C40" s="20"/>
      <c r="D40" s="24"/>
      <c r="E40" s="52"/>
      <c r="F40" s="22"/>
      <c r="G40" s="24"/>
      <c r="H40" s="52"/>
      <c r="I40" s="22"/>
      <c r="J40" s="24"/>
      <c r="K40" s="52"/>
      <c r="L40" s="22"/>
      <c r="M40" s="24"/>
      <c r="N40" s="52"/>
      <c r="O40" s="22"/>
      <c r="P40" s="24"/>
      <c r="Q40" s="52"/>
      <c r="R40" s="22"/>
      <c r="S40" s="24"/>
      <c r="T40" s="52"/>
      <c r="U40" s="22"/>
      <c r="V40" s="24"/>
      <c r="W40" s="52"/>
      <c r="X40" s="22"/>
      <c r="Y40" s="24"/>
      <c r="Z40" s="52"/>
      <c r="AA40" s="22"/>
      <c r="AB40" s="24"/>
      <c r="AC40" s="52"/>
      <c r="AD40" s="22"/>
      <c r="AE40" s="24"/>
      <c r="AF40" s="52"/>
      <c r="AG40" s="22"/>
      <c r="AH40" s="24"/>
      <c r="AI40" s="52"/>
      <c r="AJ40" s="22"/>
      <c r="AK40" s="24"/>
      <c r="AL40" s="52"/>
      <c r="AM40" s="22"/>
      <c r="AN40" s="24"/>
      <c r="AO40" s="52"/>
      <c r="AP40" s="22"/>
      <c r="AQ40" s="24"/>
      <c r="AR40" s="52"/>
      <c r="AS40" s="22"/>
      <c r="AT40" s="24"/>
      <c r="AU40" s="52"/>
      <c r="AV40" s="22"/>
      <c r="AW40" s="24"/>
      <c r="AX40" s="52"/>
      <c r="AY40" s="22"/>
      <c r="AZ40" s="24"/>
      <c r="BA40" s="52"/>
      <c r="BB40" s="22"/>
      <c r="BC40" s="24"/>
      <c r="BD40" s="52"/>
      <c r="BE40" s="22"/>
      <c r="BF40" s="24"/>
      <c r="BG40" s="52"/>
      <c r="BH40" s="22"/>
      <c r="BI40" s="24"/>
      <c r="BJ40" s="52"/>
      <c r="BK40" s="22"/>
      <c r="BL40" s="24"/>
      <c r="BM40" s="52"/>
      <c r="BN40" s="22"/>
      <c r="BO40" s="24"/>
      <c r="BP40" s="52"/>
      <c r="BQ40" s="22"/>
      <c r="BR40" s="24"/>
      <c r="BS40" s="52"/>
    </row>
    <row r="41" spans="2:71" s="3" customFormat="1" ht="6" customHeight="1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52"/>
      <c r="L41" s="27"/>
      <c r="M41" s="27"/>
      <c r="N41" s="52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</row>
    <row r="42" spans="2:71" s="3" customFormat="1" ht="29.25" customHeight="1" x14ac:dyDescent="0.25">
      <c r="B42" s="120" t="s">
        <v>55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29"/>
      <c r="Z42" s="54"/>
      <c r="AA42" s="54"/>
      <c r="AB42" s="29"/>
      <c r="AC42" s="54"/>
      <c r="AD42" s="54"/>
      <c r="AE42" s="29"/>
      <c r="AF42" s="54"/>
      <c r="AG42" s="54"/>
      <c r="AH42" s="29"/>
      <c r="AI42" s="54"/>
      <c r="AJ42" s="54"/>
      <c r="AK42" s="29"/>
      <c r="AL42" s="54"/>
      <c r="AM42" s="54"/>
      <c r="AN42" s="29"/>
      <c r="AO42" s="54"/>
      <c r="AP42" s="54"/>
      <c r="AQ42" s="29"/>
      <c r="AR42" s="54"/>
      <c r="AS42" s="54"/>
      <c r="AT42" s="29"/>
      <c r="AU42" s="54"/>
      <c r="AV42" s="54"/>
      <c r="AW42" s="29"/>
      <c r="AX42" s="54"/>
      <c r="AY42" s="54"/>
      <c r="AZ42" s="29"/>
      <c r="BA42" s="54"/>
      <c r="BB42" s="54"/>
      <c r="BC42" s="29"/>
      <c r="BD42" s="54"/>
      <c r="BE42" s="54"/>
      <c r="BF42" s="29"/>
      <c r="BG42" s="54"/>
      <c r="BH42" s="54"/>
      <c r="BI42" s="29"/>
      <c r="BJ42" s="54"/>
      <c r="BK42" s="54"/>
      <c r="BL42" s="29"/>
      <c r="BM42" s="54"/>
      <c r="BN42" s="54"/>
      <c r="BO42" s="29"/>
      <c r="BP42" s="54"/>
      <c r="BQ42" s="54"/>
      <c r="BR42" s="29"/>
      <c r="BS42" s="54"/>
    </row>
    <row r="43" spans="2:71" s="3" customFormat="1" x14ac:dyDescent="0.25"/>
    <row r="44" spans="2:71" x14ac:dyDescent="0.25">
      <c r="B44" t="s">
        <v>56</v>
      </c>
      <c r="C44" s="30">
        <f>SUM(C9:C12,C14:C15,C17,C19,C20,C27,C29,C32,C39)</f>
        <v>196395</v>
      </c>
      <c r="D44" s="30"/>
      <c r="E44" s="21"/>
      <c r="F44" s="30">
        <f>SUM(F9:F12,F14:F15,F17,F19,F20,F27,F29,F32,F39)</f>
        <v>65417</v>
      </c>
      <c r="G44" s="30"/>
      <c r="H44" s="21"/>
      <c r="I44" s="30">
        <f>SUM(I9:I12,I14:I15,I17,I19,I20,I27,I29,I32,I39)</f>
        <v>691</v>
      </c>
      <c r="J44" s="30"/>
      <c r="K44" s="21"/>
      <c r="L44" s="30">
        <f>SUM(L9:L12,L14:L15,L17,L19,L20,L27,L29,L32,L39)</f>
        <v>1206</v>
      </c>
      <c r="M44" s="30"/>
      <c r="N44" s="21"/>
      <c r="O44" s="30">
        <f>SUM(O9:O12,O14:O15,O17,O19,O20,O27,O29,O32,O39)</f>
        <v>9053</v>
      </c>
      <c r="P44" s="30"/>
      <c r="Q44" s="21"/>
      <c r="R44" s="30">
        <f>SUM(R9:R12,R14:R15,R17,R19,R20,R27,R29,R32,R39)</f>
        <v>38916</v>
      </c>
      <c r="S44" s="30"/>
      <c r="T44" s="21"/>
      <c r="U44" s="30">
        <f>SUM(U9:U12,U14:U15,U17,U19,U20,U27,U29,U32,U39)</f>
        <v>9874</v>
      </c>
      <c r="V44" s="30"/>
      <c r="W44" s="21"/>
      <c r="X44" s="30">
        <f>SUM(X9:X12,X14:X15,X17,X19,X20,X27,X29,X32,X39)</f>
        <v>2280</v>
      </c>
      <c r="Y44" s="30"/>
      <c r="Z44" s="21"/>
      <c r="AA44" s="30">
        <f>SUM(AA9:AA12,AA14:AA15,AA17,AA19,AA20,AA27,AA29,AA32,AA39)</f>
        <v>3353</v>
      </c>
      <c r="AB44" s="30"/>
      <c r="AC44" s="21"/>
      <c r="AD44" s="30">
        <f>SUM(AD9:AD12,AD14:AD15,AD17,AD19,AD20,AD27,AD29,AD32,AD39)</f>
        <v>44</v>
      </c>
      <c r="AE44" s="30"/>
      <c r="AF44" s="21"/>
      <c r="AG44" s="30">
        <f>SUM(AG9:AG12,AG14:AG15,AG17,AG19,AG20,AG27,AG29,AG32,AG39)</f>
        <v>40622</v>
      </c>
      <c r="AH44" s="30"/>
      <c r="AI44" s="21"/>
      <c r="AJ44" s="30">
        <f>SUM(AJ9:AJ12,AJ14:AJ15,AJ17,AJ19,AJ20,AJ27,AJ29,AJ32,AJ39)</f>
        <v>6010</v>
      </c>
      <c r="AK44" s="30"/>
      <c r="AL44" s="21"/>
      <c r="AM44" s="30">
        <f>SUM(AM9:AM12,AM14:AM15,AM17,AM19,AM20,AM27,AM29,AM32,AM39)</f>
        <v>9966</v>
      </c>
      <c r="AN44" s="30"/>
      <c r="AO44" s="21"/>
      <c r="AP44" s="30">
        <f>SUM(AP9:AP12,AP14:AP15,AP17,AP19,AP20,AP27,AP29,AP32,AP39)</f>
        <v>14151</v>
      </c>
      <c r="AQ44" s="30"/>
      <c r="AR44" s="21"/>
      <c r="AS44" s="30">
        <f>SUM(AS9:AS12,AS14:AS15,AS17,AS19,AS20,AS27,AS29,AS32,AS39)</f>
        <v>218</v>
      </c>
      <c r="AT44" s="30"/>
      <c r="AU44" s="21"/>
      <c r="AV44" s="30">
        <f>SUM(AV9:AV12,AV14:AV15,AV17,AV19,AV20,AV27,AV29,AV32,AV39)</f>
        <v>6894</v>
      </c>
      <c r="AW44" s="30"/>
      <c r="AX44" s="21"/>
      <c r="AY44" s="30">
        <f>SUM(AY9:AY12,AY14:AY15,AY17,AY19,AY20,AY27,AY29,AY32,AY39)</f>
        <v>1587</v>
      </c>
      <c r="AZ44" s="30"/>
      <c r="BA44" s="21"/>
      <c r="BB44" s="30">
        <f>SUM(BB9:BB12,BB14:BB15,BB17,BB19,BB20,BB27,BB29,BB32,BB39)</f>
        <v>1579</v>
      </c>
      <c r="BC44" s="30"/>
      <c r="BD44" s="21"/>
      <c r="BE44" s="30">
        <f>SUM(BE9:BE12,BE14:BE15,BE17,BE19,BE20,BE27,BE29,BE32,BE39)</f>
        <v>156</v>
      </c>
      <c r="BF44" s="30"/>
      <c r="BG44" s="21"/>
      <c r="BH44" s="30">
        <f>SUM(BH9:BH12,BH14:BH15,BH17,BH19,BH20,BH27,BH29,BH32,BH39)</f>
        <v>61</v>
      </c>
      <c r="BI44" s="30"/>
      <c r="BJ44" s="21"/>
      <c r="BK44" s="30">
        <v>89679</v>
      </c>
      <c r="BL44" s="30"/>
      <c r="BM44" s="21"/>
      <c r="BN44" s="30">
        <f>SUM(BN9:BN12,BN14:BN15,BN17,BN19,BN20,BN27,BN29,BN32,BN39)</f>
        <v>264</v>
      </c>
      <c r="BO44" s="30"/>
      <c r="BP44" s="21"/>
      <c r="BQ44" s="30">
        <f>SUM(BQ9:BQ12,BQ14:BQ15,BQ17,BQ19,BQ20,BQ27,BQ29,BQ32,BQ39)</f>
        <v>413</v>
      </c>
      <c r="BR44" s="30"/>
      <c r="BS44" s="21"/>
    </row>
    <row r="45" spans="2:71" x14ac:dyDescent="0.25">
      <c r="B45" t="s">
        <v>57</v>
      </c>
      <c r="C45" s="30">
        <f>SUM(C13,C16,C18,C21,C23,C24:C26,C28,C31,C33,C34,C36,C38)</f>
        <v>47003</v>
      </c>
      <c r="D45" s="30"/>
      <c r="E45" s="21"/>
      <c r="F45" s="30">
        <f>SUM(F13,F16,F18,F21,F23,F24:F26,F28,F31,F33,F34,F36,F38)</f>
        <v>19219</v>
      </c>
      <c r="G45" s="30"/>
      <c r="H45" s="21"/>
      <c r="I45" s="30">
        <f>SUM(I13,I16,I18,I21,I23,I24:I26,I28,I31,I33,I34,I36,I38)</f>
        <v>145</v>
      </c>
      <c r="J45" s="30"/>
      <c r="K45" s="21"/>
      <c r="L45" s="30">
        <f>SUM(L13,L16,L18,L21,L23,L24:L26,L28,L31,L33,L34,L36,L38)</f>
        <v>346</v>
      </c>
      <c r="M45" s="30"/>
      <c r="N45" s="21"/>
      <c r="O45" s="30">
        <f>SUM(O13,O16,O18,O21,O23,O24:O26,O28,O31,O33,O34,O36,O38)</f>
        <v>3108</v>
      </c>
      <c r="P45" s="30"/>
      <c r="Q45" s="21"/>
      <c r="R45" s="30">
        <f>SUM(R13,R16,R18,R21,R23,R24:R26,R28,R31,R33,R34,R36,R38)</f>
        <v>13974</v>
      </c>
      <c r="S45" s="30"/>
      <c r="T45" s="21"/>
      <c r="U45" s="30">
        <f>SUM(U13,U16,U18,U21,U23,U24:U26,U28,U31,U33,U34,U36,U38)</f>
        <v>798</v>
      </c>
      <c r="V45" s="30"/>
      <c r="W45" s="21"/>
      <c r="X45" s="30">
        <f>SUM(X13,X16,X18,X21,X23,X24:X26,X28,X31,X33,X34,X36,X38)</f>
        <v>542</v>
      </c>
      <c r="Y45" s="30"/>
      <c r="Z45" s="21"/>
      <c r="AA45" s="30">
        <f>SUM(AA13,AA16,AA18,AA21,AA23,AA24:AA26,AA28,AA31,AA33,AA34,AA36,AA38)</f>
        <v>234</v>
      </c>
      <c r="AB45" s="30"/>
      <c r="AC45" s="21"/>
      <c r="AD45" s="30">
        <f>SUM(AD13,AD16,AD18,AD21,AD23,AD24:AD26,AD28,AD31,AD33,AD34,AD36,AD38)</f>
        <v>72</v>
      </c>
      <c r="AE45" s="30"/>
      <c r="AF45" s="21"/>
      <c r="AG45" s="30">
        <f>SUM(AG13,AG16,AG18,AG21,AG23,AG24:AG26,AG28,AG31,AG33,AG34,AG36,AG38)</f>
        <v>4540</v>
      </c>
      <c r="AH45" s="30"/>
      <c r="AI45" s="21"/>
      <c r="AJ45" s="30">
        <f>SUM(AJ13,AJ16,AJ18,AJ21,AJ23,AJ24:AJ26,AJ28,AJ31,AJ33,AJ34,AJ36,AJ38)</f>
        <v>372</v>
      </c>
      <c r="AK45" s="30"/>
      <c r="AL45" s="21"/>
      <c r="AM45" s="30">
        <f>SUM(AM13,AM16,AM18,AM21,AM23,AM24:AM26,AM28,AM31,AM33,AM34,AM36,AM38)</f>
        <v>413</v>
      </c>
      <c r="AN45" s="30"/>
      <c r="AO45" s="21"/>
      <c r="AP45" s="30">
        <f>SUM(AP13,AP16,AP18,AP21,AP23,AP24:AP26,AP28,AP31,AP33,AP34,AP36,AP38)</f>
        <v>2770</v>
      </c>
      <c r="AQ45" s="30"/>
      <c r="AR45" s="21"/>
      <c r="AS45" s="30">
        <f>SUM(AS13,AS16,AS18,AS21,AS23,AS24:AS26,AS28,AS31,AS33,AS34,AS36,AS38)</f>
        <v>0</v>
      </c>
      <c r="AT45" s="30"/>
      <c r="AU45" s="21"/>
      <c r="AV45" s="30">
        <f>SUM(AV13,AV16,AV18,AV21,AV23,AV24:AV26,AV28,AV31,AV33,AV34,AV36,AV38)</f>
        <v>315</v>
      </c>
      <c r="AW45" s="30"/>
      <c r="AX45" s="21"/>
      <c r="AY45" s="30">
        <f>SUM(AY13,AY16,AY18,AY21,AY23,AY24:AY26,AY28,AY31,AY33,AY34,AY36,AY38)</f>
        <v>512</v>
      </c>
      <c r="AZ45" s="30"/>
      <c r="BA45" s="21"/>
      <c r="BB45" s="30">
        <f>SUM(BB13,BB16,BB18,BB21,BB23,BB24:BB26,BB28,BB31,BB33,BB34,BB36,BB38)</f>
        <v>0</v>
      </c>
      <c r="BC45" s="30"/>
      <c r="BD45" s="21"/>
      <c r="BE45" s="30">
        <f>SUM(BE13,BE16,BE18,BE21,BE23,BE24:BE26,BE28,BE31,BE33,BE34,BE36,BE38)</f>
        <v>140</v>
      </c>
      <c r="BF45" s="30"/>
      <c r="BG45" s="21"/>
      <c r="BH45" s="30">
        <f>SUM(BH13,BH16,BH18,BH21,BH23,BH24:BH26,BH28,BH31,BH33,BH34,BH36,BH38)</f>
        <v>18</v>
      </c>
      <c r="BI45" s="30"/>
      <c r="BJ45" s="21"/>
      <c r="BK45" s="30">
        <v>22457</v>
      </c>
      <c r="BL45" s="30"/>
      <c r="BM45" s="21"/>
      <c r="BN45" s="30">
        <f>SUM(BN13,BN16,BN18,BN21,BN23,BN24:BN26,BN28,BN31,BN33,BN34,BN36,BN38)</f>
        <v>271</v>
      </c>
      <c r="BO45" s="30"/>
      <c r="BP45" s="21"/>
      <c r="BQ45" s="30">
        <f>SUM(BQ13,BQ16,BQ18,BQ21,BQ23,BQ24:BQ26,BQ28,BQ31,BQ33,BQ34,BQ36,BQ38)</f>
        <v>516</v>
      </c>
      <c r="BR45" s="30"/>
      <c r="BS45" s="21"/>
    </row>
    <row r="46" spans="2:71" x14ac:dyDescent="0.25">
      <c r="B46" t="s">
        <v>58</v>
      </c>
      <c r="C46" s="30">
        <f>SUM(C22,C35,C37)</f>
        <v>9438</v>
      </c>
      <c r="D46" s="30"/>
      <c r="E46" s="21"/>
      <c r="F46" s="30">
        <f>SUM(F22,F35,F37)</f>
        <v>1218</v>
      </c>
      <c r="G46" s="30"/>
      <c r="H46" s="21"/>
      <c r="I46" s="30">
        <f>SUM(I22,I35,I37)</f>
        <v>164</v>
      </c>
      <c r="J46" s="30"/>
      <c r="K46" s="21"/>
      <c r="L46" s="30">
        <f>SUM(L22,L35,L37)</f>
        <v>46</v>
      </c>
      <c r="M46" s="30"/>
      <c r="N46" s="21"/>
      <c r="O46" s="30">
        <f>SUM(O22,O35,O37)</f>
        <v>322</v>
      </c>
      <c r="P46" s="30"/>
      <c r="Q46" s="21"/>
      <c r="R46" s="30">
        <f>SUM(R22,R35,R37)</f>
        <v>612</v>
      </c>
      <c r="S46" s="30"/>
      <c r="T46" s="21"/>
      <c r="U46" s="30">
        <f>SUM(U22,U35,U37)</f>
        <v>0</v>
      </c>
      <c r="V46" s="30"/>
      <c r="W46" s="21"/>
      <c r="X46" s="30">
        <f>SUM(X22,X35,X37)</f>
        <v>0</v>
      </c>
      <c r="Y46" s="30"/>
      <c r="Z46" s="21"/>
      <c r="AA46" s="30">
        <f>SUM(AA22,AA35,AA37)</f>
        <v>0</v>
      </c>
      <c r="AB46" s="30"/>
      <c r="AC46" s="21"/>
      <c r="AD46" s="30">
        <f>SUM(AD22,AD35,AD37)</f>
        <v>32</v>
      </c>
      <c r="AE46" s="30"/>
      <c r="AF46" s="21"/>
      <c r="AG46" s="30">
        <f>SUM(AG22,AG35,AG37)</f>
        <v>556</v>
      </c>
      <c r="AH46" s="30"/>
      <c r="AI46" s="21"/>
      <c r="AJ46" s="30">
        <f>SUM(AJ22,AJ35,AJ37)</f>
        <v>197</v>
      </c>
      <c r="AK46" s="30"/>
      <c r="AL46" s="21"/>
      <c r="AM46" s="30">
        <f>SUM(AM22,AM35,AM37)</f>
        <v>0</v>
      </c>
      <c r="AN46" s="30"/>
      <c r="AO46" s="21"/>
      <c r="AP46" s="30">
        <f>SUM(AP22,AP35,AP37)</f>
        <v>272</v>
      </c>
      <c r="AQ46" s="30"/>
      <c r="AR46" s="21"/>
      <c r="AS46" s="30">
        <f>SUM(AS22,AS35,AS37)</f>
        <v>0</v>
      </c>
      <c r="AT46" s="30"/>
      <c r="AU46" s="21"/>
      <c r="AV46" s="30">
        <f>SUM(AV22,AV35,AV37)</f>
        <v>0</v>
      </c>
      <c r="AW46" s="30"/>
      <c r="AX46" s="21"/>
      <c r="AY46" s="30">
        <f>SUM(AY22,AY35,AY37)</f>
        <v>0</v>
      </c>
      <c r="AZ46" s="30"/>
      <c r="BA46" s="21"/>
      <c r="BB46" s="30">
        <f>SUM(BB22,BB35,BB37)</f>
        <v>0</v>
      </c>
      <c r="BC46" s="30"/>
      <c r="BD46" s="21"/>
      <c r="BE46" s="30">
        <f>SUM(BE22,BE35,BE37)</f>
        <v>74</v>
      </c>
      <c r="BF46" s="30"/>
      <c r="BG46" s="21"/>
      <c r="BH46" s="30">
        <f>SUM(BH22,BH35,BH37)</f>
        <v>13</v>
      </c>
      <c r="BI46" s="30"/>
      <c r="BJ46" s="21"/>
      <c r="BK46" s="30">
        <v>7512</v>
      </c>
      <c r="BL46" s="30"/>
      <c r="BM46" s="21"/>
      <c r="BN46" s="30">
        <f>SUM(BN22,BN35,BN37)</f>
        <v>22</v>
      </c>
      <c r="BO46" s="30"/>
      <c r="BP46" s="21"/>
      <c r="BQ46" s="30">
        <f>SUM(BQ22,BQ35,BQ37)</f>
        <v>130</v>
      </c>
      <c r="BR46" s="30"/>
      <c r="BS46" s="21"/>
    </row>
    <row r="47" spans="2:71" x14ac:dyDescent="0.25">
      <c r="B47" t="s">
        <v>59</v>
      </c>
      <c r="C47" s="30">
        <f>C30</f>
        <v>13644</v>
      </c>
      <c r="D47" s="30"/>
      <c r="E47" s="21"/>
      <c r="F47" s="30">
        <f>F30</f>
        <v>2944</v>
      </c>
      <c r="G47" s="30"/>
      <c r="H47" s="21"/>
      <c r="I47" s="30">
        <f>I30</f>
        <v>218</v>
      </c>
      <c r="J47" s="30"/>
      <c r="K47" s="21"/>
      <c r="L47" s="30">
        <f>L30</f>
        <v>482</v>
      </c>
      <c r="M47" s="30"/>
      <c r="N47" s="21"/>
      <c r="O47" s="30">
        <f>O30</f>
        <v>408</v>
      </c>
      <c r="P47" s="30"/>
      <c r="Q47" s="21"/>
      <c r="R47" s="30">
        <f>R30</f>
        <v>1261</v>
      </c>
      <c r="S47" s="30"/>
      <c r="T47" s="21"/>
      <c r="U47" s="30">
        <f>U30</f>
        <v>507</v>
      </c>
      <c r="V47" s="30"/>
      <c r="W47" s="21"/>
      <c r="X47" s="30">
        <f>X30</f>
        <v>0</v>
      </c>
      <c r="Y47" s="30"/>
      <c r="Z47" s="21"/>
      <c r="AA47" s="30">
        <f>AA30</f>
        <v>0</v>
      </c>
      <c r="AB47" s="30"/>
      <c r="AC47" s="21"/>
      <c r="AD47" s="30">
        <f>AD30</f>
        <v>18</v>
      </c>
      <c r="AE47" s="30"/>
      <c r="AF47" s="21"/>
      <c r="AG47" s="30">
        <f>AG30</f>
        <v>50</v>
      </c>
      <c r="AH47" s="30"/>
      <c r="AI47" s="21"/>
      <c r="AJ47" s="30">
        <f>AJ30</f>
        <v>0</v>
      </c>
      <c r="AK47" s="30"/>
      <c r="AL47" s="21"/>
      <c r="AM47" s="30">
        <f>AM30</f>
        <v>0</v>
      </c>
      <c r="AN47" s="30"/>
      <c r="AO47" s="21"/>
      <c r="AP47" s="30">
        <f>AP30</f>
        <v>0</v>
      </c>
      <c r="AQ47" s="30"/>
      <c r="AR47" s="21"/>
      <c r="AS47" s="30">
        <f>AS30</f>
        <v>0</v>
      </c>
      <c r="AT47" s="30"/>
      <c r="AU47" s="21"/>
      <c r="AV47" s="30">
        <f>AV30</f>
        <v>0</v>
      </c>
      <c r="AW47" s="30"/>
      <c r="AX47" s="21"/>
      <c r="AY47" s="30">
        <f>AY30</f>
        <v>0</v>
      </c>
      <c r="AZ47" s="30"/>
      <c r="BA47" s="21"/>
      <c r="BB47" s="30">
        <f>BB30</f>
        <v>0</v>
      </c>
      <c r="BC47" s="30"/>
      <c r="BD47" s="21"/>
      <c r="BE47" s="30">
        <f>BE30</f>
        <v>44</v>
      </c>
      <c r="BF47" s="30"/>
      <c r="BG47" s="21"/>
      <c r="BH47" s="30">
        <f>BH30</f>
        <v>6</v>
      </c>
      <c r="BI47" s="30"/>
      <c r="BJ47" s="21"/>
      <c r="BK47" s="30">
        <v>10635</v>
      </c>
      <c r="BL47" s="30"/>
      <c r="BM47" s="21"/>
      <c r="BN47" s="30">
        <f>BN30</f>
        <v>0</v>
      </c>
      <c r="BO47" s="30"/>
      <c r="BP47" s="21"/>
      <c r="BQ47" s="30">
        <f>BQ30</f>
        <v>15</v>
      </c>
      <c r="BR47" s="30"/>
      <c r="BS47" s="21"/>
    </row>
    <row r="58" spans="1:71" ht="30" customHeight="1" x14ac:dyDescent="0.25"/>
    <row r="60" spans="1:71" s="3" customFormat="1" ht="48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s="3" customFormat="1" ht="6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5" spans="1:71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 s="3" customFormat="1" ht="6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</sheetData>
  <mergeCells count="28">
    <mergeCell ref="B42:X42"/>
    <mergeCell ref="AM6:AO6"/>
    <mergeCell ref="AP6:AR6"/>
    <mergeCell ref="AS6:AU6"/>
    <mergeCell ref="AV6:AX6"/>
    <mergeCell ref="B6:B7"/>
    <mergeCell ref="C6:E6"/>
    <mergeCell ref="F6:H6"/>
    <mergeCell ref="I6:K6"/>
    <mergeCell ref="L6:N6"/>
    <mergeCell ref="O6:Q6"/>
    <mergeCell ref="R6:T6"/>
    <mergeCell ref="U6:W6"/>
    <mergeCell ref="X6:Z6"/>
    <mergeCell ref="B3:Z3"/>
    <mergeCell ref="F5:AF5"/>
    <mergeCell ref="AG5:BJ5"/>
    <mergeCell ref="BE6:BG6"/>
    <mergeCell ref="BH6:BJ6"/>
    <mergeCell ref="AY6:BA6"/>
    <mergeCell ref="BB6:BD6"/>
    <mergeCell ref="BK5:BM6"/>
    <mergeCell ref="BN5:BP6"/>
    <mergeCell ref="BQ5:BS6"/>
    <mergeCell ref="AA6:AC6"/>
    <mergeCell ref="AD6:AF6"/>
    <mergeCell ref="AG6:AI6"/>
    <mergeCell ref="AJ6:AL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5C7A-5C3D-48AC-AC3D-0ED35CAE773A}">
  <sheetPr>
    <tabColor rgb="FF92D050"/>
  </sheetPr>
  <dimension ref="A1:K47"/>
  <sheetViews>
    <sheetView showGridLines="0" zoomScaleNormal="100" workbookViewId="0">
      <selection activeCell="D11" sqref="D11"/>
    </sheetView>
  </sheetViews>
  <sheetFormatPr baseColWidth="10" defaultRowHeight="15" x14ac:dyDescent="0.25"/>
  <cols>
    <col min="1" max="1" width="17.7109375" customWidth="1"/>
    <col min="2" max="2" width="16.140625" customWidth="1"/>
    <col min="3" max="8" width="14.5703125" customWidth="1"/>
    <col min="9" max="9" width="45.42578125" customWidth="1"/>
  </cols>
  <sheetData>
    <row r="1" spans="1:11" ht="30" customHeight="1" x14ac:dyDescent="0.25">
      <c r="C1" s="1"/>
    </row>
    <row r="3" spans="1:11" s="3" customFormat="1" ht="56.25" customHeight="1" thickBot="1" x14ac:dyDescent="0.3">
      <c r="B3" s="123" t="s">
        <v>107</v>
      </c>
      <c r="C3" s="123"/>
      <c r="D3" s="123"/>
      <c r="E3" s="123"/>
      <c r="F3" s="123"/>
      <c r="G3" s="123"/>
      <c r="H3" s="123"/>
    </row>
    <row r="4" spans="1:11" s="3" customFormat="1" ht="6" customHeight="1" x14ac:dyDescent="0.25"/>
    <row r="5" spans="1:11" s="3" customFormat="1" ht="30" x14ac:dyDescent="0.25">
      <c r="B5" s="55"/>
      <c r="C5" s="56" t="s">
        <v>17</v>
      </c>
      <c r="D5" s="56" t="s">
        <v>13</v>
      </c>
      <c r="E5" s="56" t="s">
        <v>14</v>
      </c>
      <c r="F5" s="57" t="s">
        <v>18</v>
      </c>
      <c r="G5" s="56" t="s">
        <v>19</v>
      </c>
      <c r="H5" s="56" t="s">
        <v>20</v>
      </c>
    </row>
    <row r="6" spans="1:11" s="3" customFormat="1" ht="15.75" customHeight="1" x14ac:dyDescent="0.25">
      <c r="B6" s="58">
        <v>2025</v>
      </c>
      <c r="C6" s="59">
        <v>266480</v>
      </c>
      <c r="D6" s="59">
        <v>88798</v>
      </c>
      <c r="E6" s="59">
        <v>45768</v>
      </c>
      <c r="F6" s="60">
        <v>130283</v>
      </c>
      <c r="G6" s="59">
        <v>557</v>
      </c>
      <c r="H6" s="59">
        <v>1074</v>
      </c>
      <c r="I6" s="124" t="s">
        <v>81</v>
      </c>
      <c r="J6" s="124"/>
      <c r="K6" s="124"/>
    </row>
    <row r="7" spans="1:11" s="3" customFormat="1" ht="15.75" customHeight="1" x14ac:dyDescent="0.25">
      <c r="B7" s="61">
        <v>2024</v>
      </c>
      <c r="C7" s="62">
        <v>248688</v>
      </c>
      <c r="D7" s="62">
        <v>87933</v>
      </c>
      <c r="E7" s="62">
        <v>44872</v>
      </c>
      <c r="F7" s="63">
        <v>114294</v>
      </c>
      <c r="G7" s="62">
        <v>527</v>
      </c>
      <c r="H7" s="62">
        <v>1062</v>
      </c>
      <c r="I7" s="124"/>
      <c r="J7" s="124"/>
      <c r="K7" s="124"/>
    </row>
    <row r="8" spans="1:11" s="3" customFormat="1" x14ac:dyDescent="0.25">
      <c r="B8" s="61">
        <v>2023</v>
      </c>
      <c r="C8" s="62">
        <v>215248</v>
      </c>
      <c r="D8" s="62">
        <v>86004</v>
      </c>
      <c r="E8" s="62">
        <v>47146</v>
      </c>
      <c r="F8" s="63">
        <v>80479</v>
      </c>
      <c r="G8" s="62">
        <v>543</v>
      </c>
      <c r="H8" s="62">
        <v>1076</v>
      </c>
    </row>
    <row r="9" spans="1:11" s="3" customFormat="1" ht="15" customHeight="1" x14ac:dyDescent="0.25">
      <c r="B9" s="61">
        <v>2022</v>
      </c>
      <c r="C9" s="62">
        <v>151625</v>
      </c>
      <c r="D9" s="62">
        <v>86372</v>
      </c>
      <c r="E9" s="62">
        <v>75376</v>
      </c>
      <c r="F9" s="64">
        <v>63638</v>
      </c>
      <c r="G9" s="62">
        <v>543</v>
      </c>
      <c r="H9" s="62">
        <v>1072</v>
      </c>
      <c r="I9" s="125" t="s">
        <v>82</v>
      </c>
      <c r="J9" s="125"/>
      <c r="K9" s="125"/>
    </row>
    <row r="10" spans="1:11" s="3" customFormat="1" x14ac:dyDescent="0.25">
      <c r="B10" s="61">
        <v>2021</v>
      </c>
      <c r="C10" s="62">
        <v>227450</v>
      </c>
      <c r="D10" s="62">
        <v>87426</v>
      </c>
      <c r="E10" s="62">
        <v>77747</v>
      </c>
      <c r="F10" s="64">
        <v>60684</v>
      </c>
      <c r="G10" s="62">
        <v>543</v>
      </c>
      <c r="H10" s="62">
        <v>1050</v>
      </c>
      <c r="I10" s="125"/>
      <c r="J10" s="125"/>
      <c r="K10" s="125"/>
    </row>
    <row r="11" spans="1:11" s="18" customFormat="1" ht="15.75" x14ac:dyDescent="0.25">
      <c r="B11" s="61">
        <v>2020</v>
      </c>
      <c r="C11" s="62">
        <v>228849</v>
      </c>
      <c r="D11" s="62">
        <v>89951</v>
      </c>
      <c r="E11" s="62">
        <v>78098</v>
      </c>
      <c r="F11" s="64">
        <v>59246</v>
      </c>
      <c r="G11" s="62">
        <v>504</v>
      </c>
      <c r="H11" s="62">
        <v>1050</v>
      </c>
      <c r="I11" s="125"/>
      <c r="J11" s="125"/>
      <c r="K11" s="125"/>
    </row>
    <row r="12" spans="1:11" s="18" customFormat="1" ht="15.75" x14ac:dyDescent="0.25">
      <c r="B12" s="61">
        <v>2019</v>
      </c>
      <c r="C12" s="62">
        <v>168415</v>
      </c>
      <c r="D12" s="62">
        <v>89841</v>
      </c>
      <c r="E12" s="62">
        <v>48920</v>
      </c>
      <c r="F12" s="62">
        <v>28150</v>
      </c>
      <c r="G12" s="62">
        <v>527</v>
      </c>
      <c r="H12" s="62">
        <v>977</v>
      </c>
      <c r="J12" s="65"/>
    </row>
    <row r="13" spans="1:11" s="18" customFormat="1" ht="15.75" x14ac:dyDescent="0.25">
      <c r="B13" s="61">
        <v>2018</v>
      </c>
      <c r="C13" s="62">
        <v>151213</v>
      </c>
      <c r="D13" s="62">
        <v>87577</v>
      </c>
      <c r="E13" s="62">
        <v>48674</v>
      </c>
      <c r="F13" s="62">
        <v>13433</v>
      </c>
      <c r="G13" s="62">
        <v>557</v>
      </c>
      <c r="H13" s="62">
        <v>972</v>
      </c>
      <c r="J13" s="65"/>
    </row>
    <row r="14" spans="1:11" s="3" customFormat="1" x14ac:dyDescent="0.25">
      <c r="A14" s="23"/>
      <c r="B14" s="61">
        <v>2017</v>
      </c>
      <c r="C14" s="62">
        <v>139388</v>
      </c>
      <c r="D14" s="62">
        <v>84115</v>
      </c>
      <c r="E14" s="62">
        <v>49021</v>
      </c>
      <c r="F14" s="62">
        <v>4777</v>
      </c>
      <c r="G14" s="62">
        <v>557</v>
      </c>
      <c r="H14" s="62">
        <v>918</v>
      </c>
    </row>
    <row r="15" spans="1:11" s="3" customFormat="1" x14ac:dyDescent="0.25">
      <c r="A15" s="23"/>
      <c r="B15" s="61">
        <v>2016</v>
      </c>
      <c r="C15" s="62">
        <v>136573</v>
      </c>
      <c r="D15" s="62">
        <v>84566</v>
      </c>
      <c r="E15" s="62">
        <v>48923</v>
      </c>
      <c r="F15" s="62">
        <v>1623</v>
      </c>
      <c r="G15" s="62">
        <v>557</v>
      </c>
      <c r="H15" s="62">
        <v>904</v>
      </c>
    </row>
    <row r="16" spans="1:11" s="3" customFormat="1" x14ac:dyDescent="0.25">
      <c r="A16" s="23"/>
      <c r="B16" s="61">
        <v>2015</v>
      </c>
      <c r="C16" s="62">
        <v>134333</v>
      </c>
      <c r="D16" s="62">
        <v>82963</v>
      </c>
      <c r="E16" s="62">
        <v>49605</v>
      </c>
      <c r="F16" s="62">
        <v>324</v>
      </c>
      <c r="G16" s="62">
        <v>553</v>
      </c>
      <c r="H16" s="62">
        <v>888</v>
      </c>
    </row>
    <row r="17" spans="1:8" s="3" customFormat="1" x14ac:dyDescent="0.25">
      <c r="A17" s="23"/>
      <c r="B17" s="61">
        <v>2014</v>
      </c>
      <c r="C17" s="62">
        <v>133348</v>
      </c>
      <c r="D17" s="62">
        <v>82741</v>
      </c>
      <c r="E17" s="62">
        <v>49176</v>
      </c>
      <c r="F17" s="62">
        <v>0</v>
      </c>
      <c r="G17" s="62">
        <v>541</v>
      </c>
      <c r="H17" s="62">
        <v>890</v>
      </c>
    </row>
    <row r="18" spans="1:8" s="3" customFormat="1" x14ac:dyDescent="0.25">
      <c r="A18" s="53"/>
      <c r="B18" s="66">
        <v>2013</v>
      </c>
      <c r="C18" s="62">
        <v>132394</v>
      </c>
      <c r="D18" s="67">
        <v>81884</v>
      </c>
      <c r="E18" s="62">
        <v>49070</v>
      </c>
      <c r="F18" s="62">
        <v>0</v>
      </c>
      <c r="G18" s="67">
        <v>541</v>
      </c>
      <c r="H18" s="67">
        <v>899</v>
      </c>
    </row>
    <row r="19" spans="1:8" s="3" customFormat="1" x14ac:dyDescent="0.25">
      <c r="A19" s="53"/>
      <c r="B19" s="66">
        <v>2012</v>
      </c>
      <c r="C19" s="62">
        <v>133842</v>
      </c>
      <c r="D19" s="67">
        <v>82209</v>
      </c>
      <c r="E19" s="62">
        <v>50319</v>
      </c>
      <c r="F19" s="62">
        <v>0</v>
      </c>
      <c r="G19" s="67">
        <v>529</v>
      </c>
      <c r="H19" s="67">
        <v>785</v>
      </c>
    </row>
    <row r="20" spans="1:8" s="3" customFormat="1" x14ac:dyDescent="0.25">
      <c r="A20" s="53"/>
      <c r="B20" s="66">
        <v>2011</v>
      </c>
      <c r="C20" s="62">
        <v>134186</v>
      </c>
      <c r="D20" s="67">
        <v>81929</v>
      </c>
      <c r="E20" s="62">
        <v>50899</v>
      </c>
      <c r="F20" s="62">
        <v>0</v>
      </c>
      <c r="G20" s="67">
        <v>541</v>
      </c>
      <c r="H20" s="67">
        <v>817</v>
      </c>
    </row>
    <row r="21" spans="1:8" s="3" customFormat="1" x14ac:dyDescent="0.25">
      <c r="A21" s="53"/>
      <c r="B21" s="66">
        <v>2010</v>
      </c>
      <c r="C21" s="62">
        <v>134419</v>
      </c>
      <c r="D21" s="67">
        <v>82341</v>
      </c>
      <c r="E21" s="62">
        <v>50781</v>
      </c>
      <c r="F21" s="62">
        <v>0</v>
      </c>
      <c r="G21" s="67">
        <v>511</v>
      </c>
      <c r="H21" s="67">
        <v>786</v>
      </c>
    </row>
    <row r="22" spans="1:8" s="3" customFormat="1" x14ac:dyDescent="0.25">
      <c r="B22" s="66">
        <v>2009</v>
      </c>
      <c r="C22" s="62">
        <v>134419</v>
      </c>
      <c r="D22" s="67">
        <v>81874</v>
      </c>
      <c r="E22" s="62">
        <v>51323</v>
      </c>
      <c r="F22" s="62">
        <v>0</v>
      </c>
      <c r="G22" s="67">
        <v>462</v>
      </c>
      <c r="H22" s="67">
        <v>760</v>
      </c>
    </row>
    <row r="23" spans="1:8" s="3" customFormat="1" x14ac:dyDescent="0.25">
      <c r="B23" s="66">
        <v>2008</v>
      </c>
      <c r="C23" s="62">
        <v>132438</v>
      </c>
      <c r="D23" s="67">
        <v>79188</v>
      </c>
      <c r="E23" s="62">
        <v>52035</v>
      </c>
      <c r="F23" s="62">
        <v>0</v>
      </c>
      <c r="G23" s="67">
        <v>456</v>
      </c>
      <c r="H23" s="67">
        <v>759</v>
      </c>
    </row>
    <row r="24" spans="1:8" s="3" customFormat="1" x14ac:dyDescent="0.25">
      <c r="B24" s="66">
        <v>2007</v>
      </c>
      <c r="C24" s="62">
        <v>132574</v>
      </c>
      <c r="D24" s="67">
        <v>78825</v>
      </c>
      <c r="E24" s="62">
        <v>52848</v>
      </c>
      <c r="F24" s="62">
        <v>0</v>
      </c>
      <c r="G24" s="67">
        <v>430</v>
      </c>
      <c r="H24" s="67">
        <v>471</v>
      </c>
    </row>
    <row r="25" spans="1:8" s="3" customFormat="1" x14ac:dyDescent="0.25">
      <c r="B25" s="66">
        <v>2006</v>
      </c>
      <c r="C25" s="62">
        <v>129743</v>
      </c>
      <c r="D25" s="67">
        <v>74148</v>
      </c>
      <c r="E25" s="62">
        <v>54775</v>
      </c>
      <c r="F25" s="62">
        <v>0</v>
      </c>
      <c r="G25" s="67">
        <v>420</v>
      </c>
      <c r="H25" s="67">
        <v>400</v>
      </c>
    </row>
    <row r="26" spans="1:8" s="3" customFormat="1" x14ac:dyDescent="0.25">
      <c r="B26" s="66">
        <v>2005</v>
      </c>
      <c r="C26" s="62">
        <v>129649</v>
      </c>
      <c r="D26" s="67">
        <v>73060</v>
      </c>
      <c r="E26" s="62">
        <v>55789</v>
      </c>
      <c r="F26" s="62">
        <v>0</v>
      </c>
      <c r="G26" s="67">
        <v>412</v>
      </c>
      <c r="H26" s="67">
        <v>388</v>
      </c>
    </row>
    <row r="27" spans="1:8" s="3" customFormat="1" x14ac:dyDescent="0.25">
      <c r="B27" s="66">
        <v>2004</v>
      </c>
      <c r="C27" s="62">
        <v>130190</v>
      </c>
      <c r="D27" s="67">
        <v>72323</v>
      </c>
      <c r="E27" s="62">
        <v>57158</v>
      </c>
      <c r="F27" s="62">
        <v>0</v>
      </c>
      <c r="G27" s="67">
        <v>338</v>
      </c>
      <c r="H27" s="67">
        <v>371</v>
      </c>
    </row>
    <row r="28" spans="1:8" s="3" customFormat="1" x14ac:dyDescent="0.25">
      <c r="B28" s="66">
        <v>2003</v>
      </c>
      <c r="C28" s="62">
        <v>129634</v>
      </c>
      <c r="D28" s="67">
        <v>70980</v>
      </c>
      <c r="E28" s="62">
        <v>58009</v>
      </c>
      <c r="F28" s="62">
        <v>0</v>
      </c>
      <c r="G28" s="67">
        <v>316</v>
      </c>
      <c r="H28" s="67">
        <v>329</v>
      </c>
    </row>
    <row r="29" spans="1:8" s="3" customFormat="1" x14ac:dyDescent="0.25">
      <c r="B29" s="66">
        <v>2002</v>
      </c>
      <c r="C29" s="62">
        <v>126136.00390055786</v>
      </c>
      <c r="D29" s="67">
        <v>68204</v>
      </c>
      <c r="E29" s="62">
        <v>57667</v>
      </c>
      <c r="F29" s="62">
        <v>0</v>
      </c>
      <c r="G29" s="67">
        <v>265</v>
      </c>
      <c r="H29" s="67">
        <v>3.9005578533684027E-3</v>
      </c>
    </row>
    <row r="30" spans="1:8" s="3" customFormat="1" x14ac:dyDescent="0.25">
      <c r="B30" s="66">
        <v>2001</v>
      </c>
      <c r="C30" s="62" t="e">
        <v>#N/A</v>
      </c>
      <c r="D30" s="67">
        <v>63564</v>
      </c>
      <c r="E30" s="62">
        <v>57134</v>
      </c>
      <c r="F30" s="62">
        <v>0</v>
      </c>
      <c r="G30" s="67">
        <v>265</v>
      </c>
      <c r="H30" s="67" t="e">
        <v>#N/A</v>
      </c>
    </row>
    <row r="31" spans="1:8" s="3" customFormat="1" x14ac:dyDescent="0.25">
      <c r="B31" s="66">
        <v>2000</v>
      </c>
      <c r="C31" s="62">
        <v>117426</v>
      </c>
      <c r="D31" s="67">
        <v>61211</v>
      </c>
      <c r="E31" s="62">
        <v>55900</v>
      </c>
      <c r="F31" s="62">
        <v>0</v>
      </c>
      <c r="G31" s="67">
        <v>220</v>
      </c>
      <c r="H31" s="67">
        <v>95</v>
      </c>
    </row>
    <row r="32" spans="1:8" s="3" customFormat="1" x14ac:dyDescent="0.25">
      <c r="B32" s="66">
        <v>1999</v>
      </c>
      <c r="C32" s="62">
        <v>115064</v>
      </c>
      <c r="D32" s="67">
        <v>57097</v>
      </c>
      <c r="E32" s="62">
        <v>57905</v>
      </c>
      <c r="F32" s="62">
        <v>0</v>
      </c>
      <c r="G32" s="67">
        <v>44</v>
      </c>
      <c r="H32" s="67">
        <v>18</v>
      </c>
    </row>
    <row r="33" spans="2:8" s="3" customFormat="1" x14ac:dyDescent="0.25">
      <c r="B33" s="66">
        <v>1998</v>
      </c>
      <c r="C33" s="62">
        <v>116350</v>
      </c>
      <c r="D33" s="67">
        <v>57246</v>
      </c>
      <c r="E33" s="62">
        <v>59060</v>
      </c>
      <c r="F33" s="62">
        <v>0</v>
      </c>
      <c r="G33" s="67">
        <v>44</v>
      </c>
      <c r="H33" s="67">
        <v>0</v>
      </c>
    </row>
    <row r="34" spans="2:8" s="3" customFormat="1" x14ac:dyDescent="0.25">
      <c r="B34" s="66">
        <v>1997</v>
      </c>
      <c r="C34" s="62">
        <v>116581</v>
      </c>
      <c r="D34" s="67">
        <v>56869</v>
      </c>
      <c r="E34" s="62">
        <v>59712</v>
      </c>
      <c r="F34" s="62">
        <v>0</v>
      </c>
      <c r="G34" s="67">
        <v>0</v>
      </c>
      <c r="H34" s="67">
        <v>0</v>
      </c>
    </row>
    <row r="35" spans="2:8" s="3" customFormat="1" ht="6" customHeight="1" x14ac:dyDescent="0.25">
      <c r="B35" s="27"/>
      <c r="C35" s="68"/>
      <c r="D35" s="68"/>
      <c r="E35" s="68"/>
      <c r="F35" s="68"/>
      <c r="G35" s="68"/>
      <c r="H35" s="68"/>
    </row>
    <row r="36" spans="2:8" s="3" customFormat="1" ht="21" customHeight="1" x14ac:dyDescent="0.25">
      <c r="B36" s="101" t="s">
        <v>55</v>
      </c>
      <c r="C36" s="101"/>
      <c r="D36" s="101"/>
      <c r="E36" s="101"/>
      <c r="F36" s="101"/>
      <c r="G36" s="101"/>
      <c r="H36" s="101"/>
    </row>
    <row r="37" spans="2:8" s="3" customFormat="1" x14ac:dyDescent="0.25"/>
    <row r="38" spans="2:8" s="3" customFormat="1" x14ac:dyDescent="0.25"/>
    <row r="39" spans="2:8" s="3" customFormat="1" x14ac:dyDescent="0.25"/>
    <row r="40" spans="2:8" s="3" customFormat="1" x14ac:dyDescent="0.25"/>
    <row r="41" spans="2:8" s="3" customFormat="1" x14ac:dyDescent="0.25"/>
    <row r="42" spans="2:8" s="3" customFormat="1" x14ac:dyDescent="0.25"/>
    <row r="43" spans="2:8" s="3" customFormat="1" x14ac:dyDescent="0.25"/>
    <row r="44" spans="2:8" s="3" customFormat="1" x14ac:dyDescent="0.25"/>
    <row r="45" spans="2:8" s="3" customFormat="1" ht="6" customHeight="1" x14ac:dyDescent="0.25"/>
    <row r="46" spans="2:8" s="3" customFormat="1" ht="29.25" customHeight="1" x14ac:dyDescent="0.25"/>
    <row r="47" spans="2:8" s="3" customFormat="1" x14ac:dyDescent="0.25"/>
  </sheetData>
  <mergeCells count="4">
    <mergeCell ref="B3:H3"/>
    <mergeCell ref="I6:K7"/>
    <mergeCell ref="I9:K11"/>
    <mergeCell ref="B36:H3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B0B0-DA82-47AE-8EAC-5930C7B47B9A}">
  <sheetPr>
    <tabColor rgb="FF92D050"/>
  </sheetPr>
  <dimension ref="A1:BG37"/>
  <sheetViews>
    <sheetView showGridLines="0" zoomScale="115" zoomScaleNormal="115" workbookViewId="0"/>
  </sheetViews>
  <sheetFormatPr baseColWidth="10" defaultRowHeight="15" x14ac:dyDescent="0.25"/>
  <cols>
    <col min="2" max="2" width="18" customWidth="1"/>
    <col min="3" max="3" width="23.28515625" customWidth="1"/>
    <col min="4" max="9" width="15.42578125" customWidth="1"/>
    <col min="10" max="10" width="15.5703125" customWidth="1"/>
    <col min="11" max="11" width="29.42578125" customWidth="1"/>
    <col min="12" max="12" width="25.5703125" bestFit="1" customWidth="1"/>
    <col min="13" max="13" width="24.42578125" customWidth="1"/>
    <col min="14" max="14" width="25.5703125" bestFit="1" customWidth="1"/>
    <col min="15" max="15" width="24.42578125" customWidth="1"/>
    <col min="16" max="16" width="30.140625" bestFit="1" customWidth="1"/>
    <col min="17" max="17" width="30.5703125" bestFit="1" customWidth="1"/>
    <col min="18" max="18" width="29.42578125" customWidth="1"/>
    <col min="19" max="19" width="29.42578125" bestFit="1" customWidth="1"/>
  </cols>
  <sheetData>
    <row r="1" spans="3:59" ht="30" customHeight="1" x14ac:dyDescent="0.4">
      <c r="C1" s="69" t="s">
        <v>83</v>
      </c>
      <c r="D1" s="70" t="s">
        <v>23</v>
      </c>
      <c r="E1" s="70"/>
      <c r="F1" s="70"/>
      <c r="G1" s="70"/>
    </row>
    <row r="3" spans="3:59" s="3" customFormat="1" ht="51.75" customHeight="1" x14ac:dyDescent="0.25">
      <c r="C3" s="126" t="str">
        <f>CONCATENATE("Plazas turísticas inscritas (1) en ",D1," según tipología y categoría del establecimiento
Distribución por categoría")</f>
        <v>Plazas turísticas inscritas (1) en Total Isla según tipología y categoría del establecimiento
Distribución por categoría</v>
      </c>
      <c r="D3" s="126"/>
      <c r="E3" s="126"/>
      <c r="F3" s="126"/>
      <c r="G3" s="126"/>
      <c r="H3" s="126"/>
      <c r="I3" s="71"/>
    </row>
    <row r="4" spans="3:59" s="3" customFormat="1" ht="16.5" customHeight="1" thickBot="1" x14ac:dyDescent="0.3">
      <c r="C4" s="127" t="s">
        <v>104</v>
      </c>
      <c r="D4" s="127"/>
      <c r="E4" s="127"/>
      <c r="F4" s="72"/>
      <c r="G4" s="72"/>
      <c r="H4" s="72"/>
      <c r="I4" s="71"/>
    </row>
    <row r="5" spans="3:59" ht="6" customHeight="1" x14ac:dyDescent="0.25">
      <c r="C5" s="73"/>
      <c r="D5" s="73"/>
      <c r="E5" s="73"/>
      <c r="F5" s="73"/>
      <c r="G5" s="73"/>
      <c r="H5" s="73"/>
      <c r="I5" s="71"/>
      <c r="J5" s="3"/>
    </row>
    <row r="6" spans="3:59" s="3" customFormat="1" ht="37.5" customHeight="1" x14ac:dyDescent="0.25">
      <c r="C6" s="12"/>
      <c r="D6" s="13" t="s">
        <v>21</v>
      </c>
      <c r="E6" s="14" t="s">
        <v>22</v>
      </c>
      <c r="F6" s="14" t="s">
        <v>84</v>
      </c>
      <c r="G6" s="74" t="s">
        <v>85</v>
      </c>
      <c r="H6" s="14" t="s">
        <v>86</v>
      </c>
    </row>
    <row r="7" spans="3:59" s="18" customFormat="1" ht="15.75" x14ac:dyDescent="0.25">
      <c r="C7" s="75" t="s">
        <v>13</v>
      </c>
      <c r="D7" s="76">
        <f>VLOOKUP($D$1,'plazas aut municipio x cat'!$B$8:$BS$39,5,FALSE)</f>
        <v>88798</v>
      </c>
      <c r="E7" s="77">
        <f>D7/$D$30</f>
        <v>0.33322575803062143</v>
      </c>
      <c r="F7" s="77">
        <f>D7/$D$28</f>
        <v>0.65198205540503829</v>
      </c>
      <c r="G7" s="76">
        <f>VLOOKUP($D$1,'plazas aut municipio x cat'!$B$8:$BS$39,5+1,FALSE)</f>
        <v>510</v>
      </c>
      <c r="H7" s="78">
        <f>VLOOKUP($D$1,'plazas aut municipio x cat'!$B$8:$BS$39,5+2,FALSE)</f>
        <v>5.7879415995560901E-3</v>
      </c>
    </row>
    <row r="8" spans="3:59" s="3" customFormat="1" x14ac:dyDescent="0.25">
      <c r="C8" s="79" t="s">
        <v>63</v>
      </c>
      <c r="D8" s="22">
        <f>VLOOKUP($D$1,'plazas aut municipio x cat'!$B$8:$BS$39,8,FALSE)</f>
        <v>1218</v>
      </c>
      <c r="E8" s="21">
        <f t="shared" ref="E8:E30" si="0">D8/$D$30</f>
        <v>4.5706994896427501E-3</v>
      </c>
      <c r="F8" s="21">
        <f t="shared" ref="F8:F28" si="1">D8/$D$28</f>
        <v>8.9429282583316817E-3</v>
      </c>
      <c r="G8" s="22">
        <f>VLOOKUP($D$1,'plazas aut municipio x cat'!$B$8:$BS$39,8+1,FALSE)</f>
        <v>0</v>
      </c>
      <c r="H8" s="80">
        <f>VLOOKUP($D$1,'plazas aut municipio x cat'!$B$8:$BS$39,8+2,FALSE)</f>
        <v>0</v>
      </c>
      <c r="J8"/>
      <c r="AF8" s="3" t="e">
        <v>#REF!</v>
      </c>
      <c r="BG8" s="3">
        <v>0</v>
      </c>
    </row>
    <row r="9" spans="3:59" s="3" customFormat="1" x14ac:dyDescent="0.25">
      <c r="C9" s="79" t="s">
        <v>64</v>
      </c>
      <c r="D9" s="22">
        <f>VLOOKUP($D$1,'plazas aut municipio x cat'!$B$8:$BS$39,11,FALSE)</f>
        <v>2080</v>
      </c>
      <c r="E9" s="21">
        <f t="shared" si="0"/>
        <v>7.8054638246772738E-3</v>
      </c>
      <c r="F9" s="21">
        <f t="shared" si="1"/>
        <v>1.5271995712093511E-2</v>
      </c>
      <c r="G9" s="22">
        <f>VLOOKUP($D$1,'plazas aut municipio x cat'!$B$8:$BS$39,11+1,FALSE)</f>
        <v>127</v>
      </c>
      <c r="H9" s="80">
        <f>VLOOKUP($D$1,'plazas aut municipio x cat'!$B$8:$BS$39,11+2,FALSE)</f>
        <v>6.5028161802355378E-2</v>
      </c>
      <c r="J9"/>
      <c r="AF9" s="3">
        <v>0</v>
      </c>
      <c r="BG9" s="3">
        <v>0</v>
      </c>
    </row>
    <row r="10" spans="3:59" s="3" customFormat="1" x14ac:dyDescent="0.25">
      <c r="C10" s="79" t="s">
        <v>65</v>
      </c>
      <c r="D10" s="22">
        <f>VLOOKUP($D$1,'plazas aut municipio x cat'!$B$8:$BS$39,14,FALSE)</f>
        <v>12891</v>
      </c>
      <c r="E10" s="21">
        <f t="shared" si="0"/>
        <v>4.8375112578805161E-2</v>
      </c>
      <c r="F10" s="21">
        <f t="shared" si="1"/>
        <v>9.4649661886825706E-2</v>
      </c>
      <c r="G10" s="22">
        <f>VLOOKUP($D$1,'plazas aut municipio x cat'!$B$8:$BS$39,14+1,FALSE)</f>
        <v>-700</v>
      </c>
      <c r="H10" s="80">
        <f>VLOOKUP($D$1,'plazas aut municipio x cat'!$B$8:$BS$39,14+2,FALSE)</f>
        <v>-5.1504672209550462E-2</v>
      </c>
      <c r="J10"/>
      <c r="AF10" s="3">
        <v>0</v>
      </c>
      <c r="BG10" s="3">
        <v>0</v>
      </c>
    </row>
    <row r="11" spans="3:59" s="3" customFormat="1" x14ac:dyDescent="0.25">
      <c r="C11" s="79" t="s">
        <v>66</v>
      </c>
      <c r="D11" s="22">
        <f>VLOOKUP($D$1,'plazas aut municipio x cat'!$B$8:$BS$39,17,FALSE)</f>
        <v>54763</v>
      </c>
      <c r="E11" s="21">
        <f t="shared" si="0"/>
        <v>0.20550510357250076</v>
      </c>
      <c r="F11" s="21">
        <f t="shared" si="1"/>
        <v>0.40208668326027741</v>
      </c>
      <c r="G11" s="22">
        <f>VLOOKUP($D$1,'plazas aut municipio x cat'!$B$8:$BS$39,17+1,FALSE)</f>
        <v>198</v>
      </c>
      <c r="H11" s="80">
        <f>VLOOKUP($D$1,'plazas aut municipio x cat'!$B$8:$BS$39,17+2,FALSE)</f>
        <v>3.6286997159351575E-3</v>
      </c>
      <c r="J11"/>
      <c r="AF11" s="3">
        <v>0</v>
      </c>
      <c r="BG11" s="3">
        <v>0</v>
      </c>
    </row>
    <row r="12" spans="3:59" s="3" customFormat="1" x14ac:dyDescent="0.25">
      <c r="C12" s="79" t="s">
        <v>67</v>
      </c>
      <c r="D12" s="22">
        <f>VLOOKUP($D$1,'plazas aut municipio x cat'!$B$8:$BS$39,20,FALSE)</f>
        <v>11179</v>
      </c>
      <c r="E12" s="21">
        <f t="shared" si="0"/>
        <v>4.1950615430801558E-2</v>
      </c>
      <c r="F12" s="21">
        <f t="shared" si="1"/>
        <v>8.2079634646871805E-2</v>
      </c>
      <c r="G12" s="22">
        <f>VLOOKUP($D$1,'plazas aut municipio x cat'!$B$8:$BS$39,20+1,FALSE)</f>
        <v>798</v>
      </c>
      <c r="H12" s="80">
        <f>VLOOKUP($D$1,'plazas aut municipio x cat'!$B$8:$BS$39,20+2,FALSE)</f>
        <v>7.6871207012811915E-2</v>
      </c>
      <c r="J12"/>
      <c r="AF12" s="3">
        <v>0</v>
      </c>
      <c r="BG12" s="3">
        <v>0</v>
      </c>
    </row>
    <row r="13" spans="3:59" s="3" customFormat="1" x14ac:dyDescent="0.25">
      <c r="C13" s="79" t="s">
        <v>68</v>
      </c>
      <c r="D13" s="22">
        <f>VLOOKUP($D$1,'plazas aut municipio x cat'!$B$8:$BS$39,23,FALSE)</f>
        <v>2822</v>
      </c>
      <c r="E13" s="21">
        <f t="shared" si="0"/>
        <v>1.0589912939057341E-2</v>
      </c>
      <c r="F13" s="21">
        <f t="shared" si="1"/>
        <v>2.0719986490157639E-2</v>
      </c>
      <c r="G13" s="22">
        <f>VLOOKUP($D$1,'plazas aut municipio x cat'!$B$8:$BS$39,23+1,FALSE)</f>
        <v>0</v>
      </c>
      <c r="H13" s="80">
        <f>VLOOKUP($D$1,'plazas aut municipio x cat'!$B$8:$BS$39,23+2,FALSE)</f>
        <v>0</v>
      </c>
      <c r="J13"/>
      <c r="AF13" s="3">
        <v>0</v>
      </c>
      <c r="BG13" s="3">
        <v>0</v>
      </c>
    </row>
    <row r="14" spans="3:59" s="3" customFormat="1" x14ac:dyDescent="0.25">
      <c r="C14" s="79" t="s">
        <v>69</v>
      </c>
      <c r="D14" s="22">
        <f>VLOOKUP($D$1,'plazas aut municipio x cat'!$B$8:$BS$39,26,FALSE)</f>
        <v>3587</v>
      </c>
      <c r="E14" s="21">
        <f t="shared" si="0"/>
        <v>1.3460672470729511E-2</v>
      </c>
      <c r="F14" s="21">
        <f t="shared" si="1"/>
        <v>2.6336850297730495E-2</v>
      </c>
      <c r="G14" s="22">
        <f>VLOOKUP($D$1,'plazas aut municipio x cat'!$B$8:$BS$39,26+1,FALSE)</f>
        <v>0</v>
      </c>
      <c r="H14" s="80">
        <f>VLOOKUP($D$1,'plazas aut municipio x cat'!$B$8:$BS$39,26+2,FALSE)</f>
        <v>0</v>
      </c>
      <c r="J14"/>
      <c r="AF14" s="3">
        <v>0</v>
      </c>
      <c r="BG14" s="3">
        <v>0</v>
      </c>
    </row>
    <row r="15" spans="3:59" s="3" customFormat="1" x14ac:dyDescent="0.25">
      <c r="C15" s="81" t="s">
        <v>70</v>
      </c>
      <c r="D15" s="22">
        <f>VLOOKUP($D$1,'plazas aut municipio x cat'!$B$8:$BS$39,29,FALSE)</f>
        <v>166</v>
      </c>
      <c r="E15" s="21">
        <f t="shared" si="0"/>
        <v>6.2293605523866709E-4</v>
      </c>
      <c r="F15" s="21">
        <f t="shared" si="1"/>
        <v>1.2188227347151553E-3</v>
      </c>
      <c r="G15" s="22">
        <f>VLOOKUP($D$1,'plazas aut municipio x cat'!$B$8:$BS$39,29+1,FALSE)</f>
        <v>22</v>
      </c>
      <c r="H15" s="80">
        <f>VLOOKUP($D$1,'plazas aut municipio x cat'!$B$8:$BS$39,29+2,FALSE)</f>
        <v>0.15277777777777768</v>
      </c>
      <c r="J15"/>
      <c r="AF15" s="3">
        <v>0</v>
      </c>
      <c r="BG15" s="3">
        <v>0</v>
      </c>
    </row>
    <row r="16" spans="3:59" s="3" customFormat="1" x14ac:dyDescent="0.25">
      <c r="C16" s="75" t="s">
        <v>14</v>
      </c>
      <c r="D16" s="76">
        <f>VLOOKUP($D$1,'plazas aut municipio x cat'!$B$8:$BS$39,32,FALSE)</f>
        <v>45768</v>
      </c>
      <c r="E16" s="77">
        <f t="shared" si="0"/>
        <v>0.17175022515761032</v>
      </c>
      <c r="F16" s="77">
        <f t="shared" si="1"/>
        <v>0.33604264411110379</v>
      </c>
      <c r="G16" s="76">
        <f>VLOOKUP($D$1,'plazas aut municipio x cat'!$B$8:$BS$39,32+1,FALSE)</f>
        <v>-590</v>
      </c>
      <c r="H16" s="78">
        <f>VLOOKUP($D$1,'plazas aut municipio x cat'!$B$8:$BS$39,32+2,FALSE)</f>
        <v>-5.8545470315277681E-3</v>
      </c>
      <c r="J16"/>
      <c r="AF16" s="3">
        <v>0</v>
      </c>
      <c r="BG16" s="3">
        <v>0</v>
      </c>
    </row>
    <row r="17" spans="1:59" s="3" customFormat="1" x14ac:dyDescent="0.25">
      <c r="C17" s="79" t="s">
        <v>72</v>
      </c>
      <c r="D17" s="22">
        <f>VLOOKUP($D$1,'plazas aut municipio x cat'!$B$8:$BS$39,35,FALSE)</f>
        <v>6579</v>
      </c>
      <c r="E17" s="21">
        <f t="shared" si="0"/>
        <v>2.4688531972380665E-2</v>
      </c>
      <c r="F17" s="21">
        <f t="shared" si="1"/>
        <v>4.8305028745126544E-2</v>
      </c>
      <c r="G17" s="22">
        <f>VLOOKUP($D$1,'plazas aut municipio x cat'!$B$8:$BS$39,35+1,FALSE)</f>
        <v>2</v>
      </c>
      <c r="H17" s="80">
        <f>VLOOKUP($D$1,'plazas aut municipio x cat'!$B$8:$BS$39,35+2,FALSE)</f>
        <v>3.0409001064324315E-4</v>
      </c>
      <c r="J17" s="31"/>
      <c r="AF17" s="3">
        <v>0</v>
      </c>
      <c r="BG17" s="3">
        <v>0</v>
      </c>
    </row>
    <row r="18" spans="1:59" s="3" customFormat="1" x14ac:dyDescent="0.25">
      <c r="C18" s="79" t="s">
        <v>73</v>
      </c>
      <c r="D18" s="22">
        <f>VLOOKUP($D$1,'plazas aut municipio x cat'!$B$8:$BS$39,38,FALSE)</f>
        <v>10379</v>
      </c>
      <c r="E18" s="21">
        <f t="shared" si="0"/>
        <v>3.8948513959771842E-2</v>
      </c>
      <c r="F18" s="21">
        <f t="shared" si="1"/>
        <v>7.6205790142220467E-2</v>
      </c>
      <c r="G18" s="22">
        <f>VLOOKUP($D$1,'plazas aut municipio x cat'!$B$8:$BS$39,38+1,FALSE)</f>
        <v>-651</v>
      </c>
      <c r="H18" s="80">
        <f>VLOOKUP($D$1,'plazas aut municipio x cat'!$B$8:$BS$39,38+2,FALSE)</f>
        <v>-5.9020852221214892E-2</v>
      </c>
      <c r="J18" s="31"/>
      <c r="AF18" s="3">
        <v>0</v>
      </c>
      <c r="BG18" s="3">
        <v>0</v>
      </c>
    </row>
    <row r="19" spans="1:59" s="3" customFormat="1" x14ac:dyDescent="0.25">
      <c r="C19" s="79" t="s">
        <v>74</v>
      </c>
      <c r="D19" s="22">
        <f>VLOOKUP($D$1,'plazas aut municipio x cat'!$B$8:$BS$39,41,FALSE)</f>
        <v>17193</v>
      </c>
      <c r="E19" s="21">
        <f t="shared" si="0"/>
        <v>6.4518913239267492E-2</v>
      </c>
      <c r="F19" s="21">
        <f t="shared" si="1"/>
        <v>0.12623626071058833</v>
      </c>
      <c r="G19" s="22">
        <f>VLOOKUP($D$1,'plazas aut municipio x cat'!$B$8:$BS$39,41+1,FALSE)</f>
        <v>308</v>
      </c>
      <c r="H19" s="80">
        <f>VLOOKUP($D$1,'plazas aut municipio x cat'!$B$8:$BS$39,41+2,FALSE)</f>
        <v>1.8241042345276792E-2</v>
      </c>
      <c r="J19" s="31"/>
      <c r="AF19" s="3">
        <v>0</v>
      </c>
      <c r="BG19" s="3">
        <v>0</v>
      </c>
    </row>
    <row r="20" spans="1:59" s="3" customFormat="1" x14ac:dyDescent="0.25">
      <c r="C20" s="79" t="s">
        <v>75</v>
      </c>
      <c r="D20" s="22">
        <f>VLOOKUP($D$1,'plazas aut municipio x cat'!$B$8:$BS$39,44,FALSE)</f>
        <v>218</v>
      </c>
      <c r="E20" s="21">
        <f t="shared" si="0"/>
        <v>8.1807265085559889E-4</v>
      </c>
      <c r="F20" s="21">
        <f t="shared" si="1"/>
        <v>1.6006226275174929E-3</v>
      </c>
      <c r="G20" s="22">
        <f>VLOOKUP($D$1,'plazas aut municipio x cat'!$B$8:$BS$39,44+1,FALSE)</f>
        <v>0</v>
      </c>
      <c r="H20" s="80">
        <f>VLOOKUP($D$1,'plazas aut municipio x cat'!$B$8:$BS$39,44+2,FALSE)</f>
        <v>0</v>
      </c>
      <c r="J20" s="31"/>
      <c r="AF20" s="3">
        <v>0</v>
      </c>
      <c r="BG20" s="3">
        <v>0</v>
      </c>
    </row>
    <row r="21" spans="1:59" s="3" customFormat="1" x14ac:dyDescent="0.25">
      <c r="C21" s="79" t="s">
        <v>65</v>
      </c>
      <c r="D21" s="22">
        <f>VLOOKUP($D$1,'plazas aut municipio x cat'!$B$8:$BS$39,47,FALSE)</f>
        <v>7209</v>
      </c>
      <c r="E21" s="21">
        <f t="shared" si="0"/>
        <v>2.7052686880816572E-2</v>
      </c>
      <c r="F21" s="21">
        <f t="shared" si="1"/>
        <v>5.2930681292539486E-2</v>
      </c>
      <c r="G21" s="22">
        <f>VLOOKUP($D$1,'plazas aut municipio x cat'!$B$8:$BS$39,47+1,FALSE)</f>
        <v>0</v>
      </c>
      <c r="H21" s="80">
        <f>VLOOKUP($D$1,'plazas aut municipio x cat'!$B$8:$BS$39,47+2,FALSE)</f>
        <v>0</v>
      </c>
      <c r="J21" s="31"/>
      <c r="AF21" s="3">
        <v>0</v>
      </c>
      <c r="BG21" s="3">
        <v>0</v>
      </c>
    </row>
    <row r="22" spans="1:59" s="3" customFormat="1" x14ac:dyDescent="0.25">
      <c r="C22" s="79" t="s">
        <v>66</v>
      </c>
      <c r="D22" s="22">
        <f>VLOOKUP($D$1,'plazas aut municipio x cat'!$B$8:$BS$39,50,FALSE)</f>
        <v>2099</v>
      </c>
      <c r="E22" s="21">
        <f t="shared" si="0"/>
        <v>7.8767637346142307E-3</v>
      </c>
      <c r="F22" s="21">
        <f t="shared" si="1"/>
        <v>1.5411499519078982E-2</v>
      </c>
      <c r="G22" s="22">
        <f>VLOOKUP($D$1,'plazas aut municipio x cat'!$B$8:$BS$39,50+1,FALSE)</f>
        <v>-164</v>
      </c>
      <c r="H22" s="80">
        <f>VLOOKUP($D$1,'plazas aut municipio x cat'!$B$8:$BS$39,50+2,FALSE)</f>
        <v>-7.2470172337604999E-2</v>
      </c>
      <c r="J22" s="31"/>
      <c r="AF22" s="3">
        <v>0</v>
      </c>
      <c r="BG22" s="3">
        <v>0</v>
      </c>
    </row>
    <row r="23" spans="1:59" s="3" customFormat="1" x14ac:dyDescent="0.25">
      <c r="C23" s="79" t="s">
        <v>67</v>
      </c>
      <c r="D23" s="22">
        <f>VLOOKUP($D$1,'plazas aut municipio x cat'!$B$8:$BS$39,53,FALSE)</f>
        <v>1579</v>
      </c>
      <c r="E23" s="21">
        <f t="shared" si="0"/>
        <v>5.9253977784449116E-3</v>
      </c>
      <c r="F23" s="21">
        <f t="shared" si="1"/>
        <v>1.1593500591055603E-2</v>
      </c>
      <c r="G23" s="22">
        <f>VLOOKUP($D$1,'plazas aut municipio x cat'!$B$8:$BS$39,53+1,FALSE)</f>
        <v>0</v>
      </c>
      <c r="H23" s="80">
        <f>VLOOKUP($D$1,'plazas aut municipio x cat'!$B$8:$BS$39,53+2,FALSE)</f>
        <v>0</v>
      </c>
      <c r="J23" s="31"/>
      <c r="AF23" s="3">
        <v>0</v>
      </c>
      <c r="BG23" s="3">
        <v>0</v>
      </c>
    </row>
    <row r="24" spans="1:59" s="3" customFormat="1" x14ac:dyDescent="0.25">
      <c r="C24" s="79" t="s">
        <v>76</v>
      </c>
      <c r="D24" s="22">
        <f>VLOOKUP($D$1,'plazas aut municipio x cat'!$B$8:$BS$39,56,FALSE)</f>
        <v>414</v>
      </c>
      <c r="E24" s="21">
        <f t="shared" si="0"/>
        <v>1.5535875112578806E-3</v>
      </c>
      <c r="F24" s="21">
        <f t="shared" si="1"/>
        <v>3.0397145311570738E-3</v>
      </c>
      <c r="G24" s="22">
        <f>VLOOKUP($D$1,'plazas aut municipio x cat'!$B$8:$BS$39,56+1,FALSE)</f>
        <v>75</v>
      </c>
      <c r="H24" s="80">
        <f>VLOOKUP($D$1,'plazas aut municipio x cat'!$B$8:$BS$39,56+2,FALSE)</f>
        <v>0.22123893805309724</v>
      </c>
      <c r="J24" s="31"/>
      <c r="AF24" s="3">
        <v>0</v>
      </c>
      <c r="BG24" s="3">
        <v>0</v>
      </c>
    </row>
    <row r="25" spans="1:59" s="3" customFormat="1" ht="25.5" x14ac:dyDescent="0.25">
      <c r="C25" s="81" t="s">
        <v>77</v>
      </c>
      <c r="D25" s="22">
        <f>VLOOKUP($D$1,'plazas aut municipio x cat'!$B$8:$BS$39,59,FALSE)</f>
        <v>98</v>
      </c>
      <c r="E25" s="21">
        <f t="shared" si="0"/>
        <v>3.6775743020114079E-4</v>
      </c>
      <c r="F25" s="21">
        <f t="shared" si="1"/>
        <v>7.1954595181979045E-4</v>
      </c>
      <c r="G25" s="22">
        <f>VLOOKUP($D$1,'plazas aut municipio x cat'!$B$8:$BS$39,59+1,FALSE)</f>
        <v>0</v>
      </c>
      <c r="H25" s="80">
        <f>VLOOKUP($D$1,'plazas aut municipio x cat'!$B$8:$BS$39,59+2,FALSE)</f>
        <v>0</v>
      </c>
      <c r="J25" s="31"/>
      <c r="AF25" s="3">
        <v>0</v>
      </c>
      <c r="BG25" s="3">
        <v>0</v>
      </c>
    </row>
    <row r="26" spans="1:59" s="3" customFormat="1" x14ac:dyDescent="0.25">
      <c r="C26" s="75" t="s">
        <v>15</v>
      </c>
      <c r="D26" s="76">
        <f>VLOOKUP($D$1,'plazas aut municipio x cat'!$B$8:$BS$39,65,FALSE)</f>
        <v>557</v>
      </c>
      <c r="E26" s="77">
        <f t="shared" si="0"/>
        <v>2.0902131492044431E-3</v>
      </c>
      <c r="F26" s="77">
        <f t="shared" si="1"/>
        <v>4.0896642363635032E-3</v>
      </c>
      <c r="G26" s="76">
        <f>VLOOKUP($D$1,'plazas aut municipio x cat'!$B$8:$BS$39,65+1,FALSE)</f>
        <v>13</v>
      </c>
      <c r="H26" s="78">
        <f>VLOOKUP($D$1,'plazas aut municipio x cat'!$B$8:$BS$39,65+2,FALSE)</f>
        <v>2.5782688766114115E-2</v>
      </c>
      <c r="J26" s="31"/>
      <c r="AF26" s="3">
        <v>0</v>
      </c>
      <c r="BG26" s="3">
        <v>0</v>
      </c>
    </row>
    <row r="27" spans="1:59" s="3" customFormat="1" x14ac:dyDescent="0.25">
      <c r="C27" s="75" t="s">
        <v>87</v>
      </c>
      <c r="D27" s="76">
        <f>VLOOKUP($D$1,'plazas aut municipio x cat'!$B$8:$BS$39,68,FALSE)</f>
        <v>1074</v>
      </c>
      <c r="E27" s="77">
        <f t="shared" si="0"/>
        <v>4.0303212248574E-3</v>
      </c>
      <c r="F27" s="77">
        <f t="shared" si="1"/>
        <v>7.8856362474944378E-3</v>
      </c>
      <c r="G27" s="76">
        <f>VLOOKUP($D$1,'plazas aut municipio x cat'!$B$8:$BS$39,68+1,FALSE)</f>
        <v>7</v>
      </c>
      <c r="H27" s="78">
        <f>VLOOKUP($D$1,'plazas aut municipio x cat'!$B$8:$BS$39,68+2,FALSE)</f>
        <v>7.5046904315196894E-3</v>
      </c>
      <c r="J27" s="31"/>
      <c r="AF27" s="3">
        <v>0</v>
      </c>
      <c r="BG27" s="3">
        <v>0</v>
      </c>
    </row>
    <row r="28" spans="1:59" s="3" customFormat="1" ht="30" x14ac:dyDescent="0.25">
      <c r="A28" s="1">
        <f>VLOOKUP($D$1,'plazas aut municipio x cat'!$B$8:$BS$39,2,FALSE)-VLOOKUP($D$1,'plazas aut municipio x cat'!$B$8:$BS$39,3,FALSE)-(VLOOKUP($D$1,'plazas aut municipio x cat'!$B$8:$BS$39,62,FALSE)-VLOOKUP($D$1,'plazas aut municipio x cat'!$B$8:$BS$39,63,FALSE))</f>
        <v>136257</v>
      </c>
      <c r="C28" s="82" t="s">
        <v>88</v>
      </c>
      <c r="D28" s="83">
        <f>D7+D16+D27+D26</f>
        <v>136197</v>
      </c>
      <c r="E28" s="84">
        <f t="shared" si="0"/>
        <v>0.51109651756229357</v>
      </c>
      <c r="F28" s="84">
        <f t="shared" si="1"/>
        <v>1</v>
      </c>
      <c r="G28" s="83">
        <f>G7+G16+G27+G26</f>
        <v>-60</v>
      </c>
      <c r="H28" s="85">
        <f>(D28/(D28-G28))-1</f>
        <v>-4.4034434928108546E-4</v>
      </c>
      <c r="AF28" s="3">
        <v>0</v>
      </c>
      <c r="BG28" s="3">
        <v>0</v>
      </c>
    </row>
    <row r="29" spans="1:59" s="3" customFormat="1" ht="35.25" customHeight="1" x14ac:dyDescent="0.25">
      <c r="C29" s="86" t="s">
        <v>89</v>
      </c>
      <c r="D29" s="83">
        <f>VLOOKUP($D$1,'plazas aut municipio x cat'!$B$8:$BS$39,62,FALSE)</f>
        <v>130283</v>
      </c>
      <c r="E29" s="87">
        <f>D29/$D$30</f>
        <v>0.48890348243770637</v>
      </c>
      <c r="F29" s="87"/>
      <c r="G29" s="83">
        <f>VLOOKUP($D$1,'plazas aut municipio x cat'!$B$8:$BS$39,62+1,FALSE)</f>
        <v>16026</v>
      </c>
      <c r="H29" s="85">
        <f>VLOOKUP($D$1,'plazas aut municipio x cat'!$B$8:$BS$39,62+2,FALSE)</f>
        <v>0.14021733424326732</v>
      </c>
      <c r="J29" s="31"/>
      <c r="AF29" s="3">
        <v>0</v>
      </c>
      <c r="BG29" s="3">
        <v>0</v>
      </c>
    </row>
    <row r="30" spans="1:59" s="3" customFormat="1" ht="21.75" customHeight="1" x14ac:dyDescent="0.25">
      <c r="C30" s="88" t="s">
        <v>17</v>
      </c>
      <c r="D30" s="16">
        <f>VLOOKUP($D$1,'plazas aut municipio x cat'!$B$8:$BS$39,2,FALSE)</f>
        <v>266480</v>
      </c>
      <c r="E30" s="17">
        <f t="shared" si="0"/>
        <v>1</v>
      </c>
      <c r="F30" s="17"/>
      <c r="G30" s="16">
        <f>VLOOKUP($D$1,'plazas aut municipio x cat'!$B$8:$BS$39,3,FALSE)</f>
        <v>15966</v>
      </c>
      <c r="H30" s="89">
        <f>VLOOKUP($D$1,'plazas aut municipio x cat'!$B$8:$BS$39,4,FALSE)</f>
        <v>6.3732965023910904E-2</v>
      </c>
      <c r="I30" s="31"/>
      <c r="J30" s="31"/>
      <c r="AF30" s="3">
        <v>0</v>
      </c>
      <c r="BG30" s="3">
        <v>0</v>
      </c>
    </row>
    <row r="31" spans="1:59" s="3" customFormat="1" ht="11.25" customHeight="1" x14ac:dyDescent="0.25">
      <c r="C31" s="27"/>
      <c r="D31" s="27"/>
      <c r="E31" s="27"/>
      <c r="F31" s="27"/>
      <c r="G31" s="27"/>
      <c r="H31" s="27"/>
      <c r="I31" s="31"/>
      <c r="J31" s="31"/>
      <c r="AF31" s="3">
        <v>0</v>
      </c>
      <c r="BG31" s="3">
        <v>0</v>
      </c>
    </row>
    <row r="32" spans="1:59" s="3" customFormat="1" ht="54.75" customHeight="1" x14ac:dyDescent="0.25">
      <c r="C32" s="120" t="s">
        <v>90</v>
      </c>
      <c r="D32" s="120"/>
      <c r="E32" s="120"/>
      <c r="F32" s="120"/>
      <c r="G32" s="120"/>
      <c r="H32" s="120"/>
      <c r="I32" s="31"/>
      <c r="AF32" s="3">
        <v>0</v>
      </c>
      <c r="BG32" s="3">
        <v>0</v>
      </c>
    </row>
    <row r="33" spans="3:59" s="3" customFormat="1" x14ac:dyDescent="0.25">
      <c r="C33" s="90"/>
      <c r="D33"/>
      <c r="J33" s="31"/>
      <c r="AF33" s="3">
        <v>0</v>
      </c>
      <c r="BG33" s="3">
        <v>0</v>
      </c>
    </row>
    <row r="34" spans="3:59" s="3" customFormat="1" x14ac:dyDescent="0.25">
      <c r="C34" s="90"/>
      <c r="D34"/>
      <c r="J34" s="31"/>
      <c r="AF34" s="3">
        <v>0</v>
      </c>
      <c r="BG34" s="3">
        <v>0</v>
      </c>
    </row>
    <row r="35" spans="3:59" s="3" customFormat="1" x14ac:dyDescent="0.25">
      <c r="C35" s="90"/>
      <c r="D35"/>
      <c r="J35" s="31"/>
      <c r="AF35" s="3">
        <v>0</v>
      </c>
      <c r="BG35" s="3">
        <v>0</v>
      </c>
    </row>
    <row r="36" spans="3:59" s="3" customFormat="1" ht="15.75" x14ac:dyDescent="0.25">
      <c r="C36" s="16"/>
      <c r="D36" s="51"/>
      <c r="E36" s="50"/>
      <c r="J36" s="31"/>
      <c r="AF36" s="3">
        <v>0</v>
      </c>
      <c r="BG36" s="3">
        <v>0</v>
      </c>
    </row>
    <row r="37" spans="3:59" s="3" customFormat="1" x14ac:dyDescent="0.25">
      <c r="C37" s="90"/>
      <c r="D37" s="91"/>
      <c r="J37" s="31"/>
      <c r="AF37" s="3">
        <v>0</v>
      </c>
      <c r="BG37" s="3">
        <v>0</v>
      </c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40B333-C7FA-47FC-A9FA-04D3D5714AC2}">
          <x14:formula1>
            <xm:f>'plazas aut municipio x cat'!$B$8:$B$39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0D56-CDB0-45FF-A4EF-789961225E33}">
  <sheetPr>
    <tabColor rgb="FF92D050"/>
  </sheetPr>
  <dimension ref="A1:BG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3" customWidth="1"/>
    <col min="3" max="3" width="14.28515625" customWidth="1"/>
    <col min="4" max="4" width="11.42578125" customWidth="1"/>
    <col min="5" max="5" width="14.28515625" customWidth="1"/>
    <col min="6" max="6" width="12.42578125" customWidth="1"/>
    <col min="7" max="7" width="14.28515625" customWidth="1"/>
    <col min="8" max="8" width="11.42578125" customWidth="1"/>
    <col min="9" max="9" width="15.85546875" customWidth="1"/>
    <col min="10" max="10" width="11.42578125" customWidth="1"/>
    <col min="11" max="11" width="14.28515625" customWidth="1"/>
    <col min="12" max="12" width="11.42578125" customWidth="1"/>
    <col min="13" max="13" width="14.28515625" customWidth="1"/>
    <col min="14" max="14" width="11.42578125" customWidth="1"/>
  </cols>
  <sheetData>
    <row r="1" spans="2:59" ht="30" customHeight="1" x14ac:dyDescent="0.25"/>
    <row r="3" spans="2:59" s="3" customFormat="1" ht="56.25" customHeight="1" thickBot="1" x14ac:dyDescent="0.3">
      <c r="B3" s="103" t="s">
        <v>105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59" s="3" customFormat="1" ht="6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59" s="3" customFormat="1" x14ac:dyDescent="0.25">
      <c r="B5" s="104" t="s">
        <v>16</v>
      </c>
      <c r="C5" s="105" t="s">
        <v>17</v>
      </c>
      <c r="D5" s="106"/>
      <c r="E5" s="105" t="s">
        <v>13</v>
      </c>
      <c r="F5" s="106"/>
      <c r="G5" s="105" t="s">
        <v>14</v>
      </c>
      <c r="H5" s="106"/>
      <c r="I5" s="105" t="s">
        <v>18</v>
      </c>
      <c r="J5" s="106"/>
      <c r="K5" s="105" t="s">
        <v>19</v>
      </c>
      <c r="L5" s="106"/>
      <c r="M5" s="105" t="s">
        <v>20</v>
      </c>
      <c r="N5" s="106"/>
    </row>
    <row r="6" spans="2:59" s="3" customFormat="1" ht="25.5" x14ac:dyDescent="0.25">
      <c r="B6" s="104"/>
      <c r="C6" s="13" t="s">
        <v>91</v>
      </c>
      <c r="D6" s="14" t="s">
        <v>22</v>
      </c>
      <c r="E6" s="13" t="str">
        <f>C6</f>
        <v>Establecimientos</v>
      </c>
      <c r="F6" s="14" t="s">
        <v>22</v>
      </c>
      <c r="G6" s="13" t="str">
        <f>E6</f>
        <v>Establecimientos</v>
      </c>
      <c r="H6" s="14" t="s">
        <v>22</v>
      </c>
      <c r="I6" s="13" t="str">
        <f>G6</f>
        <v>Establecimientos</v>
      </c>
      <c r="J6" s="14" t="s">
        <v>22</v>
      </c>
      <c r="K6" s="13" t="str">
        <f>G6</f>
        <v>Establecimientos</v>
      </c>
      <c r="L6" s="14" t="s">
        <v>22</v>
      </c>
      <c r="M6" s="13" t="str">
        <f>K6</f>
        <v>Establecimientos</v>
      </c>
      <c r="N6" s="14" t="s">
        <v>22</v>
      </c>
    </row>
    <row r="7" spans="2:59" s="18" customFormat="1" ht="15.75" x14ac:dyDescent="0.25">
      <c r="B7" s="15" t="s">
        <v>23</v>
      </c>
      <c r="C7" s="16">
        <f>'estab aut municipio x tip y cat'!C8</f>
        <v>31640</v>
      </c>
      <c r="D7" s="17">
        <f>C7/$C$7</f>
        <v>1</v>
      </c>
      <c r="E7" s="16">
        <f>SUM(E8:E38)</f>
        <v>287</v>
      </c>
      <c r="F7" s="17">
        <f>E7/$E$7</f>
        <v>1</v>
      </c>
      <c r="G7" s="16">
        <v>235</v>
      </c>
      <c r="H7" s="17">
        <f t="shared" ref="H7:H38" si="0">G7/$G$7</f>
        <v>1</v>
      </c>
      <c r="I7" s="16">
        <f>'estab aut municipio x tip y cat'!BK8</f>
        <v>30927</v>
      </c>
      <c r="J7" s="17">
        <f>I7/$I$7</f>
        <v>1</v>
      </c>
      <c r="K7" s="16">
        <f>SUM(K8:K38)</f>
        <v>24</v>
      </c>
      <c r="L7" s="17">
        <f>K7/$K$7</f>
        <v>1</v>
      </c>
      <c r="M7" s="16">
        <f>SUM(M8:M38)</f>
        <v>167</v>
      </c>
      <c r="N7" s="17">
        <f>M7/$M$7</f>
        <v>1</v>
      </c>
    </row>
    <row r="8" spans="2:59" s="3" customFormat="1" x14ac:dyDescent="0.25">
      <c r="B8" s="19" t="str">
        <f>'estab aut municipio x tip y cat'!B9</f>
        <v>Adeje</v>
      </c>
      <c r="C8" s="20">
        <f>'estab aut municipio x tip y cat'!C9</f>
        <v>6114</v>
      </c>
      <c r="D8" s="21">
        <f>C8/$C$7</f>
        <v>0.19323640960809102</v>
      </c>
      <c r="E8" s="22">
        <f>'estab aut municipio x tip y cat'!F9</f>
        <v>68</v>
      </c>
      <c r="F8" s="21">
        <f>E8/$E$7</f>
        <v>0.23693379790940766</v>
      </c>
      <c r="G8" s="22">
        <f>'estab aut municipio x tip y cat'!AG9</f>
        <v>50</v>
      </c>
      <c r="H8" s="21">
        <f>G8/$G$7</f>
        <v>0.21276595744680851</v>
      </c>
      <c r="I8" s="22">
        <f>'estab aut municipio x tip y cat'!BK9</f>
        <v>5992</v>
      </c>
      <c r="J8" s="21">
        <f t="shared" ref="J8:J38" si="1">I8/$I$7</f>
        <v>0.19374656449057459</v>
      </c>
      <c r="K8" s="22">
        <f>'estab aut municipio x tip y cat'!BN9</f>
        <v>1</v>
      </c>
      <c r="L8" s="21">
        <f>K8/$K$7</f>
        <v>4.1666666666666664E-2</v>
      </c>
      <c r="M8" s="22">
        <f>'estab aut municipio x tip y cat'!BQ9</f>
        <v>3</v>
      </c>
      <c r="N8" s="21">
        <f>M8/$M$7</f>
        <v>1.7964071856287425E-2</v>
      </c>
      <c r="BG8" s="3">
        <v>98</v>
      </c>
    </row>
    <row r="9" spans="2:59" s="3" customFormat="1" x14ac:dyDescent="0.25">
      <c r="B9" s="19" t="str">
        <f>'estab aut municipio x tip y cat'!B10</f>
        <v>Arafo</v>
      </c>
      <c r="C9" s="20">
        <f>'estab aut municipio x tip y cat'!C10</f>
        <v>79</v>
      </c>
      <c r="D9" s="21">
        <f t="shared" ref="D9:D38" si="2">C9/$C$7</f>
        <v>2.4968394437420985E-3</v>
      </c>
      <c r="E9" s="22">
        <f>'estab aut municipio x tip y cat'!F10</f>
        <v>0</v>
      </c>
      <c r="F9" s="21">
        <f t="shared" ref="F9:F38" si="3">E9/$E$7</f>
        <v>0</v>
      </c>
      <c r="G9" s="22">
        <f>'estab aut municipio x tip y cat'!AG10</f>
        <v>0</v>
      </c>
      <c r="H9" s="21">
        <f t="shared" si="0"/>
        <v>0</v>
      </c>
      <c r="I9" s="22">
        <f>'estab aut municipio x tip y cat'!BK10</f>
        <v>76</v>
      </c>
      <c r="J9" s="21">
        <f t="shared" si="1"/>
        <v>2.4573996831247775E-3</v>
      </c>
      <c r="K9" s="22">
        <f>'estab aut municipio x tip y cat'!BN10</f>
        <v>0</v>
      </c>
      <c r="L9" s="21">
        <f t="shared" ref="L9:L38" si="4">K9/$K$7</f>
        <v>0</v>
      </c>
      <c r="M9" s="22">
        <f>'estab aut municipio x tip y cat'!BQ10</f>
        <v>3</v>
      </c>
      <c r="N9" s="21">
        <f t="shared" ref="N9:N38" si="5">M9/$M$7</f>
        <v>1.7964071856287425E-2</v>
      </c>
      <c r="BG9" s="3">
        <v>0</v>
      </c>
    </row>
    <row r="10" spans="2:59" s="3" customFormat="1" x14ac:dyDescent="0.25">
      <c r="B10" s="19" t="str">
        <f>'estab aut municipio x tip y cat'!B11</f>
        <v>Arico</v>
      </c>
      <c r="C10" s="20">
        <f>'estab aut municipio x tip y cat'!C11</f>
        <v>812</v>
      </c>
      <c r="D10" s="21">
        <f t="shared" si="2"/>
        <v>2.5663716814159292E-2</v>
      </c>
      <c r="E10" s="22">
        <f>'estab aut municipio x tip y cat'!F11</f>
        <v>1</v>
      </c>
      <c r="F10" s="21">
        <f t="shared" si="3"/>
        <v>3.4843205574912892E-3</v>
      </c>
      <c r="G10" s="22">
        <f>'estab aut municipio x tip y cat'!AG11</f>
        <v>6</v>
      </c>
      <c r="H10" s="21">
        <f t="shared" si="0"/>
        <v>2.553191489361702E-2</v>
      </c>
      <c r="I10" s="22">
        <f>'estab aut municipio x tip y cat'!BK11</f>
        <v>792</v>
      </c>
      <c r="J10" s="21">
        <f t="shared" si="1"/>
        <v>2.5608691434668734E-2</v>
      </c>
      <c r="K10" s="22">
        <f>'estab aut municipio x tip y cat'!BN11</f>
        <v>0</v>
      </c>
      <c r="L10" s="21">
        <f t="shared" si="4"/>
        <v>0</v>
      </c>
      <c r="M10" s="22">
        <f>'estab aut municipio x tip y cat'!BQ11</f>
        <v>13</v>
      </c>
      <c r="N10" s="21">
        <f t="shared" si="5"/>
        <v>7.7844311377245512E-2</v>
      </c>
      <c r="BG10" s="3">
        <v>20</v>
      </c>
    </row>
    <row r="11" spans="2:59" s="3" customFormat="1" x14ac:dyDescent="0.25">
      <c r="B11" s="19" t="str">
        <f>'estab aut municipio x tip y cat'!B12</f>
        <v>Arona</v>
      </c>
      <c r="C11" s="20">
        <f>'estab aut municipio x tip y cat'!C12</f>
        <v>6989</v>
      </c>
      <c r="D11" s="21">
        <f t="shared" si="2"/>
        <v>0.2208912768647282</v>
      </c>
      <c r="E11" s="22">
        <f>'estab aut municipio x tip y cat'!F12</f>
        <v>44</v>
      </c>
      <c r="F11" s="21">
        <f t="shared" si="3"/>
        <v>0.15331010452961671</v>
      </c>
      <c r="G11" s="22">
        <f>'estab aut municipio x tip y cat'!AG12</f>
        <v>69</v>
      </c>
      <c r="H11" s="21">
        <f t="shared" si="0"/>
        <v>0.29361702127659572</v>
      </c>
      <c r="I11" s="22">
        <f>'estab aut municipio x tip y cat'!BK12</f>
        <v>6870</v>
      </c>
      <c r="J11" s="21">
        <f t="shared" si="1"/>
        <v>0.22213599767193715</v>
      </c>
      <c r="K11" s="22">
        <f>'estab aut municipio x tip y cat'!BN12</f>
        <v>2</v>
      </c>
      <c r="L11" s="21">
        <f t="shared" si="4"/>
        <v>8.3333333333333329E-2</v>
      </c>
      <c r="M11" s="22">
        <f>'estab aut municipio x tip y cat'!BQ12</f>
        <v>4</v>
      </c>
      <c r="N11" s="21">
        <f t="shared" si="5"/>
        <v>2.3952095808383235E-2</v>
      </c>
      <c r="BG11" s="3">
        <v>0</v>
      </c>
    </row>
    <row r="12" spans="2:59" s="3" customFormat="1" x14ac:dyDescent="0.25">
      <c r="B12" s="19" t="str">
        <f>'estab aut municipio x tip y cat'!B13</f>
        <v>Buenavista del Norte</v>
      </c>
      <c r="C12" s="20">
        <f>'estab aut municipio x tip y cat'!C13</f>
        <v>121</v>
      </c>
      <c r="D12" s="21">
        <f t="shared" si="2"/>
        <v>3.8242730720606825E-3</v>
      </c>
      <c r="E12" s="22">
        <f>'estab aut municipio x tip y cat'!F13</f>
        <v>1</v>
      </c>
      <c r="F12" s="21">
        <f t="shared" si="3"/>
        <v>3.4843205574912892E-3</v>
      </c>
      <c r="G12" s="22">
        <f>'estab aut municipio x tip y cat'!AG13</f>
        <v>0</v>
      </c>
      <c r="H12" s="21">
        <f t="shared" si="0"/>
        <v>0</v>
      </c>
      <c r="I12" s="22">
        <f>'estab aut municipio x tip y cat'!BK13</f>
        <v>107</v>
      </c>
      <c r="J12" s="21">
        <f t="shared" si="1"/>
        <v>3.4597600801888318E-3</v>
      </c>
      <c r="K12" s="22">
        <f>'estab aut municipio x tip y cat'!BN13</f>
        <v>0</v>
      </c>
      <c r="L12" s="21">
        <f t="shared" si="4"/>
        <v>0</v>
      </c>
      <c r="M12" s="22">
        <f>'estab aut municipio x tip y cat'!BQ13</f>
        <v>13</v>
      </c>
      <c r="N12" s="21">
        <f t="shared" si="5"/>
        <v>7.7844311377245512E-2</v>
      </c>
      <c r="BG12" s="3">
        <v>0</v>
      </c>
    </row>
    <row r="13" spans="2:59" s="3" customFormat="1" x14ac:dyDescent="0.25">
      <c r="B13" s="19" t="str">
        <f>'estab aut municipio x tip y cat'!B14</f>
        <v xml:space="preserve">Candelaria </v>
      </c>
      <c r="C13" s="20">
        <f>'estab aut municipio x tip y cat'!C14</f>
        <v>659</v>
      </c>
      <c r="D13" s="21">
        <f t="shared" si="2"/>
        <v>2.0828065739570165E-2</v>
      </c>
      <c r="E13" s="22">
        <f>'estab aut municipio x tip y cat'!F14</f>
        <v>2</v>
      </c>
      <c r="F13" s="21">
        <f t="shared" si="3"/>
        <v>6.9686411149825784E-3</v>
      </c>
      <c r="G13" s="22">
        <f>'estab aut municipio x tip y cat'!AG14</f>
        <v>3</v>
      </c>
      <c r="H13" s="21">
        <f t="shared" si="0"/>
        <v>1.276595744680851E-2</v>
      </c>
      <c r="I13" s="22">
        <f>'estab aut municipio x tip y cat'!BK14</f>
        <v>653</v>
      </c>
      <c r="J13" s="21">
        <f t="shared" si="1"/>
        <v>2.1114236751058946E-2</v>
      </c>
      <c r="K13" s="22">
        <f>'estab aut municipio x tip y cat'!BN14</f>
        <v>0</v>
      </c>
      <c r="L13" s="21">
        <f t="shared" si="4"/>
        <v>0</v>
      </c>
      <c r="M13" s="22">
        <f>'estab aut municipio x tip y cat'!BQ14</f>
        <v>1</v>
      </c>
      <c r="N13" s="21">
        <f t="shared" si="5"/>
        <v>5.9880239520958087E-3</v>
      </c>
      <c r="BG13" s="3">
        <v>0</v>
      </c>
    </row>
    <row r="14" spans="2:59" s="3" customFormat="1" x14ac:dyDescent="0.25">
      <c r="B14" s="19" t="str">
        <f>'estab aut municipio x tip y cat'!B15</f>
        <v>Fasnia</v>
      </c>
      <c r="C14" s="20">
        <f>'estab aut municipio x tip y cat'!C15</f>
        <v>97</v>
      </c>
      <c r="D14" s="21">
        <f t="shared" si="2"/>
        <v>3.0657395701643489E-3</v>
      </c>
      <c r="E14" s="22">
        <f>'estab aut municipio x tip y cat'!F15</f>
        <v>0</v>
      </c>
      <c r="F14" s="21">
        <f t="shared" si="3"/>
        <v>0</v>
      </c>
      <c r="G14" s="22">
        <f>'estab aut municipio x tip y cat'!AG15</f>
        <v>1</v>
      </c>
      <c r="H14" s="21">
        <f t="shared" si="0"/>
        <v>4.2553191489361703E-3</v>
      </c>
      <c r="I14" s="22">
        <f>'estab aut municipio x tip y cat'!BK15</f>
        <v>89</v>
      </c>
      <c r="J14" s="21">
        <f t="shared" si="1"/>
        <v>2.8777443657645421E-3</v>
      </c>
      <c r="K14" s="22">
        <f>'estab aut municipio x tip y cat'!BN15</f>
        <v>0</v>
      </c>
      <c r="L14" s="21">
        <f t="shared" si="4"/>
        <v>0</v>
      </c>
      <c r="M14" s="22">
        <f>'estab aut municipio x tip y cat'!BQ15</f>
        <v>7</v>
      </c>
      <c r="N14" s="21">
        <f t="shared" si="5"/>
        <v>4.1916167664670656E-2</v>
      </c>
      <c r="BG14" s="3">
        <v>0</v>
      </c>
    </row>
    <row r="15" spans="2:59" s="3" customFormat="1" x14ac:dyDescent="0.25">
      <c r="B15" s="19" t="str">
        <f>'estab aut municipio x tip y cat'!B16</f>
        <v>Garachico</v>
      </c>
      <c r="C15" s="20">
        <f>'estab aut municipio x tip y cat'!C16</f>
        <v>249</v>
      </c>
      <c r="D15" s="21">
        <f t="shared" si="2"/>
        <v>7.8697850821744623E-3</v>
      </c>
      <c r="E15" s="22">
        <f>'estab aut municipio x tip y cat'!F16</f>
        <v>3</v>
      </c>
      <c r="F15" s="21">
        <f t="shared" si="3"/>
        <v>1.0452961672473868E-2</v>
      </c>
      <c r="G15" s="22">
        <f>'estab aut municipio x tip y cat'!AG16</f>
        <v>8</v>
      </c>
      <c r="H15" s="21">
        <f t="shared" si="0"/>
        <v>3.4042553191489362E-2</v>
      </c>
      <c r="I15" s="22">
        <f>'estab aut municipio x tip y cat'!BK16</f>
        <v>232</v>
      </c>
      <c r="J15" s="21">
        <f t="shared" si="1"/>
        <v>7.5015358748019532E-3</v>
      </c>
      <c r="K15" s="22">
        <f>'estab aut municipio x tip y cat'!BN16</f>
        <v>2</v>
      </c>
      <c r="L15" s="21">
        <f t="shared" si="4"/>
        <v>8.3333333333333329E-2</v>
      </c>
      <c r="M15" s="22">
        <f>'estab aut municipio x tip y cat'!BQ16</f>
        <v>4</v>
      </c>
      <c r="N15" s="21">
        <f t="shared" si="5"/>
        <v>2.3952095808383235E-2</v>
      </c>
      <c r="BG15" s="3">
        <v>4</v>
      </c>
    </row>
    <row r="16" spans="2:59" s="3" customFormat="1" x14ac:dyDescent="0.25">
      <c r="B16" s="19" t="str">
        <f>'estab aut municipio x tip y cat'!B17</f>
        <v>Granadilla de Abona</v>
      </c>
      <c r="C16" s="20">
        <f>'estab aut municipio x tip y cat'!C17</f>
        <v>2130</v>
      </c>
      <c r="D16" s="21">
        <f t="shared" si="2"/>
        <v>6.7319848293299622E-2</v>
      </c>
      <c r="E16" s="22">
        <f>'estab aut municipio x tip y cat'!F17</f>
        <v>8</v>
      </c>
      <c r="F16" s="21">
        <f t="shared" si="3"/>
        <v>2.7874564459930314E-2</v>
      </c>
      <c r="G16" s="22">
        <f>'estab aut municipio x tip y cat'!AG17</f>
        <v>8</v>
      </c>
      <c r="H16" s="21">
        <f t="shared" si="0"/>
        <v>3.4042553191489362E-2</v>
      </c>
      <c r="I16" s="22">
        <f>'estab aut municipio x tip y cat'!BK17</f>
        <v>2101</v>
      </c>
      <c r="J16" s="21">
        <f t="shared" si="1"/>
        <v>6.7934167555857336E-2</v>
      </c>
      <c r="K16" s="22">
        <f>'estab aut municipio x tip y cat'!BN17</f>
        <v>2</v>
      </c>
      <c r="L16" s="21">
        <f t="shared" si="4"/>
        <v>8.3333333333333329E-2</v>
      </c>
      <c r="M16" s="22">
        <f>'estab aut municipio x tip y cat'!BQ17</f>
        <v>11</v>
      </c>
      <c r="N16" s="21">
        <f t="shared" si="5"/>
        <v>6.5868263473053898E-2</v>
      </c>
      <c r="BG16" s="3">
        <v>6</v>
      </c>
    </row>
    <row r="17" spans="2:59" s="3" customFormat="1" x14ac:dyDescent="0.25">
      <c r="B17" s="19" t="str">
        <f>'estab aut municipio x tip y cat'!B18</f>
        <v>La Guancha</v>
      </c>
      <c r="C17" s="20">
        <f>'estab aut municipio x tip y cat'!C18</f>
        <v>103</v>
      </c>
      <c r="D17" s="21">
        <f t="shared" si="2"/>
        <v>3.2553729456384324E-3</v>
      </c>
      <c r="E17" s="22">
        <f>'estab aut municipio x tip y cat'!F18</f>
        <v>0</v>
      </c>
      <c r="F17" s="21">
        <f t="shared" si="3"/>
        <v>0</v>
      </c>
      <c r="G17" s="22">
        <f>'estab aut municipio x tip y cat'!AG18</f>
        <v>0</v>
      </c>
      <c r="H17" s="21">
        <f t="shared" si="0"/>
        <v>0</v>
      </c>
      <c r="I17" s="22">
        <f>'estab aut municipio x tip y cat'!BK18</f>
        <v>102</v>
      </c>
      <c r="J17" s="21">
        <f t="shared" si="1"/>
        <v>3.2980890484043067E-3</v>
      </c>
      <c r="K17" s="22">
        <f>'estab aut municipio x tip y cat'!BN18</f>
        <v>0</v>
      </c>
      <c r="L17" s="21">
        <f t="shared" si="4"/>
        <v>0</v>
      </c>
      <c r="M17" s="22">
        <f>'estab aut municipio x tip y cat'!BQ18</f>
        <v>1</v>
      </c>
      <c r="N17" s="21">
        <f t="shared" si="5"/>
        <v>5.9880239520958087E-3</v>
      </c>
      <c r="BG17" s="3">
        <v>0</v>
      </c>
    </row>
    <row r="18" spans="2:59" s="3" customFormat="1" x14ac:dyDescent="0.25">
      <c r="B18" s="19" t="str">
        <f>'estab aut municipio x tip y cat'!B19</f>
        <v>Guia de Isora</v>
      </c>
      <c r="C18" s="20">
        <f>'estab aut municipio x tip y cat'!C19</f>
        <v>915</v>
      </c>
      <c r="D18" s="21">
        <f t="shared" si="2"/>
        <v>2.8919089759797723E-2</v>
      </c>
      <c r="E18" s="22">
        <f>'estab aut municipio x tip y cat'!F19</f>
        <v>8</v>
      </c>
      <c r="F18" s="21">
        <f t="shared" si="3"/>
        <v>2.7874564459930314E-2</v>
      </c>
      <c r="G18" s="22">
        <f>'estab aut municipio x tip y cat'!AG19</f>
        <v>1</v>
      </c>
      <c r="H18" s="21">
        <f t="shared" si="0"/>
        <v>4.2553191489361703E-3</v>
      </c>
      <c r="I18" s="22">
        <f>'estab aut municipio x tip y cat'!BK19</f>
        <v>895</v>
      </c>
      <c r="J18" s="21">
        <f t="shared" si="1"/>
        <v>2.8939114689429949E-2</v>
      </c>
      <c r="K18" s="22">
        <f>'estab aut municipio x tip y cat'!BN19</f>
        <v>1</v>
      </c>
      <c r="L18" s="21">
        <f t="shared" si="4"/>
        <v>4.1666666666666664E-2</v>
      </c>
      <c r="M18" s="22">
        <f>'estab aut municipio x tip y cat'!BQ19</f>
        <v>10</v>
      </c>
      <c r="N18" s="21">
        <f t="shared" si="5"/>
        <v>5.9880239520958084E-2</v>
      </c>
      <c r="BG18" s="3">
        <v>0</v>
      </c>
    </row>
    <row r="19" spans="2:59" s="3" customFormat="1" x14ac:dyDescent="0.25">
      <c r="B19" s="19" t="str">
        <f>'estab aut municipio x tip y cat'!B20</f>
        <v>Güimar</v>
      </c>
      <c r="C19" s="20">
        <f>'estab aut municipio x tip y cat'!C20</f>
        <v>518</v>
      </c>
      <c r="D19" s="21">
        <f t="shared" si="2"/>
        <v>1.6371681415929203E-2</v>
      </c>
      <c r="E19" s="22">
        <f>'estab aut municipio x tip y cat'!F20</f>
        <v>1</v>
      </c>
      <c r="F19" s="21">
        <f t="shared" si="3"/>
        <v>3.4843205574912892E-3</v>
      </c>
      <c r="G19" s="22">
        <f>'estab aut municipio x tip y cat'!AG20</f>
        <v>1</v>
      </c>
      <c r="H19" s="21">
        <f t="shared" si="0"/>
        <v>4.2553191489361703E-3</v>
      </c>
      <c r="I19" s="22">
        <f>'estab aut municipio x tip y cat'!BK20</f>
        <v>507</v>
      </c>
      <c r="J19" s="21">
        <f t="shared" si="1"/>
        <v>1.6393442622950821E-2</v>
      </c>
      <c r="K19" s="22">
        <f>'estab aut municipio x tip y cat'!BN20</f>
        <v>4</v>
      </c>
      <c r="L19" s="21">
        <f t="shared" si="4"/>
        <v>0.16666666666666666</v>
      </c>
      <c r="M19" s="22">
        <f>'estab aut municipio x tip y cat'!BQ20</f>
        <v>5</v>
      </c>
      <c r="N19" s="21">
        <f t="shared" si="5"/>
        <v>2.9940119760479042E-2</v>
      </c>
      <c r="BG19" s="3">
        <v>0</v>
      </c>
    </row>
    <row r="20" spans="2:59" s="3" customFormat="1" x14ac:dyDescent="0.25">
      <c r="B20" s="19" t="str">
        <f>'estab aut municipio x tip y cat'!B21</f>
        <v>Icod de los Vinos</v>
      </c>
      <c r="C20" s="20">
        <f>'estab aut municipio x tip y cat'!C21</f>
        <v>809</v>
      </c>
      <c r="D20" s="21">
        <f t="shared" si="2"/>
        <v>2.556890012642225E-2</v>
      </c>
      <c r="E20" s="22">
        <f>'estab aut municipio x tip y cat'!F21</f>
        <v>3</v>
      </c>
      <c r="F20" s="21">
        <f t="shared" si="3"/>
        <v>1.0452961672473868E-2</v>
      </c>
      <c r="G20" s="22">
        <f>'estab aut municipio x tip y cat'!AG21</f>
        <v>3</v>
      </c>
      <c r="H20" s="21">
        <f t="shared" si="0"/>
        <v>1.276595744680851E-2</v>
      </c>
      <c r="I20" s="22">
        <f>'estab aut municipio x tip y cat'!BK21</f>
        <v>782</v>
      </c>
      <c r="J20" s="21">
        <f t="shared" si="1"/>
        <v>2.5285349371099688E-2</v>
      </c>
      <c r="K20" s="22">
        <f>'estab aut municipio x tip y cat'!BN21</f>
        <v>0</v>
      </c>
      <c r="L20" s="21">
        <f t="shared" si="4"/>
        <v>0</v>
      </c>
      <c r="M20" s="22">
        <f>'estab aut municipio x tip y cat'!BQ21</f>
        <v>21</v>
      </c>
      <c r="N20" s="21">
        <f t="shared" si="5"/>
        <v>0.12574850299401197</v>
      </c>
      <c r="BG20" s="3">
        <v>0</v>
      </c>
    </row>
    <row r="21" spans="2:59" s="3" customFormat="1" x14ac:dyDescent="0.25">
      <c r="B21" s="19" t="str">
        <f>'estab aut municipio x tip y cat'!B22</f>
        <v>La Laguna</v>
      </c>
      <c r="C21" s="20">
        <f>'estab aut municipio x tip y cat'!C22</f>
        <v>1215</v>
      </c>
      <c r="D21" s="21">
        <f t="shared" si="2"/>
        <v>3.8400758533501896E-2</v>
      </c>
      <c r="E21" s="22">
        <f>'estab aut municipio x tip y cat'!F22</f>
        <v>16</v>
      </c>
      <c r="F21" s="21">
        <f t="shared" si="3"/>
        <v>5.5749128919860627E-2</v>
      </c>
      <c r="G21" s="22">
        <f>'estab aut municipio x tip y cat'!AG22</f>
        <v>7</v>
      </c>
      <c r="H21" s="21">
        <f t="shared" si="0"/>
        <v>2.9787234042553193E-2</v>
      </c>
      <c r="I21" s="22">
        <f>'estab aut municipio x tip y cat'!BK22</f>
        <v>1179</v>
      </c>
      <c r="J21" s="21">
        <f t="shared" si="1"/>
        <v>3.8122029294790957E-2</v>
      </c>
      <c r="K21" s="22">
        <f>'estab aut municipio x tip y cat'!BN22</f>
        <v>1</v>
      </c>
      <c r="L21" s="21">
        <f t="shared" si="4"/>
        <v>4.1666666666666664E-2</v>
      </c>
      <c r="M21" s="22">
        <f>'estab aut municipio x tip y cat'!BQ22</f>
        <v>12</v>
      </c>
      <c r="N21" s="21">
        <f t="shared" si="5"/>
        <v>7.1856287425149698E-2</v>
      </c>
      <c r="BG21" s="3">
        <v>6</v>
      </c>
    </row>
    <row r="22" spans="2:59" s="3" customFormat="1" x14ac:dyDescent="0.25">
      <c r="B22" s="19" t="str">
        <f>'estab aut municipio x tip y cat'!B23</f>
        <v>La Matanza de Acentejo</v>
      </c>
      <c r="C22" s="20">
        <f>'estab aut municipio x tip y cat'!C23</f>
        <v>228</v>
      </c>
      <c r="D22" s="21">
        <f t="shared" si="2"/>
        <v>7.2060682680151703E-3</v>
      </c>
      <c r="E22" s="22">
        <f>'estab aut municipio x tip y cat'!F23</f>
        <v>0</v>
      </c>
      <c r="F22" s="21">
        <f t="shared" si="3"/>
        <v>0</v>
      </c>
      <c r="G22" s="22">
        <f>'estab aut municipio x tip y cat'!AG23</f>
        <v>0</v>
      </c>
      <c r="H22" s="21">
        <f t="shared" si="0"/>
        <v>0</v>
      </c>
      <c r="I22" s="22">
        <f>'estab aut municipio x tip y cat'!BK23</f>
        <v>223</v>
      </c>
      <c r="J22" s="21">
        <f t="shared" si="1"/>
        <v>7.210528017589808E-3</v>
      </c>
      <c r="K22" s="22">
        <f>'estab aut municipio x tip y cat'!BN23</f>
        <v>0</v>
      </c>
      <c r="L22" s="21">
        <f t="shared" si="4"/>
        <v>0</v>
      </c>
      <c r="M22" s="22">
        <f>'estab aut municipio x tip y cat'!BQ23</f>
        <v>5</v>
      </c>
      <c r="N22" s="21">
        <f t="shared" si="5"/>
        <v>2.9940119760479042E-2</v>
      </c>
      <c r="BG22" s="3">
        <v>0</v>
      </c>
    </row>
    <row r="23" spans="2:59" s="3" customFormat="1" x14ac:dyDescent="0.25">
      <c r="B23" s="19" t="str">
        <f>'estab aut municipio x tip y cat'!B24</f>
        <v>La Orotava</v>
      </c>
      <c r="C23" s="20">
        <f>'estab aut municipio x tip y cat'!C24</f>
        <v>450</v>
      </c>
      <c r="D23" s="21">
        <f t="shared" si="2"/>
        <v>1.4222503160556258E-2</v>
      </c>
      <c r="E23" s="22">
        <f>'estab aut municipio x tip y cat'!F24</f>
        <v>5</v>
      </c>
      <c r="F23" s="21">
        <f t="shared" si="3"/>
        <v>1.7421602787456445E-2</v>
      </c>
      <c r="G23" s="22">
        <f>'estab aut municipio x tip y cat'!AG24</f>
        <v>3</v>
      </c>
      <c r="H23" s="21">
        <f t="shared" si="0"/>
        <v>1.276595744680851E-2</v>
      </c>
      <c r="I23" s="22">
        <f>'estab aut municipio x tip y cat'!BK24</f>
        <v>432</v>
      </c>
      <c r="J23" s="21">
        <f t="shared" si="1"/>
        <v>1.3968377146182947E-2</v>
      </c>
      <c r="K23" s="22">
        <f>'estab aut municipio x tip y cat'!BN24</f>
        <v>1</v>
      </c>
      <c r="L23" s="21">
        <f t="shared" si="4"/>
        <v>4.1666666666666664E-2</v>
      </c>
      <c r="M23" s="22">
        <f>'estab aut municipio x tip y cat'!BQ24</f>
        <v>9</v>
      </c>
      <c r="N23" s="21">
        <f t="shared" si="5"/>
        <v>5.3892215568862277E-2</v>
      </c>
      <c r="BG23" s="3">
        <v>4</v>
      </c>
    </row>
    <row r="24" spans="2:59" s="3" customFormat="1" x14ac:dyDescent="0.25">
      <c r="B24" s="19" t="str">
        <f>'estab aut municipio x tip y cat'!B25</f>
        <v>Puerto de la Cruz</v>
      </c>
      <c r="C24" s="20">
        <f>'estab aut municipio x tip y cat'!C25</f>
        <v>2118</v>
      </c>
      <c r="D24" s="21">
        <f t="shared" si="2"/>
        <v>6.6940581542351454E-2</v>
      </c>
      <c r="E24" s="22">
        <f>'estab aut municipio x tip y cat'!F25</f>
        <v>63</v>
      </c>
      <c r="F24" s="21">
        <f t="shared" si="3"/>
        <v>0.21951219512195122</v>
      </c>
      <c r="G24" s="22">
        <f>'estab aut municipio x tip y cat'!AG25</f>
        <v>22</v>
      </c>
      <c r="H24" s="21">
        <f t="shared" si="0"/>
        <v>9.3617021276595741E-2</v>
      </c>
      <c r="I24" s="22">
        <f>'estab aut municipio x tip y cat'!BK25</f>
        <v>2032</v>
      </c>
      <c r="J24" s="21">
        <f t="shared" si="1"/>
        <v>6.5703107317230905E-2</v>
      </c>
      <c r="K24" s="22">
        <f>'estab aut municipio x tip y cat'!BN25</f>
        <v>0</v>
      </c>
      <c r="L24" s="21">
        <f t="shared" si="4"/>
        <v>0</v>
      </c>
      <c r="M24" s="22">
        <f>'estab aut municipio x tip y cat'!BQ25</f>
        <v>1</v>
      </c>
      <c r="N24" s="21">
        <f t="shared" si="5"/>
        <v>5.9880239520958087E-3</v>
      </c>
      <c r="BG24" s="3">
        <v>0</v>
      </c>
    </row>
    <row r="25" spans="2:59" s="3" customFormat="1" x14ac:dyDescent="0.25">
      <c r="B25" s="19" t="str">
        <f>'estab aut municipio x tip y cat'!B26</f>
        <v>Los Realejos</v>
      </c>
      <c r="C25" s="20">
        <f>'estab aut municipio x tip y cat'!C26</f>
        <v>396</v>
      </c>
      <c r="D25" s="21">
        <f t="shared" si="2"/>
        <v>1.2515802781289507E-2</v>
      </c>
      <c r="E25" s="22">
        <f>'estab aut municipio x tip y cat'!F26</f>
        <v>5</v>
      </c>
      <c r="F25" s="21">
        <f t="shared" si="3"/>
        <v>1.7421602787456445E-2</v>
      </c>
      <c r="G25" s="22">
        <f>'estab aut municipio x tip y cat'!AG26</f>
        <v>4</v>
      </c>
      <c r="H25" s="21">
        <f t="shared" si="0"/>
        <v>1.7021276595744681E-2</v>
      </c>
      <c r="I25" s="22">
        <f>'estab aut municipio x tip y cat'!BK26</f>
        <v>369</v>
      </c>
      <c r="J25" s="21">
        <f t="shared" si="1"/>
        <v>1.1931322145697934E-2</v>
      </c>
      <c r="K25" s="22">
        <f>'estab aut municipio x tip y cat'!BN26</f>
        <v>3</v>
      </c>
      <c r="L25" s="21">
        <f t="shared" si="4"/>
        <v>0.125</v>
      </c>
      <c r="M25" s="22">
        <f>'estab aut municipio x tip y cat'!BQ26</f>
        <v>15</v>
      </c>
      <c r="N25" s="21">
        <f t="shared" si="5"/>
        <v>8.9820359281437126E-2</v>
      </c>
      <c r="BG25" s="3">
        <v>0</v>
      </c>
    </row>
    <row r="26" spans="2:59" s="3" customFormat="1" x14ac:dyDescent="0.25">
      <c r="B26" s="19" t="str">
        <f>'estab aut municipio x tip y cat'!B27</f>
        <v>El Rosario</v>
      </c>
      <c r="C26" s="20">
        <f>'estab aut municipio x tip y cat'!C27</f>
        <v>452</v>
      </c>
      <c r="D26" s="21">
        <f t="shared" si="2"/>
        <v>1.4285714285714285E-2</v>
      </c>
      <c r="E26" s="22">
        <f>'estab aut municipio x tip y cat'!F27</f>
        <v>2</v>
      </c>
      <c r="F26" s="21">
        <f t="shared" si="3"/>
        <v>6.9686411149825784E-3</v>
      </c>
      <c r="G26" s="22">
        <f>'estab aut municipio x tip y cat'!AG27</f>
        <v>1</v>
      </c>
      <c r="H26" s="21">
        <f t="shared" si="0"/>
        <v>4.2553191489361703E-3</v>
      </c>
      <c r="I26" s="22">
        <f>'estab aut municipio x tip y cat'!BK27</f>
        <v>445</v>
      </c>
      <c r="J26" s="21">
        <f t="shared" si="1"/>
        <v>1.4388721828822712E-2</v>
      </c>
      <c r="K26" s="22">
        <f>'estab aut municipio x tip y cat'!BN27</f>
        <v>1</v>
      </c>
      <c r="L26" s="21">
        <f t="shared" si="4"/>
        <v>4.1666666666666664E-2</v>
      </c>
      <c r="M26" s="22">
        <f>'estab aut municipio x tip y cat'!BQ27</f>
        <v>3</v>
      </c>
      <c r="N26" s="21">
        <f t="shared" si="5"/>
        <v>1.7964071856287425E-2</v>
      </c>
      <c r="BG26" s="3">
        <v>7</v>
      </c>
    </row>
    <row r="27" spans="2:59" s="3" customFormat="1" x14ac:dyDescent="0.25">
      <c r="B27" s="19" t="str">
        <f>'estab aut municipio x tip y cat'!B28</f>
        <v>San Juan de la Rambla</v>
      </c>
      <c r="C27" s="20">
        <f>'estab aut municipio x tip y cat'!C28</f>
        <v>85</v>
      </c>
      <c r="D27" s="21">
        <f t="shared" si="2"/>
        <v>2.6864728192161819E-3</v>
      </c>
      <c r="E27" s="22">
        <f>'estab aut municipio x tip y cat'!F28</f>
        <v>0</v>
      </c>
      <c r="F27" s="21">
        <f t="shared" si="3"/>
        <v>0</v>
      </c>
      <c r="G27" s="22">
        <f>'estab aut municipio x tip y cat'!AG28</f>
        <v>3</v>
      </c>
      <c r="H27" s="21">
        <f t="shared" si="0"/>
        <v>1.276595744680851E-2</v>
      </c>
      <c r="I27" s="22">
        <f>'estab aut municipio x tip y cat'!BK28</f>
        <v>78</v>
      </c>
      <c r="J27" s="21">
        <f t="shared" si="1"/>
        <v>2.5220680958385876E-3</v>
      </c>
      <c r="K27" s="22">
        <f>'estab aut municipio x tip y cat'!BN28</f>
        <v>1</v>
      </c>
      <c r="L27" s="21">
        <f t="shared" si="4"/>
        <v>4.1666666666666664E-2</v>
      </c>
      <c r="M27" s="22">
        <f>'estab aut municipio x tip y cat'!BQ28</f>
        <v>3</v>
      </c>
      <c r="N27" s="21">
        <f t="shared" si="5"/>
        <v>1.7964071856287425E-2</v>
      </c>
      <c r="BG27" s="3">
        <v>0</v>
      </c>
    </row>
    <row r="28" spans="2:59" s="3" customFormat="1" x14ac:dyDescent="0.25">
      <c r="B28" s="19" t="str">
        <f>'estab aut municipio x tip y cat'!B29</f>
        <v>San Miguel de Abona</v>
      </c>
      <c r="C28" s="20">
        <f>'estab aut municipio x tip y cat'!C29</f>
        <v>1572</v>
      </c>
      <c r="D28" s="21">
        <f t="shared" si="2"/>
        <v>4.9683944374209858E-2</v>
      </c>
      <c r="E28" s="22">
        <f>'estab aut municipio x tip y cat'!F29</f>
        <v>7</v>
      </c>
      <c r="F28" s="21">
        <f t="shared" si="3"/>
        <v>2.4390243902439025E-2</v>
      </c>
      <c r="G28" s="22">
        <f>'estab aut municipio x tip y cat'!AG29</f>
        <v>14</v>
      </c>
      <c r="H28" s="21">
        <f t="shared" si="0"/>
        <v>5.9574468085106386E-2</v>
      </c>
      <c r="I28" s="22">
        <f>'estab aut municipio x tip y cat'!BK29</f>
        <v>1547</v>
      </c>
      <c r="J28" s="21">
        <f t="shared" si="1"/>
        <v>5.0021017234131986E-2</v>
      </c>
      <c r="K28" s="22">
        <f>'estab aut municipio x tip y cat'!BN29</f>
        <v>1</v>
      </c>
      <c r="L28" s="21">
        <f t="shared" si="4"/>
        <v>4.1666666666666664E-2</v>
      </c>
      <c r="M28" s="22">
        <f>'estab aut municipio x tip y cat'!BQ29</f>
        <v>3</v>
      </c>
      <c r="N28" s="21">
        <f t="shared" si="5"/>
        <v>1.7964071856287425E-2</v>
      </c>
      <c r="BG28" s="3">
        <v>0</v>
      </c>
    </row>
    <row r="29" spans="2:59" s="3" customFormat="1" x14ac:dyDescent="0.25">
      <c r="B29" s="19" t="str">
        <f>'estab aut municipio x tip y cat'!B30</f>
        <v>Santa Cruz De Tenerife</v>
      </c>
      <c r="C29" s="20">
        <f>'estab aut municipio x tip y cat'!C30</f>
        <v>2394</v>
      </c>
      <c r="D29" s="21">
        <f t="shared" si="2"/>
        <v>7.5663716814159288E-2</v>
      </c>
      <c r="E29" s="22">
        <f>'estab aut municipio x tip y cat'!F30</f>
        <v>34</v>
      </c>
      <c r="F29" s="21">
        <f t="shared" si="3"/>
        <v>0.11846689895470383</v>
      </c>
      <c r="G29" s="22">
        <f>'estab aut municipio x tip y cat'!AG30</f>
        <v>8</v>
      </c>
      <c r="H29" s="21">
        <f t="shared" si="0"/>
        <v>3.4042553191489362E-2</v>
      </c>
      <c r="I29" s="22">
        <f>'estab aut municipio x tip y cat'!BK30</f>
        <v>2349</v>
      </c>
      <c r="J29" s="21">
        <f t="shared" si="1"/>
        <v>7.595305073236977E-2</v>
      </c>
      <c r="K29" s="22">
        <f>'estab aut municipio x tip y cat'!BN30</f>
        <v>0</v>
      </c>
      <c r="L29" s="21">
        <f t="shared" si="4"/>
        <v>0</v>
      </c>
      <c r="M29" s="22">
        <f>'estab aut municipio x tip y cat'!BQ30</f>
        <v>3</v>
      </c>
      <c r="N29" s="21">
        <f t="shared" si="5"/>
        <v>1.7964071856287425E-2</v>
      </c>
      <c r="BG29" s="3">
        <v>6</v>
      </c>
    </row>
    <row r="30" spans="2:59" s="3" customFormat="1" x14ac:dyDescent="0.25">
      <c r="B30" s="19" t="str">
        <f>'estab aut municipio x tip y cat'!B31</f>
        <v>Santa Ursula</v>
      </c>
      <c r="C30" s="20">
        <f>'estab aut municipio x tip y cat'!C31</f>
        <v>421</v>
      </c>
      <c r="D30" s="21">
        <f t="shared" si="2"/>
        <v>1.3305941845764854E-2</v>
      </c>
      <c r="E30" s="22">
        <f>'estab aut municipio x tip y cat'!F31</f>
        <v>0</v>
      </c>
      <c r="F30" s="21">
        <f t="shared" si="3"/>
        <v>0</v>
      </c>
      <c r="G30" s="22">
        <f>'estab aut municipio x tip y cat'!AG31</f>
        <v>0</v>
      </c>
      <c r="H30" s="21">
        <f t="shared" si="0"/>
        <v>0</v>
      </c>
      <c r="I30" s="22">
        <f>'estab aut municipio x tip y cat'!BK31</f>
        <v>421</v>
      </c>
      <c r="J30" s="21">
        <f t="shared" si="1"/>
        <v>1.3612700876256992E-2</v>
      </c>
      <c r="K30" s="22">
        <f>'estab aut municipio x tip y cat'!BN31</f>
        <v>0</v>
      </c>
      <c r="L30" s="21">
        <f t="shared" si="4"/>
        <v>0</v>
      </c>
      <c r="M30" s="22">
        <f>'estab aut municipio x tip y cat'!BQ31</f>
        <v>0</v>
      </c>
      <c r="N30" s="21">
        <f t="shared" si="5"/>
        <v>0</v>
      </c>
      <c r="BG30" s="3">
        <v>0</v>
      </c>
    </row>
    <row r="31" spans="2:59" s="3" customFormat="1" x14ac:dyDescent="0.25">
      <c r="B31" s="19" t="str">
        <f>'estab aut municipio x tip y cat'!B32</f>
        <v>Santiago del Teide</v>
      </c>
      <c r="C31" s="20">
        <f>'estab aut municipio x tip y cat'!C32</f>
        <v>1600</v>
      </c>
      <c r="D31" s="21">
        <f t="shared" si="2"/>
        <v>5.0568900126422248E-2</v>
      </c>
      <c r="E31" s="22">
        <f>'estab aut municipio x tip y cat'!F32</f>
        <v>8</v>
      </c>
      <c r="F31" s="21">
        <f t="shared" si="3"/>
        <v>2.7874564459930314E-2</v>
      </c>
      <c r="G31" s="22">
        <f>'estab aut municipio x tip y cat'!AG32</f>
        <v>15</v>
      </c>
      <c r="H31" s="21">
        <f t="shared" si="0"/>
        <v>6.3829787234042548E-2</v>
      </c>
      <c r="I31" s="22">
        <f>'estab aut municipio x tip y cat'!BK32</f>
        <v>1577</v>
      </c>
      <c r="J31" s="21">
        <f t="shared" si="1"/>
        <v>5.0991043424839136E-2</v>
      </c>
      <c r="K31" s="22">
        <f>'estab aut municipio x tip y cat'!BN32</f>
        <v>0</v>
      </c>
      <c r="L31" s="21">
        <f t="shared" si="4"/>
        <v>0</v>
      </c>
      <c r="M31" s="22">
        <f>'estab aut municipio x tip y cat'!BQ32</f>
        <v>0</v>
      </c>
      <c r="N31" s="21">
        <f t="shared" si="5"/>
        <v>0</v>
      </c>
      <c r="BG31" s="3">
        <v>0</v>
      </c>
    </row>
    <row r="32" spans="2:59" s="3" customFormat="1" x14ac:dyDescent="0.25">
      <c r="B32" s="19" t="str">
        <f>'estab aut municipio x tip y cat'!B33</f>
        <v>El Sauzal</v>
      </c>
      <c r="C32" s="20">
        <f>'estab aut municipio x tip y cat'!C33</f>
        <v>170</v>
      </c>
      <c r="D32" s="21">
        <f t="shared" si="2"/>
        <v>5.3729456384323639E-3</v>
      </c>
      <c r="E32" s="22">
        <f>'estab aut municipio x tip y cat'!F33</f>
        <v>1</v>
      </c>
      <c r="F32" s="21">
        <f t="shared" si="3"/>
        <v>3.4843205574912892E-3</v>
      </c>
      <c r="G32" s="22">
        <f>'estab aut municipio x tip y cat'!AG33</f>
        <v>0</v>
      </c>
      <c r="H32" s="21">
        <f t="shared" si="0"/>
        <v>0</v>
      </c>
      <c r="I32" s="22">
        <f>'estab aut municipio x tip y cat'!BK33</f>
        <v>166</v>
      </c>
      <c r="J32" s="21">
        <f t="shared" si="1"/>
        <v>5.3674782552462254E-3</v>
      </c>
      <c r="K32" s="22">
        <f>'estab aut municipio x tip y cat'!BN33</f>
        <v>1</v>
      </c>
      <c r="L32" s="21">
        <f t="shared" si="4"/>
        <v>4.1666666666666664E-2</v>
      </c>
      <c r="M32" s="22">
        <f>'estab aut municipio x tip y cat'!BQ33</f>
        <v>2</v>
      </c>
      <c r="N32" s="21">
        <f t="shared" si="5"/>
        <v>1.1976047904191617E-2</v>
      </c>
      <c r="BG32" s="3">
        <v>0</v>
      </c>
    </row>
    <row r="33" spans="1:59" s="3" customFormat="1" x14ac:dyDescent="0.25">
      <c r="B33" s="19" t="str">
        <f>'estab aut municipio x tip y cat'!B34</f>
        <v>Los Silos</v>
      </c>
      <c r="C33" s="20">
        <f>'estab aut municipio x tip y cat'!C34</f>
        <v>146</v>
      </c>
      <c r="D33" s="21">
        <f t="shared" si="2"/>
        <v>4.6144121365360308E-3</v>
      </c>
      <c r="E33" s="22">
        <f>'estab aut municipio x tip y cat'!F34</f>
        <v>1</v>
      </c>
      <c r="F33" s="21">
        <f t="shared" si="3"/>
        <v>3.4843205574912892E-3</v>
      </c>
      <c r="G33" s="22">
        <f>'estab aut municipio x tip y cat'!AG34</f>
        <v>2</v>
      </c>
      <c r="H33" s="21">
        <f t="shared" si="0"/>
        <v>8.5106382978723406E-3</v>
      </c>
      <c r="I33" s="22">
        <f>'estab aut municipio x tip y cat'!BK34</f>
        <v>140</v>
      </c>
      <c r="J33" s="21">
        <f t="shared" si="1"/>
        <v>4.5267888899666962E-3</v>
      </c>
      <c r="K33" s="22">
        <f>'estab aut municipio x tip y cat'!BN34</f>
        <v>1</v>
      </c>
      <c r="L33" s="21">
        <f t="shared" si="4"/>
        <v>4.1666666666666664E-2</v>
      </c>
      <c r="M33" s="22">
        <f>'estab aut municipio x tip y cat'!BQ34</f>
        <v>2</v>
      </c>
      <c r="N33" s="21">
        <f t="shared" si="5"/>
        <v>1.1976047904191617E-2</v>
      </c>
      <c r="BG33" s="3">
        <v>10</v>
      </c>
    </row>
    <row r="34" spans="1:59" s="3" customFormat="1" x14ac:dyDescent="0.25">
      <c r="B34" s="19" t="str">
        <f>'estab aut municipio x tip y cat'!B35</f>
        <v>Tacoronte</v>
      </c>
      <c r="C34" s="20">
        <f>'estab aut municipio x tip y cat'!C35</f>
        <v>467</v>
      </c>
      <c r="D34" s="21">
        <f t="shared" si="2"/>
        <v>1.4759797724399495E-2</v>
      </c>
      <c r="E34" s="22">
        <f>'estab aut municipio x tip y cat'!F35</f>
        <v>1</v>
      </c>
      <c r="F34" s="21">
        <f t="shared" si="3"/>
        <v>3.4843205574912892E-3</v>
      </c>
      <c r="G34" s="22">
        <f>'estab aut municipio x tip y cat'!AG35</f>
        <v>1</v>
      </c>
      <c r="H34" s="21">
        <f t="shared" si="0"/>
        <v>4.2553191489361703E-3</v>
      </c>
      <c r="I34" s="22">
        <f>'estab aut municipio x tip y cat'!BK35</f>
        <v>460</v>
      </c>
      <c r="J34" s="21">
        <f t="shared" si="1"/>
        <v>1.4873734924176285E-2</v>
      </c>
      <c r="K34" s="22">
        <f>'estab aut municipio x tip y cat'!BN35</f>
        <v>0</v>
      </c>
      <c r="L34" s="21">
        <f t="shared" si="4"/>
        <v>0</v>
      </c>
      <c r="M34" s="22">
        <f>'estab aut municipio x tip y cat'!BQ35</f>
        <v>5</v>
      </c>
      <c r="N34" s="21">
        <f t="shared" si="5"/>
        <v>2.9940119760479042E-2</v>
      </c>
      <c r="BG34" s="3">
        <v>0</v>
      </c>
    </row>
    <row r="35" spans="1:59" s="3" customFormat="1" x14ac:dyDescent="0.25">
      <c r="B35" s="19" t="str">
        <f>'estab aut municipio x tip y cat'!B36</f>
        <v>Tanque</v>
      </c>
      <c r="C35" s="20">
        <f>'estab aut municipio x tip y cat'!C36</f>
        <v>73</v>
      </c>
      <c r="D35" s="21">
        <f t="shared" si="2"/>
        <v>2.3072060682680154E-3</v>
      </c>
      <c r="E35" s="22">
        <f>'estab aut municipio x tip y cat'!F36</f>
        <v>0</v>
      </c>
      <c r="F35" s="21">
        <f t="shared" si="3"/>
        <v>0</v>
      </c>
      <c r="G35" s="22">
        <f>'estab aut municipio x tip y cat'!AG36</f>
        <v>1</v>
      </c>
      <c r="H35" s="21">
        <f t="shared" si="0"/>
        <v>4.2553191489361703E-3</v>
      </c>
      <c r="I35" s="22">
        <f>'estab aut municipio x tip y cat'!BK36</f>
        <v>68</v>
      </c>
      <c r="J35" s="21">
        <f t="shared" si="1"/>
        <v>2.198726032269538E-3</v>
      </c>
      <c r="K35" s="22">
        <f>'estab aut municipio x tip y cat'!BN36</f>
        <v>1</v>
      </c>
      <c r="L35" s="21">
        <f t="shared" si="4"/>
        <v>4.1666666666666664E-2</v>
      </c>
      <c r="M35" s="22">
        <f>'estab aut municipio x tip y cat'!BQ36</f>
        <v>3</v>
      </c>
      <c r="N35" s="21">
        <f t="shared" si="5"/>
        <v>1.7964071856287425E-2</v>
      </c>
      <c r="BG35" s="3">
        <v>0</v>
      </c>
    </row>
    <row r="36" spans="1:59" s="3" customFormat="1" x14ac:dyDescent="0.25">
      <c r="B36" s="19" t="str">
        <f>'estab aut municipio x tip y cat'!B37</f>
        <v>Tegueste</v>
      </c>
      <c r="C36" s="20">
        <f>'estab aut municipio x tip y cat'!C37</f>
        <v>94</v>
      </c>
      <c r="D36" s="21">
        <f t="shared" si="2"/>
        <v>2.9709228824273074E-3</v>
      </c>
      <c r="E36" s="22">
        <f>'estab aut municipio x tip y cat'!F37</f>
        <v>1</v>
      </c>
      <c r="F36" s="21">
        <f t="shared" si="3"/>
        <v>3.4843205574912892E-3</v>
      </c>
      <c r="G36" s="22">
        <f>'estab aut municipio x tip y cat'!AG37</f>
        <v>3</v>
      </c>
      <c r="H36" s="21">
        <f t="shared" si="0"/>
        <v>1.276595744680851E-2</v>
      </c>
      <c r="I36" s="22">
        <f>'estab aut municipio x tip y cat'!BK37</f>
        <v>87</v>
      </c>
      <c r="J36" s="21">
        <f t="shared" si="1"/>
        <v>2.8130759530507325E-3</v>
      </c>
      <c r="K36" s="22">
        <f>'estab aut municipio x tip y cat'!BN37</f>
        <v>0</v>
      </c>
      <c r="L36" s="21">
        <f t="shared" si="4"/>
        <v>0</v>
      </c>
      <c r="M36" s="22">
        <f>'estab aut municipio x tip y cat'!BQ37</f>
        <v>3</v>
      </c>
      <c r="N36" s="21">
        <f t="shared" si="5"/>
        <v>1.7964071856287425E-2</v>
      </c>
      <c r="BG36" s="3">
        <v>7</v>
      </c>
    </row>
    <row r="37" spans="1:59" s="3" customFormat="1" x14ac:dyDescent="0.25">
      <c r="B37" s="19" t="str">
        <f>'estab aut municipio x tip y cat'!B38</f>
        <v>La Victoria de Acentejo</v>
      </c>
      <c r="C37" s="20">
        <f>'estab aut municipio x tip y cat'!C38</f>
        <v>81</v>
      </c>
      <c r="D37" s="21">
        <f t="shared" si="2"/>
        <v>2.5600505689001266E-3</v>
      </c>
      <c r="E37" s="22">
        <f>'estab aut municipio x tip y cat'!F38</f>
        <v>0</v>
      </c>
      <c r="F37" s="21">
        <f t="shared" si="3"/>
        <v>0</v>
      </c>
      <c r="G37" s="22">
        <f>'estab aut municipio x tip y cat'!AG38</f>
        <v>0</v>
      </c>
      <c r="H37" s="21">
        <f t="shared" si="0"/>
        <v>0</v>
      </c>
      <c r="I37" s="22">
        <f>'estab aut municipio x tip y cat'!BK38</f>
        <v>80</v>
      </c>
      <c r="J37" s="21">
        <f t="shared" si="1"/>
        <v>2.5867365085523977E-3</v>
      </c>
      <c r="K37" s="22">
        <f>'estab aut municipio x tip y cat'!BN38</f>
        <v>0</v>
      </c>
      <c r="L37" s="21">
        <f t="shared" si="4"/>
        <v>0</v>
      </c>
      <c r="M37" s="22">
        <f>'estab aut municipio x tip y cat'!BQ38</f>
        <v>1</v>
      </c>
      <c r="N37" s="21">
        <f t="shared" si="5"/>
        <v>5.9880239520958087E-3</v>
      </c>
      <c r="BG37" s="3">
        <v>0</v>
      </c>
    </row>
    <row r="38" spans="1:59" s="3" customFormat="1" x14ac:dyDescent="0.25">
      <c r="B38" s="19" t="str">
        <f>'estab aut municipio x tip y cat'!B39</f>
        <v>Vilaflor</v>
      </c>
      <c r="C38" s="20">
        <f>'estab aut municipio x tip y cat'!C39</f>
        <v>83</v>
      </c>
      <c r="D38" s="21">
        <f t="shared" si="2"/>
        <v>2.6232616940581543E-3</v>
      </c>
      <c r="E38" s="22">
        <f>'estab aut municipio x tip y cat'!F39</f>
        <v>4</v>
      </c>
      <c r="F38" s="21">
        <f t="shared" si="3"/>
        <v>1.3937282229965157E-2</v>
      </c>
      <c r="G38" s="22">
        <f>'estab aut municipio x tip y cat'!AG39</f>
        <v>1</v>
      </c>
      <c r="H38" s="21">
        <f t="shared" si="0"/>
        <v>4.2553191489361703E-3</v>
      </c>
      <c r="I38" s="22">
        <f>'estab aut municipio x tip y cat'!BK39</f>
        <v>76</v>
      </c>
      <c r="J38" s="21">
        <f t="shared" si="1"/>
        <v>2.4573996831247775E-3</v>
      </c>
      <c r="K38" s="22">
        <f>'estab aut municipio x tip y cat'!BN39</f>
        <v>1</v>
      </c>
      <c r="L38" s="21">
        <f t="shared" si="4"/>
        <v>4.1666666666666664E-2</v>
      </c>
      <c r="M38" s="22">
        <f>'estab aut municipio x tip y cat'!BQ39</f>
        <v>1</v>
      </c>
      <c r="N38" s="21">
        <f t="shared" si="5"/>
        <v>5.9880239520958087E-3</v>
      </c>
      <c r="BG38" s="3">
        <v>6</v>
      </c>
    </row>
    <row r="39" spans="1:59" s="3" customFormat="1" ht="15" customHeight="1" x14ac:dyDescent="0.25">
      <c r="B39" s="19"/>
      <c r="C39" s="20"/>
      <c r="D39" s="21"/>
      <c r="E39" s="22"/>
      <c r="F39" s="21"/>
      <c r="G39" s="22"/>
      <c r="H39" s="21"/>
      <c r="I39" s="22"/>
      <c r="J39" s="21"/>
      <c r="K39" s="22"/>
      <c r="L39" s="21"/>
      <c r="M39" s="22"/>
      <c r="N39" s="21"/>
      <c r="BG39" s="3">
        <v>0</v>
      </c>
    </row>
    <row r="40" spans="1:59" s="3" customFormat="1" ht="6" customHeight="1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8"/>
    </row>
    <row r="41" spans="1:59" s="3" customFormat="1" ht="23.25" customHeight="1" x14ac:dyDescent="0.25">
      <c r="B41" s="101" t="s">
        <v>55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1:5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0"/>
      <c r="N42" s="3"/>
      <c r="O42" s="3"/>
    </row>
  </sheetData>
  <mergeCells count="9">
    <mergeCell ref="B41:N41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4356-5685-4BE2-86ED-C0F21CE0C39F}">
  <sheetPr>
    <tabColor rgb="FF92D050"/>
  </sheetPr>
  <dimension ref="A1:BS85"/>
  <sheetViews>
    <sheetView showGridLines="0" zoomScaleNormal="100" workbookViewId="0">
      <pane xSplit="2" ySplit="7" topLeftCell="C8" activePane="bottomRight" state="frozen"/>
      <selection activeCell="F36" sqref="F36"/>
      <selection pane="topRight" activeCell="F36" sqref="F36"/>
      <selection pane="bottomLeft" activeCell="F36" sqref="F36"/>
      <selection pane="bottomRight" activeCell="C8" sqref="C8"/>
    </sheetView>
  </sheetViews>
  <sheetFormatPr baseColWidth="10" defaultRowHeight="15" x14ac:dyDescent="0.25"/>
  <cols>
    <col min="1" max="1" width="17.7109375" customWidth="1"/>
    <col min="2" max="2" width="23" customWidth="1"/>
    <col min="3" max="71" width="8.42578125" customWidth="1"/>
  </cols>
  <sheetData>
    <row r="1" spans="1:71" ht="30" customHeight="1" x14ac:dyDescent="0.25">
      <c r="F1" s="1"/>
      <c r="H1" s="1"/>
      <c r="I1" s="1"/>
      <c r="K1" s="1"/>
      <c r="L1" s="1"/>
      <c r="N1" s="31"/>
      <c r="O1" s="31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</row>
    <row r="3" spans="1:71" s="3" customFormat="1" ht="56.25" customHeight="1" thickBot="1" x14ac:dyDescent="0.3">
      <c r="B3" s="103" t="s">
        <v>106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1:71" s="3" customFormat="1" ht="6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1:71" s="3" customFormat="1" x14ac:dyDescent="0.25">
      <c r="B5" s="12"/>
      <c r="C5" s="114" t="s">
        <v>17</v>
      </c>
      <c r="D5" s="114"/>
      <c r="E5" s="114"/>
      <c r="F5" s="116" t="s">
        <v>60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 t="s">
        <v>61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07" t="s">
        <v>18</v>
      </c>
      <c r="BL5" s="108"/>
      <c r="BM5" s="108"/>
      <c r="BN5" s="110" t="s">
        <v>19</v>
      </c>
      <c r="BO5" s="111"/>
      <c r="BP5" s="112"/>
      <c r="BQ5" s="107" t="s">
        <v>20</v>
      </c>
      <c r="BR5" s="108"/>
      <c r="BS5" s="108"/>
    </row>
    <row r="6" spans="1:71" s="3" customFormat="1" x14ac:dyDescent="0.25">
      <c r="B6" s="104" t="s">
        <v>16</v>
      </c>
      <c r="C6" s="114"/>
      <c r="D6" s="114"/>
      <c r="E6" s="114"/>
      <c r="F6" s="105" t="s">
        <v>62</v>
      </c>
      <c r="G6" s="104"/>
      <c r="H6" s="106"/>
      <c r="I6" s="105" t="s">
        <v>63</v>
      </c>
      <c r="J6" s="104"/>
      <c r="K6" s="106"/>
      <c r="L6" s="105" t="s">
        <v>64</v>
      </c>
      <c r="M6" s="104"/>
      <c r="N6" s="106"/>
      <c r="O6" s="105" t="s">
        <v>65</v>
      </c>
      <c r="P6" s="104"/>
      <c r="Q6" s="106"/>
      <c r="R6" s="105" t="s">
        <v>66</v>
      </c>
      <c r="S6" s="104"/>
      <c r="T6" s="106"/>
      <c r="U6" s="105" t="s">
        <v>67</v>
      </c>
      <c r="V6" s="104"/>
      <c r="W6" s="106"/>
      <c r="X6" s="105" t="s">
        <v>68</v>
      </c>
      <c r="Y6" s="104"/>
      <c r="Z6" s="106"/>
      <c r="AA6" s="105" t="s">
        <v>69</v>
      </c>
      <c r="AB6" s="104"/>
      <c r="AC6" s="106"/>
      <c r="AD6" s="105" t="s">
        <v>70</v>
      </c>
      <c r="AE6" s="104"/>
      <c r="AF6" s="104"/>
      <c r="AG6" s="110" t="s">
        <v>71</v>
      </c>
      <c r="AH6" s="111"/>
      <c r="AI6" s="112"/>
      <c r="AJ6" s="110" t="s">
        <v>72</v>
      </c>
      <c r="AK6" s="111"/>
      <c r="AL6" s="112"/>
      <c r="AM6" s="110" t="s">
        <v>73</v>
      </c>
      <c r="AN6" s="111"/>
      <c r="AO6" s="112"/>
      <c r="AP6" s="110" t="s">
        <v>74</v>
      </c>
      <c r="AQ6" s="111"/>
      <c r="AR6" s="112"/>
      <c r="AS6" s="110" t="s">
        <v>75</v>
      </c>
      <c r="AT6" s="111"/>
      <c r="AU6" s="112"/>
      <c r="AV6" s="110" t="s">
        <v>65</v>
      </c>
      <c r="AW6" s="111"/>
      <c r="AX6" s="112"/>
      <c r="AY6" s="110" t="s">
        <v>66</v>
      </c>
      <c r="AZ6" s="111"/>
      <c r="BA6" s="112"/>
      <c r="BB6" s="110" t="s">
        <v>67</v>
      </c>
      <c r="BC6" s="111"/>
      <c r="BD6" s="112"/>
      <c r="BE6" s="110" t="s">
        <v>76</v>
      </c>
      <c r="BF6" s="111"/>
      <c r="BG6" s="112"/>
      <c r="BH6" s="110" t="s">
        <v>77</v>
      </c>
      <c r="BI6" s="111"/>
      <c r="BJ6" s="111"/>
      <c r="BK6" s="109"/>
      <c r="BL6" s="104"/>
      <c r="BM6" s="104"/>
      <c r="BN6" s="113"/>
      <c r="BO6" s="114"/>
      <c r="BP6" s="115"/>
      <c r="BQ6" s="109"/>
      <c r="BR6" s="104"/>
      <c r="BS6" s="104"/>
    </row>
    <row r="7" spans="1:71" s="3" customFormat="1" ht="72.75" customHeight="1" x14ac:dyDescent="0.25">
      <c r="B7" s="104"/>
      <c r="C7" s="37" t="s">
        <v>21</v>
      </c>
      <c r="D7" s="38" t="s">
        <v>78</v>
      </c>
      <c r="E7" s="39" t="s">
        <v>79</v>
      </c>
      <c r="F7" s="13" t="s">
        <v>21</v>
      </c>
      <c r="G7" s="40" t="s">
        <v>78</v>
      </c>
      <c r="H7" s="14" t="s">
        <v>79</v>
      </c>
      <c r="I7" s="13" t="s">
        <v>21</v>
      </c>
      <c r="J7" s="40" t="s">
        <v>78</v>
      </c>
      <c r="K7" s="14" t="s">
        <v>79</v>
      </c>
      <c r="L7" s="13" t="s">
        <v>21</v>
      </c>
      <c r="M7" s="40" t="s">
        <v>78</v>
      </c>
      <c r="N7" s="14" t="s">
        <v>79</v>
      </c>
      <c r="O7" s="13" t="s">
        <v>21</v>
      </c>
      <c r="P7" s="40" t="s">
        <v>78</v>
      </c>
      <c r="Q7" s="14" t="s">
        <v>79</v>
      </c>
      <c r="R7" s="13" t="s">
        <v>21</v>
      </c>
      <c r="S7" s="40" t="s">
        <v>78</v>
      </c>
      <c r="T7" s="14" t="s">
        <v>79</v>
      </c>
      <c r="U7" s="13" t="s">
        <v>21</v>
      </c>
      <c r="V7" s="40" t="s">
        <v>78</v>
      </c>
      <c r="W7" s="14" t="s">
        <v>79</v>
      </c>
      <c r="X7" s="13" t="s">
        <v>21</v>
      </c>
      <c r="Y7" s="40" t="s">
        <v>78</v>
      </c>
      <c r="Z7" s="14" t="s">
        <v>79</v>
      </c>
      <c r="AA7" s="13" t="s">
        <v>21</v>
      </c>
      <c r="AB7" s="40" t="s">
        <v>78</v>
      </c>
      <c r="AC7" s="14" t="s">
        <v>79</v>
      </c>
      <c r="AD7" s="13" t="s">
        <v>21</v>
      </c>
      <c r="AE7" s="40" t="s">
        <v>78</v>
      </c>
      <c r="AF7" s="41" t="s">
        <v>79</v>
      </c>
      <c r="AG7" s="42" t="s">
        <v>21</v>
      </c>
      <c r="AH7" s="43" t="s">
        <v>78</v>
      </c>
      <c r="AI7" s="44" t="s">
        <v>79</v>
      </c>
      <c r="AJ7" s="42" t="s">
        <v>21</v>
      </c>
      <c r="AK7" s="43" t="s">
        <v>78</v>
      </c>
      <c r="AL7" s="44" t="s">
        <v>79</v>
      </c>
      <c r="AM7" s="42" t="s">
        <v>21</v>
      </c>
      <c r="AN7" s="43" t="s">
        <v>78</v>
      </c>
      <c r="AO7" s="44" t="s">
        <v>79</v>
      </c>
      <c r="AP7" s="42" t="s">
        <v>21</v>
      </c>
      <c r="AQ7" s="43" t="s">
        <v>78</v>
      </c>
      <c r="AR7" s="44" t="s">
        <v>79</v>
      </c>
      <c r="AS7" s="42" t="s">
        <v>21</v>
      </c>
      <c r="AT7" s="43" t="s">
        <v>78</v>
      </c>
      <c r="AU7" s="44" t="s">
        <v>79</v>
      </c>
      <c r="AV7" s="42" t="s">
        <v>21</v>
      </c>
      <c r="AW7" s="43" t="s">
        <v>78</v>
      </c>
      <c r="AX7" s="44" t="s">
        <v>79</v>
      </c>
      <c r="AY7" s="42" t="s">
        <v>21</v>
      </c>
      <c r="AZ7" s="43" t="s">
        <v>78</v>
      </c>
      <c r="BA7" s="44" t="s">
        <v>79</v>
      </c>
      <c r="BB7" s="42" t="s">
        <v>21</v>
      </c>
      <c r="BC7" s="43" t="s">
        <v>78</v>
      </c>
      <c r="BD7" s="44" t="s">
        <v>79</v>
      </c>
      <c r="BE7" s="42" t="s">
        <v>21</v>
      </c>
      <c r="BF7" s="43" t="s">
        <v>78</v>
      </c>
      <c r="BG7" s="44" t="s">
        <v>79</v>
      </c>
      <c r="BH7" s="42" t="s">
        <v>21</v>
      </c>
      <c r="BI7" s="43" t="s">
        <v>78</v>
      </c>
      <c r="BJ7" s="45" t="s">
        <v>79</v>
      </c>
      <c r="BK7" s="46" t="s">
        <v>21</v>
      </c>
      <c r="BL7" s="40" t="s">
        <v>78</v>
      </c>
      <c r="BM7" s="47" t="s">
        <v>79</v>
      </c>
      <c r="BN7" s="48" t="s">
        <v>21</v>
      </c>
      <c r="BO7" s="38" t="s">
        <v>78</v>
      </c>
      <c r="BP7" s="39" t="s">
        <v>79</v>
      </c>
      <c r="BQ7" s="13" t="s">
        <v>21</v>
      </c>
      <c r="BR7" s="40" t="s">
        <v>78</v>
      </c>
      <c r="BS7" s="14" t="s">
        <v>79</v>
      </c>
    </row>
    <row r="8" spans="1:71" s="18" customFormat="1" ht="15.75" x14ac:dyDescent="0.25">
      <c r="B8" s="15" t="s">
        <v>23</v>
      </c>
      <c r="C8" s="16">
        <f t="shared" ref="C8:D39" si="0">F8+AG8+BK8+BN8+BQ8</f>
        <v>31640</v>
      </c>
      <c r="D8" s="51">
        <f>G8+AH8+BL8+BO8+BR8</f>
        <v>3448</v>
      </c>
      <c r="E8" s="50">
        <f>C8/(C8-D8)-1</f>
        <v>0.12230419977298523</v>
      </c>
      <c r="F8" s="16">
        <v>287</v>
      </c>
      <c r="G8" s="51">
        <v>7</v>
      </c>
      <c r="H8" s="50">
        <v>2.4999999999999911E-2</v>
      </c>
      <c r="I8" s="16">
        <v>43</v>
      </c>
      <c r="J8" s="51">
        <v>0</v>
      </c>
      <c r="K8" s="17">
        <v>0</v>
      </c>
      <c r="L8" s="16">
        <v>31</v>
      </c>
      <c r="M8" s="51">
        <v>1</v>
      </c>
      <c r="N8" s="17">
        <v>3.3333333333333437E-2</v>
      </c>
      <c r="O8" s="16">
        <v>52</v>
      </c>
      <c r="P8" s="51">
        <v>-1</v>
      </c>
      <c r="Q8" s="17">
        <v>-1.8867924528301883E-2</v>
      </c>
      <c r="R8" s="16">
        <v>112</v>
      </c>
      <c r="S8" s="51">
        <v>0</v>
      </c>
      <c r="T8" s="17">
        <v>0</v>
      </c>
      <c r="U8" s="16">
        <v>20</v>
      </c>
      <c r="V8" s="51">
        <v>2</v>
      </c>
      <c r="W8" s="17">
        <v>0.11111111111111116</v>
      </c>
      <c r="X8" s="16">
        <v>4</v>
      </c>
      <c r="Y8" s="51">
        <v>0</v>
      </c>
      <c r="Z8" s="17">
        <v>0</v>
      </c>
      <c r="AA8" s="16">
        <v>9</v>
      </c>
      <c r="AB8" s="51">
        <v>0</v>
      </c>
      <c r="AC8" s="17">
        <v>0</v>
      </c>
      <c r="AD8" s="16">
        <v>11</v>
      </c>
      <c r="AE8" s="51">
        <v>1</v>
      </c>
      <c r="AF8" s="17">
        <v>0.10000000000000009</v>
      </c>
      <c r="AG8" s="16">
        <v>235</v>
      </c>
      <c r="AH8" s="51">
        <v>-1</v>
      </c>
      <c r="AI8" s="17">
        <v>-4.237288135593209E-3</v>
      </c>
      <c r="AJ8" s="16">
        <v>45</v>
      </c>
      <c r="AK8" s="51">
        <v>0</v>
      </c>
      <c r="AL8" s="17">
        <v>0</v>
      </c>
      <c r="AM8" s="16">
        <v>50</v>
      </c>
      <c r="AN8" s="51">
        <v>-2</v>
      </c>
      <c r="AO8" s="17">
        <v>-3.8461538461538436E-2</v>
      </c>
      <c r="AP8" s="16">
        <v>41</v>
      </c>
      <c r="AQ8" s="51">
        <v>-1</v>
      </c>
      <c r="AR8" s="17">
        <v>-2.3809523809523836E-2</v>
      </c>
      <c r="AS8" s="16">
        <v>1</v>
      </c>
      <c r="AT8" s="51">
        <v>0</v>
      </c>
      <c r="AU8" s="17">
        <v>0</v>
      </c>
      <c r="AV8" s="16">
        <v>24</v>
      </c>
      <c r="AW8" s="51">
        <v>0</v>
      </c>
      <c r="AX8" s="17">
        <v>0</v>
      </c>
      <c r="AY8" s="16">
        <v>9</v>
      </c>
      <c r="AZ8" s="51">
        <v>0</v>
      </c>
      <c r="BA8" s="17">
        <v>0</v>
      </c>
      <c r="BB8" s="16">
        <v>5</v>
      </c>
      <c r="BC8" s="51">
        <v>0</v>
      </c>
      <c r="BD8" s="17">
        <v>0</v>
      </c>
      <c r="BE8" s="16">
        <v>42</v>
      </c>
      <c r="BF8" s="51">
        <v>2</v>
      </c>
      <c r="BG8" s="17">
        <v>5.0000000000000044E-2</v>
      </c>
      <c r="BH8" s="16">
        <v>18</v>
      </c>
      <c r="BI8" s="51">
        <v>0</v>
      </c>
      <c r="BJ8" s="17">
        <v>0</v>
      </c>
      <c r="BK8" s="16">
        <v>30927</v>
      </c>
      <c r="BL8" s="51">
        <v>3442</v>
      </c>
      <c r="BM8" s="17">
        <v>0.12519095075289144</v>
      </c>
      <c r="BN8" s="16">
        <v>24</v>
      </c>
      <c r="BO8" s="51">
        <v>-1</v>
      </c>
      <c r="BP8" s="17">
        <v>-4.0000000000000036E-2</v>
      </c>
      <c r="BQ8" s="16">
        <v>167</v>
      </c>
      <c r="BR8" s="51">
        <v>1</v>
      </c>
      <c r="BS8" s="17">
        <v>1.2121212121212199E-2</v>
      </c>
    </row>
    <row r="9" spans="1:71" s="3" customFormat="1" x14ac:dyDescent="0.25">
      <c r="A9" s="23"/>
      <c r="B9" s="19" t="s">
        <v>24</v>
      </c>
      <c r="C9" s="20">
        <f t="shared" si="0"/>
        <v>6114</v>
      </c>
      <c r="D9" s="24">
        <f t="shared" si="0"/>
        <v>881</v>
      </c>
      <c r="E9" s="52">
        <f t="shared" ref="E9:E39" si="1">C9/(C9-D9)-1</f>
        <v>0.1683546722721192</v>
      </c>
      <c r="F9" s="20">
        <v>68</v>
      </c>
      <c r="G9" s="24">
        <v>0</v>
      </c>
      <c r="H9" s="52">
        <v>0</v>
      </c>
      <c r="I9" s="22">
        <v>6</v>
      </c>
      <c r="J9" s="24">
        <v>0</v>
      </c>
      <c r="K9" s="52">
        <v>0</v>
      </c>
      <c r="L9" s="22">
        <v>1</v>
      </c>
      <c r="M9" s="24">
        <v>0</v>
      </c>
      <c r="N9" s="52">
        <v>0</v>
      </c>
      <c r="O9" s="22">
        <v>8</v>
      </c>
      <c r="P9" s="24">
        <v>0</v>
      </c>
      <c r="Q9" s="52">
        <v>0</v>
      </c>
      <c r="R9" s="22">
        <v>34</v>
      </c>
      <c r="S9" s="24">
        <v>0</v>
      </c>
      <c r="T9" s="52">
        <v>0</v>
      </c>
      <c r="U9" s="22">
        <v>11</v>
      </c>
      <c r="V9" s="24">
        <v>0</v>
      </c>
      <c r="W9" s="52">
        <v>0</v>
      </c>
      <c r="X9" s="22">
        <v>2</v>
      </c>
      <c r="Y9" s="24">
        <v>0</v>
      </c>
      <c r="Z9" s="52">
        <v>0</v>
      </c>
      <c r="AA9" s="22">
        <v>6</v>
      </c>
      <c r="AB9" s="24">
        <v>0</v>
      </c>
      <c r="AC9" s="52">
        <v>0</v>
      </c>
      <c r="AD9" s="22">
        <v>0</v>
      </c>
      <c r="AE9" s="24">
        <v>0</v>
      </c>
      <c r="AF9" s="52" t="s">
        <v>103</v>
      </c>
      <c r="AG9" s="22">
        <v>50</v>
      </c>
      <c r="AH9" s="24">
        <v>0</v>
      </c>
      <c r="AI9" s="52">
        <v>0</v>
      </c>
      <c r="AJ9" s="22">
        <v>5</v>
      </c>
      <c r="AK9" s="24">
        <v>0</v>
      </c>
      <c r="AL9" s="52">
        <v>0</v>
      </c>
      <c r="AM9" s="22">
        <v>17</v>
      </c>
      <c r="AN9" s="24">
        <v>0</v>
      </c>
      <c r="AO9" s="52">
        <v>0</v>
      </c>
      <c r="AP9" s="22">
        <v>11</v>
      </c>
      <c r="AQ9" s="24">
        <v>0</v>
      </c>
      <c r="AR9" s="52">
        <v>0</v>
      </c>
      <c r="AS9" s="22">
        <v>0</v>
      </c>
      <c r="AT9" s="24">
        <v>0</v>
      </c>
      <c r="AU9" s="52" t="s">
        <v>103</v>
      </c>
      <c r="AV9" s="22">
        <v>10</v>
      </c>
      <c r="AW9" s="24">
        <v>0</v>
      </c>
      <c r="AX9" s="52">
        <v>0</v>
      </c>
      <c r="AY9" s="22">
        <v>1</v>
      </c>
      <c r="AZ9" s="24">
        <v>0</v>
      </c>
      <c r="BA9" s="52">
        <v>0</v>
      </c>
      <c r="BB9" s="22">
        <v>1</v>
      </c>
      <c r="BC9" s="24">
        <v>0</v>
      </c>
      <c r="BD9" s="52">
        <v>0</v>
      </c>
      <c r="BE9" s="22">
        <v>1</v>
      </c>
      <c r="BF9" s="24">
        <v>0</v>
      </c>
      <c r="BG9" s="52">
        <v>0</v>
      </c>
      <c r="BH9" s="22">
        <v>4</v>
      </c>
      <c r="BI9" s="24">
        <v>0</v>
      </c>
      <c r="BJ9" s="52">
        <v>0</v>
      </c>
      <c r="BK9" s="22">
        <v>5992</v>
      </c>
      <c r="BL9" s="24">
        <v>881</v>
      </c>
      <c r="BM9" s="52">
        <v>0.17237331246331444</v>
      </c>
      <c r="BN9" s="22">
        <v>1</v>
      </c>
      <c r="BO9" s="24">
        <v>0</v>
      </c>
      <c r="BP9" s="52">
        <v>0</v>
      </c>
      <c r="BQ9" s="22">
        <v>3</v>
      </c>
      <c r="BR9" s="24">
        <v>0</v>
      </c>
      <c r="BS9" s="52">
        <v>0</v>
      </c>
    </row>
    <row r="10" spans="1:71" s="3" customFormat="1" x14ac:dyDescent="0.25">
      <c r="A10" s="23"/>
      <c r="B10" s="19" t="s">
        <v>25</v>
      </c>
      <c r="C10" s="20">
        <f t="shared" si="0"/>
        <v>79</v>
      </c>
      <c r="D10" s="24">
        <f t="shared" si="0"/>
        <v>10</v>
      </c>
      <c r="E10" s="52">
        <f t="shared" si="1"/>
        <v>0.14492753623188404</v>
      </c>
      <c r="F10" s="20">
        <v>0</v>
      </c>
      <c r="G10" s="24">
        <v>0</v>
      </c>
      <c r="H10" s="52" t="s">
        <v>103</v>
      </c>
      <c r="I10" s="22">
        <v>0</v>
      </c>
      <c r="J10" s="24">
        <v>0</v>
      </c>
      <c r="K10" s="52" t="s">
        <v>103</v>
      </c>
      <c r="L10" s="22">
        <v>0</v>
      </c>
      <c r="M10" s="24">
        <v>0</v>
      </c>
      <c r="N10" s="52" t="s">
        <v>103</v>
      </c>
      <c r="O10" s="22">
        <v>0</v>
      </c>
      <c r="P10" s="24">
        <v>0</v>
      </c>
      <c r="Q10" s="52" t="s">
        <v>103</v>
      </c>
      <c r="R10" s="22">
        <v>0</v>
      </c>
      <c r="S10" s="24">
        <v>0</v>
      </c>
      <c r="T10" s="52" t="s">
        <v>103</v>
      </c>
      <c r="U10" s="22">
        <v>0</v>
      </c>
      <c r="V10" s="24">
        <v>0</v>
      </c>
      <c r="W10" s="52" t="s">
        <v>103</v>
      </c>
      <c r="X10" s="22">
        <v>0</v>
      </c>
      <c r="Y10" s="24">
        <v>0</v>
      </c>
      <c r="Z10" s="52" t="s">
        <v>103</v>
      </c>
      <c r="AA10" s="22">
        <v>0</v>
      </c>
      <c r="AB10" s="24">
        <v>0</v>
      </c>
      <c r="AC10" s="52" t="s">
        <v>103</v>
      </c>
      <c r="AD10" s="22">
        <v>0</v>
      </c>
      <c r="AE10" s="24">
        <v>0</v>
      </c>
      <c r="AF10" s="52" t="s">
        <v>103</v>
      </c>
      <c r="AG10" s="22">
        <v>0</v>
      </c>
      <c r="AH10" s="24">
        <v>0</v>
      </c>
      <c r="AI10" s="52" t="s">
        <v>103</v>
      </c>
      <c r="AJ10" s="22">
        <v>0</v>
      </c>
      <c r="AK10" s="24">
        <v>0</v>
      </c>
      <c r="AL10" s="52" t="s">
        <v>103</v>
      </c>
      <c r="AM10" s="22">
        <v>0</v>
      </c>
      <c r="AN10" s="24">
        <v>0</v>
      </c>
      <c r="AO10" s="52" t="s">
        <v>103</v>
      </c>
      <c r="AP10" s="22">
        <v>0</v>
      </c>
      <c r="AQ10" s="24">
        <v>0</v>
      </c>
      <c r="AR10" s="52" t="s">
        <v>103</v>
      </c>
      <c r="AS10" s="22">
        <v>0</v>
      </c>
      <c r="AT10" s="24">
        <v>0</v>
      </c>
      <c r="AU10" s="52" t="s">
        <v>103</v>
      </c>
      <c r="AV10" s="22">
        <v>0</v>
      </c>
      <c r="AW10" s="24">
        <v>0</v>
      </c>
      <c r="AX10" s="52" t="s">
        <v>103</v>
      </c>
      <c r="AY10" s="22">
        <v>0</v>
      </c>
      <c r="AZ10" s="24">
        <v>0</v>
      </c>
      <c r="BA10" s="52" t="s">
        <v>103</v>
      </c>
      <c r="BB10" s="22">
        <v>0</v>
      </c>
      <c r="BC10" s="24">
        <v>0</v>
      </c>
      <c r="BD10" s="52" t="s">
        <v>103</v>
      </c>
      <c r="BE10" s="22">
        <v>0</v>
      </c>
      <c r="BF10" s="24">
        <v>0</v>
      </c>
      <c r="BG10" s="52" t="s">
        <v>103</v>
      </c>
      <c r="BH10" s="22">
        <v>0</v>
      </c>
      <c r="BI10" s="24">
        <v>0</v>
      </c>
      <c r="BJ10" s="52" t="s">
        <v>103</v>
      </c>
      <c r="BK10" s="22">
        <v>76</v>
      </c>
      <c r="BL10" s="24">
        <v>10</v>
      </c>
      <c r="BM10" s="52">
        <v>0.1515151515151516</v>
      </c>
      <c r="BN10" s="22">
        <v>0</v>
      </c>
      <c r="BO10" s="24">
        <v>0</v>
      </c>
      <c r="BP10" s="52" t="s">
        <v>103</v>
      </c>
      <c r="BQ10" s="22">
        <v>3</v>
      </c>
      <c r="BR10" s="24">
        <v>0</v>
      </c>
      <c r="BS10" s="52">
        <v>0</v>
      </c>
    </row>
    <row r="11" spans="1:71" s="3" customFormat="1" x14ac:dyDescent="0.25">
      <c r="A11" s="23"/>
      <c r="B11" s="19" t="s">
        <v>26</v>
      </c>
      <c r="C11" s="20">
        <f t="shared" si="0"/>
        <v>812</v>
      </c>
      <c r="D11" s="24">
        <f t="shared" si="0"/>
        <v>63</v>
      </c>
      <c r="E11" s="52">
        <f t="shared" si="1"/>
        <v>8.4112149532710179E-2</v>
      </c>
      <c r="F11" s="20">
        <v>1</v>
      </c>
      <c r="G11" s="24">
        <v>0</v>
      </c>
      <c r="H11" s="52">
        <v>0</v>
      </c>
      <c r="I11" s="22">
        <v>0</v>
      </c>
      <c r="J11" s="24">
        <v>0</v>
      </c>
      <c r="K11" s="52" t="s">
        <v>103</v>
      </c>
      <c r="L11" s="22">
        <v>1</v>
      </c>
      <c r="M11" s="24">
        <v>0</v>
      </c>
      <c r="N11" s="52">
        <v>0</v>
      </c>
      <c r="O11" s="22">
        <v>0</v>
      </c>
      <c r="P11" s="24">
        <v>0</v>
      </c>
      <c r="Q11" s="52" t="s">
        <v>103</v>
      </c>
      <c r="R11" s="22">
        <v>0</v>
      </c>
      <c r="S11" s="24">
        <v>0</v>
      </c>
      <c r="T11" s="52" t="s">
        <v>103</v>
      </c>
      <c r="U11" s="22">
        <v>0</v>
      </c>
      <c r="V11" s="24">
        <v>0</v>
      </c>
      <c r="W11" s="52" t="s">
        <v>103</v>
      </c>
      <c r="X11" s="22">
        <v>0</v>
      </c>
      <c r="Y11" s="24">
        <v>0</v>
      </c>
      <c r="Z11" s="52" t="s">
        <v>103</v>
      </c>
      <c r="AA11" s="22">
        <v>0</v>
      </c>
      <c r="AB11" s="24">
        <v>0</v>
      </c>
      <c r="AC11" s="52" t="s">
        <v>103</v>
      </c>
      <c r="AD11" s="22">
        <v>0</v>
      </c>
      <c r="AE11" s="24">
        <v>0</v>
      </c>
      <c r="AF11" s="52" t="s">
        <v>103</v>
      </c>
      <c r="AG11" s="22">
        <v>6</v>
      </c>
      <c r="AH11" s="24">
        <v>0</v>
      </c>
      <c r="AI11" s="52">
        <v>0</v>
      </c>
      <c r="AJ11" s="22">
        <v>0</v>
      </c>
      <c r="AK11" s="24">
        <v>0</v>
      </c>
      <c r="AL11" s="52" t="s">
        <v>103</v>
      </c>
      <c r="AM11" s="22">
        <v>0</v>
      </c>
      <c r="AN11" s="24">
        <v>0</v>
      </c>
      <c r="AO11" s="52" t="s">
        <v>103</v>
      </c>
      <c r="AP11" s="22">
        <v>0</v>
      </c>
      <c r="AQ11" s="24">
        <v>0</v>
      </c>
      <c r="AR11" s="52" t="s">
        <v>103</v>
      </c>
      <c r="AS11" s="22">
        <v>0</v>
      </c>
      <c r="AT11" s="24">
        <v>0</v>
      </c>
      <c r="AU11" s="52" t="s">
        <v>103</v>
      </c>
      <c r="AV11" s="22">
        <v>0</v>
      </c>
      <c r="AW11" s="24">
        <v>0</v>
      </c>
      <c r="AX11" s="52" t="s">
        <v>103</v>
      </c>
      <c r="AY11" s="22">
        <v>0</v>
      </c>
      <c r="AZ11" s="24">
        <v>0</v>
      </c>
      <c r="BA11" s="52" t="s">
        <v>103</v>
      </c>
      <c r="BB11" s="22">
        <v>0</v>
      </c>
      <c r="BC11" s="24">
        <v>0</v>
      </c>
      <c r="BD11" s="52" t="s">
        <v>103</v>
      </c>
      <c r="BE11" s="22">
        <v>1</v>
      </c>
      <c r="BF11" s="24">
        <v>0</v>
      </c>
      <c r="BG11" s="52">
        <v>0</v>
      </c>
      <c r="BH11" s="22">
        <v>5</v>
      </c>
      <c r="BI11" s="24">
        <v>0</v>
      </c>
      <c r="BJ11" s="52">
        <v>0</v>
      </c>
      <c r="BK11" s="22">
        <v>792</v>
      </c>
      <c r="BL11" s="24">
        <v>63</v>
      </c>
      <c r="BM11" s="52">
        <v>8.6419753086419693E-2</v>
      </c>
      <c r="BN11" s="22">
        <v>0</v>
      </c>
      <c r="BO11" s="24">
        <v>0</v>
      </c>
      <c r="BP11" s="52" t="s">
        <v>103</v>
      </c>
      <c r="BQ11" s="22">
        <v>13</v>
      </c>
      <c r="BR11" s="24">
        <v>0</v>
      </c>
      <c r="BS11" s="52">
        <v>0</v>
      </c>
    </row>
    <row r="12" spans="1:71" s="3" customFormat="1" x14ac:dyDescent="0.25">
      <c r="A12" s="23"/>
      <c r="B12" s="19" t="s">
        <v>27</v>
      </c>
      <c r="C12" s="20">
        <f t="shared" si="0"/>
        <v>6989</v>
      </c>
      <c r="D12" s="24">
        <f t="shared" si="0"/>
        <v>813</v>
      </c>
      <c r="E12" s="52">
        <f t="shared" si="1"/>
        <v>0.13163860103626934</v>
      </c>
      <c r="F12" s="20">
        <v>44</v>
      </c>
      <c r="G12" s="24">
        <v>0</v>
      </c>
      <c r="H12" s="52">
        <v>0</v>
      </c>
      <c r="I12" s="22">
        <v>10</v>
      </c>
      <c r="J12" s="24">
        <v>0</v>
      </c>
      <c r="K12" s="52">
        <v>0</v>
      </c>
      <c r="L12" s="22">
        <v>2</v>
      </c>
      <c r="M12" s="24">
        <v>0</v>
      </c>
      <c r="N12" s="52">
        <v>0</v>
      </c>
      <c r="O12" s="22">
        <v>6</v>
      </c>
      <c r="P12" s="24">
        <v>-1</v>
      </c>
      <c r="Q12" s="52">
        <v>-0.1428571428571429</v>
      </c>
      <c r="R12" s="22">
        <v>21</v>
      </c>
      <c r="S12" s="24">
        <v>0</v>
      </c>
      <c r="T12" s="52">
        <v>0</v>
      </c>
      <c r="U12" s="22">
        <v>3</v>
      </c>
      <c r="V12" s="24">
        <v>0</v>
      </c>
      <c r="W12" s="52">
        <v>0</v>
      </c>
      <c r="X12" s="22">
        <v>0</v>
      </c>
      <c r="Y12" s="24">
        <v>0</v>
      </c>
      <c r="Z12" s="52" t="s">
        <v>103</v>
      </c>
      <c r="AA12" s="22">
        <v>1</v>
      </c>
      <c r="AB12" s="24">
        <v>0</v>
      </c>
      <c r="AC12" s="52">
        <v>0</v>
      </c>
      <c r="AD12" s="22">
        <v>1</v>
      </c>
      <c r="AE12" s="24">
        <v>1</v>
      </c>
      <c r="AF12" s="52" t="s">
        <v>103</v>
      </c>
      <c r="AG12" s="22">
        <v>69</v>
      </c>
      <c r="AH12" s="24">
        <v>0</v>
      </c>
      <c r="AI12" s="52">
        <v>0</v>
      </c>
      <c r="AJ12" s="22">
        <v>19</v>
      </c>
      <c r="AK12" s="24">
        <v>0</v>
      </c>
      <c r="AL12" s="52">
        <v>0</v>
      </c>
      <c r="AM12" s="22">
        <v>20</v>
      </c>
      <c r="AN12" s="24">
        <v>-1</v>
      </c>
      <c r="AO12" s="52">
        <v>-4.7619047619047672E-2</v>
      </c>
      <c r="AP12" s="22">
        <v>17</v>
      </c>
      <c r="AQ12" s="24">
        <v>1</v>
      </c>
      <c r="AR12" s="52">
        <v>6.25E-2</v>
      </c>
      <c r="AS12" s="22">
        <v>1</v>
      </c>
      <c r="AT12" s="24">
        <v>0</v>
      </c>
      <c r="AU12" s="52">
        <v>0</v>
      </c>
      <c r="AV12" s="22">
        <v>9</v>
      </c>
      <c r="AW12" s="24">
        <v>0</v>
      </c>
      <c r="AX12" s="52">
        <v>0</v>
      </c>
      <c r="AY12" s="22">
        <v>3</v>
      </c>
      <c r="AZ12" s="24">
        <v>0</v>
      </c>
      <c r="BA12" s="52">
        <v>0</v>
      </c>
      <c r="BB12" s="22">
        <v>0</v>
      </c>
      <c r="BC12" s="24">
        <v>0</v>
      </c>
      <c r="BD12" s="52" t="s">
        <v>103</v>
      </c>
      <c r="BE12" s="22">
        <v>0</v>
      </c>
      <c r="BF12" s="24">
        <v>0</v>
      </c>
      <c r="BG12" s="52" t="s">
        <v>103</v>
      </c>
      <c r="BH12" s="22">
        <v>0</v>
      </c>
      <c r="BI12" s="24">
        <v>0</v>
      </c>
      <c r="BJ12" s="52" t="s">
        <v>103</v>
      </c>
      <c r="BK12" s="22">
        <v>6870</v>
      </c>
      <c r="BL12" s="24">
        <v>813</v>
      </c>
      <c r="BM12" s="52">
        <v>0.13422486379395737</v>
      </c>
      <c r="BN12" s="22">
        <v>2</v>
      </c>
      <c r="BO12" s="24">
        <v>0</v>
      </c>
      <c r="BP12" s="52">
        <v>0</v>
      </c>
      <c r="BQ12" s="22">
        <v>4</v>
      </c>
      <c r="BR12" s="24">
        <v>0</v>
      </c>
      <c r="BS12" s="52">
        <v>0</v>
      </c>
    </row>
    <row r="13" spans="1:71" s="3" customFormat="1" x14ac:dyDescent="0.25">
      <c r="A13" s="53"/>
      <c r="B13" s="19" t="s">
        <v>28</v>
      </c>
      <c r="C13" s="20">
        <f t="shared" si="0"/>
        <v>121</v>
      </c>
      <c r="D13" s="24">
        <f t="shared" si="0"/>
        <v>24</v>
      </c>
      <c r="E13" s="52">
        <f t="shared" si="1"/>
        <v>0.24742268041237114</v>
      </c>
      <c r="F13" s="20">
        <v>1</v>
      </c>
      <c r="G13" s="24">
        <v>0</v>
      </c>
      <c r="H13" s="52">
        <v>0</v>
      </c>
      <c r="I13" s="22">
        <v>0</v>
      </c>
      <c r="J13" s="24">
        <v>0</v>
      </c>
      <c r="K13" s="52" t="s">
        <v>103</v>
      </c>
      <c r="L13" s="22">
        <v>0</v>
      </c>
      <c r="M13" s="24">
        <v>0</v>
      </c>
      <c r="N13" s="52" t="s">
        <v>103</v>
      </c>
      <c r="O13" s="22">
        <v>0</v>
      </c>
      <c r="P13" s="24">
        <v>0</v>
      </c>
      <c r="Q13" s="52" t="s">
        <v>103</v>
      </c>
      <c r="R13" s="22">
        <v>0</v>
      </c>
      <c r="S13" s="24">
        <v>0</v>
      </c>
      <c r="T13" s="52" t="s">
        <v>103</v>
      </c>
      <c r="U13" s="22">
        <v>0</v>
      </c>
      <c r="V13" s="24">
        <v>0</v>
      </c>
      <c r="W13" s="52" t="s">
        <v>103</v>
      </c>
      <c r="X13" s="22">
        <v>0</v>
      </c>
      <c r="Y13" s="24">
        <v>0</v>
      </c>
      <c r="Z13" s="52" t="s">
        <v>103</v>
      </c>
      <c r="AA13" s="22">
        <v>1</v>
      </c>
      <c r="AB13" s="24">
        <v>0</v>
      </c>
      <c r="AC13" s="52">
        <v>0</v>
      </c>
      <c r="AD13" s="22">
        <v>0</v>
      </c>
      <c r="AE13" s="24">
        <v>0</v>
      </c>
      <c r="AF13" s="52" t="s">
        <v>103</v>
      </c>
      <c r="AG13" s="22">
        <v>0</v>
      </c>
      <c r="AH13" s="24">
        <v>0</v>
      </c>
      <c r="AI13" s="52" t="s">
        <v>103</v>
      </c>
      <c r="AJ13" s="22">
        <v>0</v>
      </c>
      <c r="AK13" s="24">
        <v>0</v>
      </c>
      <c r="AL13" s="52" t="s">
        <v>103</v>
      </c>
      <c r="AM13" s="22">
        <v>0</v>
      </c>
      <c r="AN13" s="24">
        <v>0</v>
      </c>
      <c r="AO13" s="52" t="s">
        <v>103</v>
      </c>
      <c r="AP13" s="22">
        <v>0</v>
      </c>
      <c r="AQ13" s="24">
        <v>0</v>
      </c>
      <c r="AR13" s="52" t="s">
        <v>103</v>
      </c>
      <c r="AS13" s="22">
        <v>0</v>
      </c>
      <c r="AT13" s="24">
        <v>0</v>
      </c>
      <c r="AU13" s="52" t="s">
        <v>103</v>
      </c>
      <c r="AV13" s="22">
        <v>0</v>
      </c>
      <c r="AW13" s="24">
        <v>0</v>
      </c>
      <c r="AX13" s="52" t="s">
        <v>103</v>
      </c>
      <c r="AY13" s="22">
        <v>0</v>
      </c>
      <c r="AZ13" s="24">
        <v>0</v>
      </c>
      <c r="BA13" s="52" t="s">
        <v>103</v>
      </c>
      <c r="BB13" s="22">
        <v>0</v>
      </c>
      <c r="BC13" s="24">
        <v>0</v>
      </c>
      <c r="BD13" s="52" t="s">
        <v>103</v>
      </c>
      <c r="BE13" s="22">
        <v>0</v>
      </c>
      <c r="BF13" s="24">
        <v>0</v>
      </c>
      <c r="BG13" s="52" t="s">
        <v>103</v>
      </c>
      <c r="BH13" s="22">
        <v>0</v>
      </c>
      <c r="BI13" s="24">
        <v>0</v>
      </c>
      <c r="BJ13" s="52" t="s">
        <v>103</v>
      </c>
      <c r="BK13" s="22">
        <v>107</v>
      </c>
      <c r="BL13" s="24">
        <v>24</v>
      </c>
      <c r="BM13" s="52">
        <v>0.28915662650602414</v>
      </c>
      <c r="BN13" s="22">
        <v>0</v>
      </c>
      <c r="BO13" s="24">
        <v>0</v>
      </c>
      <c r="BP13" s="52" t="s">
        <v>103</v>
      </c>
      <c r="BQ13" s="22">
        <v>13</v>
      </c>
      <c r="BR13" s="24">
        <v>0</v>
      </c>
      <c r="BS13" s="52">
        <v>0</v>
      </c>
    </row>
    <row r="14" spans="1:71" s="3" customFormat="1" x14ac:dyDescent="0.25">
      <c r="A14" s="53"/>
      <c r="B14" s="19" t="s">
        <v>29</v>
      </c>
      <c r="C14" s="20">
        <f t="shared" si="0"/>
        <v>659</v>
      </c>
      <c r="D14" s="24">
        <f t="shared" si="0"/>
        <v>64</v>
      </c>
      <c r="E14" s="52">
        <f t="shared" si="1"/>
        <v>0.1075630252100841</v>
      </c>
      <c r="F14" s="20">
        <v>2</v>
      </c>
      <c r="G14" s="24">
        <v>0</v>
      </c>
      <c r="H14" s="52">
        <v>0</v>
      </c>
      <c r="I14" s="22">
        <v>0</v>
      </c>
      <c r="J14" s="24">
        <v>0</v>
      </c>
      <c r="K14" s="52" t="s">
        <v>103</v>
      </c>
      <c r="L14" s="22">
        <v>0</v>
      </c>
      <c r="M14" s="24">
        <v>0</v>
      </c>
      <c r="N14" s="52" t="s">
        <v>103</v>
      </c>
      <c r="O14" s="22">
        <v>1</v>
      </c>
      <c r="P14" s="24">
        <v>0</v>
      </c>
      <c r="Q14" s="52">
        <v>0</v>
      </c>
      <c r="R14" s="22">
        <v>1</v>
      </c>
      <c r="S14" s="24">
        <v>0</v>
      </c>
      <c r="T14" s="52">
        <v>0</v>
      </c>
      <c r="U14" s="22">
        <v>0</v>
      </c>
      <c r="V14" s="24">
        <v>0</v>
      </c>
      <c r="W14" s="52" t="s">
        <v>103</v>
      </c>
      <c r="X14" s="22">
        <v>0</v>
      </c>
      <c r="Y14" s="24">
        <v>0</v>
      </c>
      <c r="Z14" s="52" t="s">
        <v>103</v>
      </c>
      <c r="AA14" s="22">
        <v>0</v>
      </c>
      <c r="AB14" s="24">
        <v>0</v>
      </c>
      <c r="AC14" s="52" t="s">
        <v>103</v>
      </c>
      <c r="AD14" s="22">
        <v>0</v>
      </c>
      <c r="AE14" s="24">
        <v>0</v>
      </c>
      <c r="AF14" s="52" t="s">
        <v>103</v>
      </c>
      <c r="AG14" s="22">
        <v>3</v>
      </c>
      <c r="AH14" s="24">
        <v>0</v>
      </c>
      <c r="AI14" s="52">
        <v>0</v>
      </c>
      <c r="AJ14" s="22">
        <v>0</v>
      </c>
      <c r="AK14" s="24">
        <v>0</v>
      </c>
      <c r="AL14" s="52" t="s">
        <v>103</v>
      </c>
      <c r="AM14" s="22">
        <v>1</v>
      </c>
      <c r="AN14" s="24">
        <v>0</v>
      </c>
      <c r="AO14" s="52">
        <v>0</v>
      </c>
      <c r="AP14" s="22">
        <v>0</v>
      </c>
      <c r="AQ14" s="24">
        <v>0</v>
      </c>
      <c r="AR14" s="52" t="s">
        <v>103</v>
      </c>
      <c r="AS14" s="22">
        <v>0</v>
      </c>
      <c r="AT14" s="24">
        <v>0</v>
      </c>
      <c r="AU14" s="52" t="s">
        <v>103</v>
      </c>
      <c r="AV14" s="22">
        <v>0</v>
      </c>
      <c r="AW14" s="24">
        <v>0</v>
      </c>
      <c r="AX14" s="52" t="s">
        <v>103</v>
      </c>
      <c r="AY14" s="22">
        <v>0</v>
      </c>
      <c r="AZ14" s="24">
        <v>0</v>
      </c>
      <c r="BA14" s="52" t="s">
        <v>103</v>
      </c>
      <c r="BB14" s="22">
        <v>0</v>
      </c>
      <c r="BC14" s="24">
        <v>0</v>
      </c>
      <c r="BD14" s="52" t="s">
        <v>103</v>
      </c>
      <c r="BE14" s="22">
        <v>2</v>
      </c>
      <c r="BF14" s="24">
        <v>0</v>
      </c>
      <c r="BG14" s="52">
        <v>0</v>
      </c>
      <c r="BH14" s="22">
        <v>0</v>
      </c>
      <c r="BI14" s="24">
        <v>0</v>
      </c>
      <c r="BJ14" s="52" t="s">
        <v>103</v>
      </c>
      <c r="BK14" s="22">
        <v>653</v>
      </c>
      <c r="BL14" s="24">
        <v>64</v>
      </c>
      <c r="BM14" s="52">
        <v>0.10865874363327666</v>
      </c>
      <c r="BN14" s="22">
        <v>0</v>
      </c>
      <c r="BO14" s="24">
        <v>0</v>
      </c>
      <c r="BP14" s="52" t="s">
        <v>103</v>
      </c>
      <c r="BQ14" s="22">
        <v>1</v>
      </c>
      <c r="BR14" s="24">
        <v>0</v>
      </c>
      <c r="BS14" s="52">
        <v>0</v>
      </c>
    </row>
    <row r="15" spans="1:71" s="3" customFormat="1" x14ac:dyDescent="0.25">
      <c r="A15" s="53"/>
      <c r="B15" s="19" t="s">
        <v>30</v>
      </c>
      <c r="C15" s="20">
        <f t="shared" si="0"/>
        <v>97</v>
      </c>
      <c r="D15" s="24">
        <f t="shared" si="0"/>
        <v>6</v>
      </c>
      <c r="E15" s="52">
        <f t="shared" si="1"/>
        <v>6.5934065934065922E-2</v>
      </c>
      <c r="F15" s="20">
        <v>0</v>
      </c>
      <c r="G15" s="24">
        <v>0</v>
      </c>
      <c r="H15" s="52" t="s">
        <v>103</v>
      </c>
      <c r="I15" s="22">
        <v>0</v>
      </c>
      <c r="J15" s="24">
        <v>0</v>
      </c>
      <c r="K15" s="52" t="s">
        <v>103</v>
      </c>
      <c r="L15" s="22">
        <v>0</v>
      </c>
      <c r="M15" s="24">
        <v>0</v>
      </c>
      <c r="N15" s="52" t="s">
        <v>103</v>
      </c>
      <c r="O15" s="22">
        <v>0</v>
      </c>
      <c r="P15" s="24">
        <v>0</v>
      </c>
      <c r="Q15" s="52" t="s">
        <v>103</v>
      </c>
      <c r="R15" s="22">
        <v>0</v>
      </c>
      <c r="S15" s="24">
        <v>0</v>
      </c>
      <c r="T15" s="52" t="s">
        <v>103</v>
      </c>
      <c r="U15" s="22">
        <v>0</v>
      </c>
      <c r="V15" s="24">
        <v>0</v>
      </c>
      <c r="W15" s="52" t="s">
        <v>103</v>
      </c>
      <c r="X15" s="22">
        <v>0</v>
      </c>
      <c r="Y15" s="24">
        <v>0</v>
      </c>
      <c r="Z15" s="52" t="s">
        <v>103</v>
      </c>
      <c r="AA15" s="22">
        <v>0</v>
      </c>
      <c r="AB15" s="24">
        <v>0</v>
      </c>
      <c r="AC15" s="52" t="s">
        <v>103</v>
      </c>
      <c r="AD15" s="22">
        <v>0</v>
      </c>
      <c r="AE15" s="24">
        <v>0</v>
      </c>
      <c r="AF15" s="52" t="s">
        <v>103</v>
      </c>
      <c r="AG15" s="22">
        <v>1</v>
      </c>
      <c r="AH15" s="24">
        <v>0</v>
      </c>
      <c r="AI15" s="52">
        <v>0</v>
      </c>
      <c r="AJ15" s="22">
        <v>0</v>
      </c>
      <c r="AK15" s="24">
        <v>0</v>
      </c>
      <c r="AL15" s="52" t="s">
        <v>103</v>
      </c>
      <c r="AM15" s="22">
        <v>0</v>
      </c>
      <c r="AN15" s="24">
        <v>0</v>
      </c>
      <c r="AO15" s="52" t="s">
        <v>103</v>
      </c>
      <c r="AP15" s="22">
        <v>0</v>
      </c>
      <c r="AQ15" s="24">
        <v>0</v>
      </c>
      <c r="AR15" s="52" t="s">
        <v>103</v>
      </c>
      <c r="AS15" s="22">
        <v>0</v>
      </c>
      <c r="AT15" s="24">
        <v>0</v>
      </c>
      <c r="AU15" s="52" t="s">
        <v>103</v>
      </c>
      <c r="AV15" s="22">
        <v>0</v>
      </c>
      <c r="AW15" s="24">
        <v>0</v>
      </c>
      <c r="AX15" s="52" t="s">
        <v>103</v>
      </c>
      <c r="AY15" s="22">
        <v>0</v>
      </c>
      <c r="AZ15" s="24">
        <v>0</v>
      </c>
      <c r="BA15" s="52" t="s">
        <v>103</v>
      </c>
      <c r="BB15" s="22">
        <v>0</v>
      </c>
      <c r="BC15" s="24">
        <v>0</v>
      </c>
      <c r="BD15" s="52" t="s">
        <v>103</v>
      </c>
      <c r="BE15" s="22">
        <v>1</v>
      </c>
      <c r="BF15" s="24">
        <v>0</v>
      </c>
      <c r="BG15" s="52">
        <v>0</v>
      </c>
      <c r="BH15" s="22">
        <v>0</v>
      </c>
      <c r="BI15" s="24">
        <v>0</v>
      </c>
      <c r="BJ15" s="52" t="s">
        <v>103</v>
      </c>
      <c r="BK15" s="22">
        <v>89</v>
      </c>
      <c r="BL15" s="24">
        <v>6</v>
      </c>
      <c r="BM15" s="52">
        <v>7.2289156626506035E-2</v>
      </c>
      <c r="BN15" s="22">
        <v>0</v>
      </c>
      <c r="BO15" s="24">
        <v>0</v>
      </c>
      <c r="BP15" s="52" t="s">
        <v>103</v>
      </c>
      <c r="BQ15" s="22">
        <v>7</v>
      </c>
      <c r="BR15" s="24">
        <v>0</v>
      </c>
      <c r="BS15" s="52">
        <v>0</v>
      </c>
    </row>
    <row r="16" spans="1:71" s="3" customFormat="1" x14ac:dyDescent="0.25">
      <c r="A16" s="53"/>
      <c r="B16" s="19" t="s">
        <v>31</v>
      </c>
      <c r="C16" s="20">
        <f t="shared" si="0"/>
        <v>249</v>
      </c>
      <c r="D16" s="24">
        <f t="shared" si="0"/>
        <v>35</v>
      </c>
      <c r="E16" s="52">
        <f t="shared" si="1"/>
        <v>0.16355140186915884</v>
      </c>
      <c r="F16" s="20">
        <v>3</v>
      </c>
      <c r="G16" s="24">
        <v>0</v>
      </c>
      <c r="H16" s="52">
        <v>0</v>
      </c>
      <c r="I16" s="22">
        <v>1</v>
      </c>
      <c r="J16" s="24">
        <v>0</v>
      </c>
      <c r="K16" s="52">
        <v>0</v>
      </c>
      <c r="L16" s="22">
        <v>0</v>
      </c>
      <c r="M16" s="24">
        <v>0</v>
      </c>
      <c r="N16" s="52" t="s">
        <v>103</v>
      </c>
      <c r="O16" s="22">
        <v>0</v>
      </c>
      <c r="P16" s="24">
        <v>0</v>
      </c>
      <c r="Q16" s="52" t="s">
        <v>103</v>
      </c>
      <c r="R16" s="22">
        <v>1</v>
      </c>
      <c r="S16" s="24">
        <v>0</v>
      </c>
      <c r="T16" s="52">
        <v>0</v>
      </c>
      <c r="U16" s="22">
        <v>0</v>
      </c>
      <c r="V16" s="24">
        <v>0</v>
      </c>
      <c r="W16" s="52" t="s">
        <v>103</v>
      </c>
      <c r="X16" s="22">
        <v>0</v>
      </c>
      <c r="Y16" s="24">
        <v>0</v>
      </c>
      <c r="Z16" s="52" t="s">
        <v>103</v>
      </c>
      <c r="AA16" s="22">
        <v>0</v>
      </c>
      <c r="AB16" s="24">
        <v>0</v>
      </c>
      <c r="AC16" s="52" t="s">
        <v>103</v>
      </c>
      <c r="AD16" s="22">
        <v>1</v>
      </c>
      <c r="AE16" s="24">
        <v>0</v>
      </c>
      <c r="AF16" s="52">
        <v>0</v>
      </c>
      <c r="AG16" s="22">
        <v>8</v>
      </c>
      <c r="AH16" s="24">
        <v>0</v>
      </c>
      <c r="AI16" s="52">
        <v>0</v>
      </c>
      <c r="AJ16" s="22">
        <v>0</v>
      </c>
      <c r="AK16" s="24">
        <v>0</v>
      </c>
      <c r="AL16" s="52" t="s">
        <v>103</v>
      </c>
      <c r="AM16" s="22">
        <v>0</v>
      </c>
      <c r="AN16" s="24">
        <v>0</v>
      </c>
      <c r="AO16" s="52" t="s">
        <v>103</v>
      </c>
      <c r="AP16" s="22">
        <v>0</v>
      </c>
      <c r="AQ16" s="24">
        <v>0</v>
      </c>
      <c r="AR16" s="52" t="s">
        <v>103</v>
      </c>
      <c r="AS16" s="22">
        <v>0</v>
      </c>
      <c r="AT16" s="24">
        <v>0</v>
      </c>
      <c r="AU16" s="52" t="s">
        <v>103</v>
      </c>
      <c r="AV16" s="22">
        <v>0</v>
      </c>
      <c r="AW16" s="24">
        <v>0</v>
      </c>
      <c r="AX16" s="52" t="s">
        <v>103</v>
      </c>
      <c r="AY16" s="22">
        <v>0</v>
      </c>
      <c r="AZ16" s="24">
        <v>0</v>
      </c>
      <c r="BA16" s="52" t="s">
        <v>103</v>
      </c>
      <c r="BB16" s="22">
        <v>0</v>
      </c>
      <c r="BC16" s="24">
        <v>0</v>
      </c>
      <c r="BD16" s="52" t="s">
        <v>103</v>
      </c>
      <c r="BE16" s="22">
        <v>7</v>
      </c>
      <c r="BF16" s="24">
        <v>0</v>
      </c>
      <c r="BG16" s="52">
        <v>0</v>
      </c>
      <c r="BH16" s="22">
        <v>1</v>
      </c>
      <c r="BI16" s="24">
        <v>0</v>
      </c>
      <c r="BJ16" s="52">
        <v>0</v>
      </c>
      <c r="BK16" s="22">
        <v>232</v>
      </c>
      <c r="BL16" s="24">
        <v>35</v>
      </c>
      <c r="BM16" s="52">
        <v>0.17766497461928932</v>
      </c>
      <c r="BN16" s="22">
        <v>2</v>
      </c>
      <c r="BO16" s="24">
        <v>0</v>
      </c>
      <c r="BP16" s="52">
        <v>0</v>
      </c>
      <c r="BQ16" s="22">
        <v>4</v>
      </c>
      <c r="BR16" s="24">
        <v>0</v>
      </c>
      <c r="BS16" s="52">
        <v>0</v>
      </c>
    </row>
    <row r="17" spans="2:71" s="3" customFormat="1" x14ac:dyDescent="0.25">
      <c r="B17" s="19" t="s">
        <v>32</v>
      </c>
      <c r="C17" s="20">
        <f t="shared" si="0"/>
        <v>2130</v>
      </c>
      <c r="D17" s="24">
        <f t="shared" si="0"/>
        <v>142</v>
      </c>
      <c r="E17" s="52">
        <f t="shared" si="1"/>
        <v>7.1428571428571397E-2</v>
      </c>
      <c r="F17" s="20">
        <v>8</v>
      </c>
      <c r="G17" s="24">
        <v>0</v>
      </c>
      <c r="H17" s="52">
        <v>0</v>
      </c>
      <c r="I17" s="22">
        <v>2</v>
      </c>
      <c r="J17" s="24">
        <v>0</v>
      </c>
      <c r="K17" s="52">
        <v>0</v>
      </c>
      <c r="L17" s="22">
        <v>2</v>
      </c>
      <c r="M17" s="24">
        <v>0</v>
      </c>
      <c r="N17" s="52">
        <v>0</v>
      </c>
      <c r="O17" s="22">
        <v>3</v>
      </c>
      <c r="P17" s="24">
        <v>0</v>
      </c>
      <c r="Q17" s="52">
        <v>0</v>
      </c>
      <c r="R17" s="22">
        <v>1</v>
      </c>
      <c r="S17" s="24">
        <v>0</v>
      </c>
      <c r="T17" s="52">
        <v>0</v>
      </c>
      <c r="U17" s="22">
        <v>0</v>
      </c>
      <c r="V17" s="24">
        <v>0</v>
      </c>
      <c r="W17" s="52" t="s">
        <v>103</v>
      </c>
      <c r="X17" s="22">
        <v>0</v>
      </c>
      <c r="Y17" s="24">
        <v>0</v>
      </c>
      <c r="Z17" s="52" t="s">
        <v>103</v>
      </c>
      <c r="AA17" s="22">
        <v>0</v>
      </c>
      <c r="AB17" s="24">
        <v>0</v>
      </c>
      <c r="AC17" s="52" t="s">
        <v>103</v>
      </c>
      <c r="AD17" s="22">
        <v>0</v>
      </c>
      <c r="AE17" s="24">
        <v>0</v>
      </c>
      <c r="AF17" s="52" t="s">
        <v>103</v>
      </c>
      <c r="AG17" s="22">
        <v>8</v>
      </c>
      <c r="AH17" s="24">
        <v>0</v>
      </c>
      <c r="AI17" s="52">
        <v>0</v>
      </c>
      <c r="AJ17" s="22">
        <v>4</v>
      </c>
      <c r="AK17" s="24">
        <v>0</v>
      </c>
      <c r="AL17" s="52">
        <v>0</v>
      </c>
      <c r="AM17" s="22">
        <v>2</v>
      </c>
      <c r="AN17" s="24">
        <v>0</v>
      </c>
      <c r="AO17" s="52">
        <v>0</v>
      </c>
      <c r="AP17" s="22">
        <v>0</v>
      </c>
      <c r="AQ17" s="24">
        <v>0</v>
      </c>
      <c r="AR17" s="52" t="s">
        <v>103</v>
      </c>
      <c r="AS17" s="22">
        <v>0</v>
      </c>
      <c r="AT17" s="24">
        <v>0</v>
      </c>
      <c r="AU17" s="52" t="s">
        <v>103</v>
      </c>
      <c r="AV17" s="22">
        <v>0</v>
      </c>
      <c r="AW17" s="24">
        <v>0</v>
      </c>
      <c r="AX17" s="52" t="s">
        <v>103</v>
      </c>
      <c r="AY17" s="22">
        <v>0</v>
      </c>
      <c r="AZ17" s="24">
        <v>0</v>
      </c>
      <c r="BA17" s="52" t="s">
        <v>103</v>
      </c>
      <c r="BB17" s="22">
        <v>0</v>
      </c>
      <c r="BC17" s="24">
        <v>0</v>
      </c>
      <c r="BD17" s="52" t="s">
        <v>103</v>
      </c>
      <c r="BE17" s="22">
        <v>1</v>
      </c>
      <c r="BF17" s="24">
        <v>0</v>
      </c>
      <c r="BG17" s="52">
        <v>0</v>
      </c>
      <c r="BH17" s="22">
        <v>1</v>
      </c>
      <c r="BI17" s="24">
        <v>0</v>
      </c>
      <c r="BJ17" s="52">
        <v>0</v>
      </c>
      <c r="BK17" s="22">
        <v>2101</v>
      </c>
      <c r="BL17" s="24">
        <v>143</v>
      </c>
      <c r="BM17" s="52">
        <v>7.3033707865168607E-2</v>
      </c>
      <c r="BN17" s="22">
        <v>2</v>
      </c>
      <c r="BO17" s="24">
        <v>0</v>
      </c>
      <c r="BP17" s="52">
        <v>0</v>
      </c>
      <c r="BQ17" s="22">
        <v>11</v>
      </c>
      <c r="BR17" s="24">
        <v>-1</v>
      </c>
      <c r="BS17" s="52">
        <v>-8.333333333333337E-2</v>
      </c>
    </row>
    <row r="18" spans="2:71" s="3" customFormat="1" x14ac:dyDescent="0.25">
      <c r="B18" s="19" t="s">
        <v>33</v>
      </c>
      <c r="C18" s="20">
        <f t="shared" si="0"/>
        <v>103</v>
      </c>
      <c r="D18" s="24">
        <f t="shared" si="0"/>
        <v>13</v>
      </c>
      <c r="E18" s="52">
        <f t="shared" si="1"/>
        <v>0.14444444444444438</v>
      </c>
      <c r="F18" s="20">
        <v>0</v>
      </c>
      <c r="G18" s="24">
        <v>0</v>
      </c>
      <c r="H18" s="52" t="s">
        <v>103</v>
      </c>
      <c r="I18" s="22">
        <v>0</v>
      </c>
      <c r="J18" s="24">
        <v>0</v>
      </c>
      <c r="K18" s="52" t="s">
        <v>103</v>
      </c>
      <c r="L18" s="22">
        <v>0</v>
      </c>
      <c r="M18" s="24">
        <v>0</v>
      </c>
      <c r="N18" s="52" t="s">
        <v>103</v>
      </c>
      <c r="O18" s="22">
        <v>0</v>
      </c>
      <c r="P18" s="24">
        <v>0</v>
      </c>
      <c r="Q18" s="52" t="s">
        <v>103</v>
      </c>
      <c r="R18" s="22">
        <v>0</v>
      </c>
      <c r="S18" s="24">
        <v>0</v>
      </c>
      <c r="T18" s="52" t="s">
        <v>103</v>
      </c>
      <c r="U18" s="22">
        <v>0</v>
      </c>
      <c r="V18" s="24">
        <v>0</v>
      </c>
      <c r="W18" s="52" t="s">
        <v>103</v>
      </c>
      <c r="X18" s="22">
        <v>0</v>
      </c>
      <c r="Y18" s="24">
        <v>0</v>
      </c>
      <c r="Z18" s="52" t="s">
        <v>103</v>
      </c>
      <c r="AA18" s="22">
        <v>0</v>
      </c>
      <c r="AB18" s="24">
        <v>0</v>
      </c>
      <c r="AC18" s="52" t="s">
        <v>103</v>
      </c>
      <c r="AD18" s="22">
        <v>0</v>
      </c>
      <c r="AE18" s="24">
        <v>0</v>
      </c>
      <c r="AF18" s="52" t="s">
        <v>103</v>
      </c>
      <c r="AG18" s="22">
        <v>0</v>
      </c>
      <c r="AH18" s="24">
        <v>0</v>
      </c>
      <c r="AI18" s="52" t="s">
        <v>103</v>
      </c>
      <c r="AJ18" s="22">
        <v>0</v>
      </c>
      <c r="AK18" s="24">
        <v>0</v>
      </c>
      <c r="AL18" s="52" t="s">
        <v>103</v>
      </c>
      <c r="AM18" s="22">
        <v>0</v>
      </c>
      <c r="AN18" s="24">
        <v>0</v>
      </c>
      <c r="AO18" s="52" t="s">
        <v>103</v>
      </c>
      <c r="AP18" s="22">
        <v>0</v>
      </c>
      <c r="AQ18" s="24">
        <v>0</v>
      </c>
      <c r="AR18" s="52" t="s">
        <v>103</v>
      </c>
      <c r="AS18" s="22">
        <v>0</v>
      </c>
      <c r="AT18" s="24">
        <v>0</v>
      </c>
      <c r="AU18" s="52" t="s">
        <v>103</v>
      </c>
      <c r="AV18" s="22">
        <v>0</v>
      </c>
      <c r="AW18" s="24">
        <v>0</v>
      </c>
      <c r="AX18" s="52" t="s">
        <v>103</v>
      </c>
      <c r="AY18" s="22">
        <v>0</v>
      </c>
      <c r="AZ18" s="24">
        <v>0</v>
      </c>
      <c r="BA18" s="52" t="s">
        <v>103</v>
      </c>
      <c r="BB18" s="22">
        <v>0</v>
      </c>
      <c r="BC18" s="24">
        <v>0</v>
      </c>
      <c r="BD18" s="52" t="s">
        <v>103</v>
      </c>
      <c r="BE18" s="22">
        <v>0</v>
      </c>
      <c r="BF18" s="24">
        <v>0</v>
      </c>
      <c r="BG18" s="52" t="s">
        <v>103</v>
      </c>
      <c r="BH18" s="22">
        <v>0</v>
      </c>
      <c r="BI18" s="24">
        <v>0</v>
      </c>
      <c r="BJ18" s="52" t="s">
        <v>103</v>
      </c>
      <c r="BK18" s="22">
        <v>102</v>
      </c>
      <c r="BL18" s="24">
        <v>13</v>
      </c>
      <c r="BM18" s="52">
        <v>0.14606741573033699</v>
      </c>
      <c r="BN18" s="22">
        <v>0</v>
      </c>
      <c r="BO18" s="24">
        <v>0</v>
      </c>
      <c r="BP18" s="52" t="s">
        <v>103</v>
      </c>
      <c r="BQ18" s="22">
        <v>1</v>
      </c>
      <c r="BR18" s="24">
        <v>0</v>
      </c>
      <c r="BS18" s="52">
        <v>0</v>
      </c>
    </row>
    <row r="19" spans="2:71" s="3" customFormat="1" x14ac:dyDescent="0.25">
      <c r="B19" s="19" t="s">
        <v>92</v>
      </c>
      <c r="C19" s="20">
        <f t="shared" si="0"/>
        <v>915</v>
      </c>
      <c r="D19" s="24">
        <f t="shared" si="0"/>
        <v>98</v>
      </c>
      <c r="E19" s="52">
        <f t="shared" si="1"/>
        <v>0.11995104039167681</v>
      </c>
      <c r="F19" s="20">
        <v>8</v>
      </c>
      <c r="G19" s="24">
        <v>0</v>
      </c>
      <c r="H19" s="52">
        <v>0</v>
      </c>
      <c r="I19" s="22">
        <v>3</v>
      </c>
      <c r="J19" s="24">
        <v>0</v>
      </c>
      <c r="K19" s="52">
        <v>0</v>
      </c>
      <c r="L19" s="22">
        <v>1</v>
      </c>
      <c r="M19" s="24">
        <v>0</v>
      </c>
      <c r="N19" s="52">
        <v>0</v>
      </c>
      <c r="O19" s="22">
        <v>1</v>
      </c>
      <c r="P19" s="24">
        <v>0</v>
      </c>
      <c r="Q19" s="52">
        <v>0</v>
      </c>
      <c r="R19" s="22">
        <v>1</v>
      </c>
      <c r="S19" s="24">
        <v>0</v>
      </c>
      <c r="T19" s="52">
        <v>0</v>
      </c>
      <c r="U19" s="22">
        <v>0</v>
      </c>
      <c r="V19" s="24">
        <v>0</v>
      </c>
      <c r="W19" s="52" t="s">
        <v>103</v>
      </c>
      <c r="X19" s="22">
        <v>1</v>
      </c>
      <c r="Y19" s="24">
        <v>0</v>
      </c>
      <c r="Z19" s="52">
        <v>0</v>
      </c>
      <c r="AA19" s="22">
        <v>1</v>
      </c>
      <c r="AB19" s="24">
        <v>0</v>
      </c>
      <c r="AC19" s="52">
        <v>0</v>
      </c>
      <c r="AD19" s="22">
        <v>0</v>
      </c>
      <c r="AE19" s="24">
        <v>0</v>
      </c>
      <c r="AF19" s="52" t="s">
        <v>103</v>
      </c>
      <c r="AG19" s="22">
        <v>1</v>
      </c>
      <c r="AH19" s="24">
        <v>0</v>
      </c>
      <c r="AI19" s="52">
        <v>0</v>
      </c>
      <c r="AJ19" s="22">
        <v>0</v>
      </c>
      <c r="AK19" s="24">
        <v>0</v>
      </c>
      <c r="AL19" s="52" t="s">
        <v>103</v>
      </c>
      <c r="AM19" s="22">
        <v>0</v>
      </c>
      <c r="AN19" s="24">
        <v>0</v>
      </c>
      <c r="AO19" s="52" t="s">
        <v>103</v>
      </c>
      <c r="AP19" s="22">
        <v>0</v>
      </c>
      <c r="AQ19" s="24">
        <v>0</v>
      </c>
      <c r="AR19" s="52" t="s">
        <v>103</v>
      </c>
      <c r="AS19" s="22">
        <v>0</v>
      </c>
      <c r="AT19" s="24">
        <v>0</v>
      </c>
      <c r="AU19" s="52" t="s">
        <v>103</v>
      </c>
      <c r="AV19" s="22">
        <v>0</v>
      </c>
      <c r="AW19" s="24">
        <v>0</v>
      </c>
      <c r="AX19" s="52" t="s">
        <v>103</v>
      </c>
      <c r="AY19" s="22">
        <v>0</v>
      </c>
      <c r="AZ19" s="24">
        <v>0</v>
      </c>
      <c r="BA19" s="52" t="s">
        <v>103</v>
      </c>
      <c r="BB19" s="22">
        <v>1</v>
      </c>
      <c r="BC19" s="24">
        <v>0</v>
      </c>
      <c r="BD19" s="52">
        <v>0</v>
      </c>
      <c r="BE19" s="22">
        <v>0</v>
      </c>
      <c r="BF19" s="24">
        <v>0</v>
      </c>
      <c r="BG19" s="52" t="s">
        <v>103</v>
      </c>
      <c r="BH19" s="22">
        <v>0</v>
      </c>
      <c r="BI19" s="24">
        <v>0</v>
      </c>
      <c r="BJ19" s="52" t="s">
        <v>103</v>
      </c>
      <c r="BK19" s="22">
        <v>895</v>
      </c>
      <c r="BL19" s="24">
        <v>98</v>
      </c>
      <c r="BM19" s="52">
        <v>0.12296110414052697</v>
      </c>
      <c r="BN19" s="22">
        <v>1</v>
      </c>
      <c r="BO19" s="24">
        <v>0</v>
      </c>
      <c r="BP19" s="52">
        <v>0</v>
      </c>
      <c r="BQ19" s="22">
        <v>10</v>
      </c>
      <c r="BR19" s="24">
        <v>0</v>
      </c>
      <c r="BS19" s="52">
        <v>0</v>
      </c>
    </row>
    <row r="20" spans="2:71" s="3" customFormat="1" x14ac:dyDescent="0.25">
      <c r="B20" s="19" t="s">
        <v>93</v>
      </c>
      <c r="C20" s="20">
        <f t="shared" si="0"/>
        <v>518</v>
      </c>
      <c r="D20" s="24">
        <f t="shared" si="0"/>
        <v>17</v>
      </c>
      <c r="E20" s="52">
        <f t="shared" si="1"/>
        <v>3.3932135728542923E-2</v>
      </c>
      <c r="F20" s="20">
        <v>1</v>
      </c>
      <c r="G20" s="24">
        <v>0</v>
      </c>
      <c r="H20" s="52">
        <v>0</v>
      </c>
      <c r="I20" s="22">
        <v>0</v>
      </c>
      <c r="J20" s="24">
        <v>0</v>
      </c>
      <c r="K20" s="52" t="s">
        <v>103</v>
      </c>
      <c r="L20" s="22">
        <v>0</v>
      </c>
      <c r="M20" s="24">
        <v>0</v>
      </c>
      <c r="N20" s="52" t="s">
        <v>103</v>
      </c>
      <c r="O20" s="22">
        <v>0</v>
      </c>
      <c r="P20" s="24">
        <v>0</v>
      </c>
      <c r="Q20" s="52" t="s">
        <v>103</v>
      </c>
      <c r="R20" s="22">
        <v>0</v>
      </c>
      <c r="S20" s="24">
        <v>0</v>
      </c>
      <c r="T20" s="52" t="s">
        <v>103</v>
      </c>
      <c r="U20" s="22">
        <v>0</v>
      </c>
      <c r="V20" s="24">
        <v>0</v>
      </c>
      <c r="W20" s="52" t="s">
        <v>103</v>
      </c>
      <c r="X20" s="22">
        <v>0</v>
      </c>
      <c r="Y20" s="24">
        <v>0</v>
      </c>
      <c r="Z20" s="52" t="s">
        <v>103</v>
      </c>
      <c r="AA20" s="22">
        <v>0</v>
      </c>
      <c r="AB20" s="24">
        <v>0</v>
      </c>
      <c r="AC20" s="52" t="s">
        <v>103</v>
      </c>
      <c r="AD20" s="22">
        <v>1</v>
      </c>
      <c r="AE20" s="24">
        <v>0</v>
      </c>
      <c r="AF20" s="52">
        <v>0</v>
      </c>
      <c r="AG20" s="22">
        <v>1</v>
      </c>
      <c r="AH20" s="24">
        <v>0</v>
      </c>
      <c r="AI20" s="52">
        <v>0</v>
      </c>
      <c r="AJ20" s="22">
        <v>0</v>
      </c>
      <c r="AK20" s="24">
        <v>0</v>
      </c>
      <c r="AL20" s="52" t="s">
        <v>103</v>
      </c>
      <c r="AM20" s="22">
        <v>0</v>
      </c>
      <c r="AN20" s="24">
        <v>0</v>
      </c>
      <c r="AO20" s="52" t="s">
        <v>103</v>
      </c>
      <c r="AP20" s="22">
        <v>0</v>
      </c>
      <c r="AQ20" s="24">
        <v>0</v>
      </c>
      <c r="AR20" s="52" t="s">
        <v>103</v>
      </c>
      <c r="AS20" s="22">
        <v>0</v>
      </c>
      <c r="AT20" s="24">
        <v>0</v>
      </c>
      <c r="AU20" s="52" t="s">
        <v>103</v>
      </c>
      <c r="AV20" s="22">
        <v>0</v>
      </c>
      <c r="AW20" s="24">
        <v>0</v>
      </c>
      <c r="AX20" s="52" t="s">
        <v>103</v>
      </c>
      <c r="AY20" s="22">
        <v>0</v>
      </c>
      <c r="AZ20" s="24">
        <v>0</v>
      </c>
      <c r="BA20" s="52" t="s">
        <v>103</v>
      </c>
      <c r="BB20" s="22">
        <v>0</v>
      </c>
      <c r="BC20" s="24">
        <v>0</v>
      </c>
      <c r="BD20" s="52" t="s">
        <v>103</v>
      </c>
      <c r="BE20" s="22">
        <v>1</v>
      </c>
      <c r="BF20" s="24">
        <v>0</v>
      </c>
      <c r="BG20" s="52">
        <v>0</v>
      </c>
      <c r="BH20" s="22">
        <v>0</v>
      </c>
      <c r="BI20" s="24">
        <v>0</v>
      </c>
      <c r="BJ20" s="52" t="s">
        <v>103</v>
      </c>
      <c r="BK20" s="22">
        <v>507</v>
      </c>
      <c r="BL20" s="24">
        <v>17</v>
      </c>
      <c r="BM20" s="52">
        <v>3.469387755102038E-2</v>
      </c>
      <c r="BN20" s="22">
        <v>4</v>
      </c>
      <c r="BO20" s="24">
        <v>-1</v>
      </c>
      <c r="BP20" s="52">
        <v>-0.19999999999999996</v>
      </c>
      <c r="BQ20" s="22">
        <v>5</v>
      </c>
      <c r="BR20" s="24">
        <v>1</v>
      </c>
      <c r="BS20" s="52">
        <v>0.25</v>
      </c>
    </row>
    <row r="21" spans="2:71" s="3" customFormat="1" x14ac:dyDescent="0.25">
      <c r="B21" s="19" t="s">
        <v>36</v>
      </c>
      <c r="C21" s="20">
        <f t="shared" si="0"/>
        <v>809</v>
      </c>
      <c r="D21" s="24">
        <f t="shared" si="0"/>
        <v>63</v>
      </c>
      <c r="E21" s="52">
        <f t="shared" si="1"/>
        <v>8.4450402144772063E-2</v>
      </c>
      <c r="F21" s="20">
        <v>3</v>
      </c>
      <c r="G21" s="24">
        <v>0</v>
      </c>
      <c r="H21" s="52">
        <v>0</v>
      </c>
      <c r="I21" s="22">
        <v>0</v>
      </c>
      <c r="J21" s="24">
        <v>0</v>
      </c>
      <c r="K21" s="52" t="s">
        <v>103</v>
      </c>
      <c r="L21" s="22">
        <v>0</v>
      </c>
      <c r="M21" s="24">
        <v>0</v>
      </c>
      <c r="N21" s="52" t="s">
        <v>103</v>
      </c>
      <c r="O21" s="22">
        <v>1</v>
      </c>
      <c r="P21" s="24">
        <v>0</v>
      </c>
      <c r="Q21" s="52">
        <v>0</v>
      </c>
      <c r="R21" s="22">
        <v>0</v>
      </c>
      <c r="S21" s="24">
        <v>0</v>
      </c>
      <c r="T21" s="52" t="s">
        <v>103</v>
      </c>
      <c r="U21" s="22">
        <v>0</v>
      </c>
      <c r="V21" s="24">
        <v>0</v>
      </c>
      <c r="W21" s="52" t="s">
        <v>103</v>
      </c>
      <c r="X21" s="22">
        <v>0</v>
      </c>
      <c r="Y21" s="24">
        <v>0</v>
      </c>
      <c r="Z21" s="52" t="s">
        <v>103</v>
      </c>
      <c r="AA21" s="22">
        <v>0</v>
      </c>
      <c r="AB21" s="24">
        <v>0</v>
      </c>
      <c r="AC21" s="52" t="s">
        <v>103</v>
      </c>
      <c r="AD21" s="22">
        <v>2</v>
      </c>
      <c r="AE21" s="24">
        <v>0</v>
      </c>
      <c r="AF21" s="52">
        <v>0</v>
      </c>
      <c r="AG21" s="22">
        <v>3</v>
      </c>
      <c r="AH21" s="24">
        <v>0</v>
      </c>
      <c r="AI21" s="52">
        <v>0</v>
      </c>
      <c r="AJ21" s="22">
        <v>0</v>
      </c>
      <c r="AK21" s="24">
        <v>0</v>
      </c>
      <c r="AL21" s="52" t="s">
        <v>103</v>
      </c>
      <c r="AM21" s="22">
        <v>0</v>
      </c>
      <c r="AN21" s="24">
        <v>0</v>
      </c>
      <c r="AO21" s="52" t="s">
        <v>103</v>
      </c>
      <c r="AP21" s="22">
        <v>0</v>
      </c>
      <c r="AQ21" s="24">
        <v>0</v>
      </c>
      <c r="AR21" s="52" t="s">
        <v>103</v>
      </c>
      <c r="AS21" s="22">
        <v>0</v>
      </c>
      <c r="AT21" s="24">
        <v>0</v>
      </c>
      <c r="AU21" s="52" t="s">
        <v>103</v>
      </c>
      <c r="AV21" s="22">
        <v>0</v>
      </c>
      <c r="AW21" s="24">
        <v>0</v>
      </c>
      <c r="AX21" s="52" t="s">
        <v>103</v>
      </c>
      <c r="AY21" s="22">
        <v>0</v>
      </c>
      <c r="AZ21" s="24">
        <v>0</v>
      </c>
      <c r="BA21" s="52" t="s">
        <v>103</v>
      </c>
      <c r="BB21" s="22">
        <v>0</v>
      </c>
      <c r="BC21" s="24">
        <v>0</v>
      </c>
      <c r="BD21" s="52" t="s">
        <v>103</v>
      </c>
      <c r="BE21" s="22">
        <v>3</v>
      </c>
      <c r="BF21" s="24">
        <v>0</v>
      </c>
      <c r="BG21" s="52">
        <v>0</v>
      </c>
      <c r="BH21" s="22">
        <v>0</v>
      </c>
      <c r="BI21" s="24">
        <v>0</v>
      </c>
      <c r="BJ21" s="52" t="s">
        <v>103</v>
      </c>
      <c r="BK21" s="22">
        <v>782</v>
      </c>
      <c r="BL21" s="24">
        <v>63</v>
      </c>
      <c r="BM21" s="52">
        <v>8.7621696801112758E-2</v>
      </c>
      <c r="BN21" s="22">
        <v>0</v>
      </c>
      <c r="BO21" s="24">
        <v>0</v>
      </c>
      <c r="BP21" s="52" t="s">
        <v>103</v>
      </c>
      <c r="BQ21" s="22">
        <v>21</v>
      </c>
      <c r="BR21" s="24">
        <v>0</v>
      </c>
      <c r="BS21" s="52">
        <v>0</v>
      </c>
    </row>
    <row r="22" spans="2:71" s="3" customFormat="1" x14ac:dyDescent="0.25">
      <c r="B22" s="19" t="s">
        <v>37</v>
      </c>
      <c r="C22" s="20">
        <f t="shared" si="0"/>
        <v>1215</v>
      </c>
      <c r="D22" s="24">
        <f t="shared" si="0"/>
        <v>78</v>
      </c>
      <c r="E22" s="52">
        <f t="shared" si="1"/>
        <v>6.8601583113456543E-2</v>
      </c>
      <c r="F22" s="20">
        <v>16</v>
      </c>
      <c r="G22" s="24">
        <v>2</v>
      </c>
      <c r="H22" s="52">
        <v>0.14285714285714279</v>
      </c>
      <c r="I22" s="22">
        <v>6</v>
      </c>
      <c r="J22" s="24">
        <v>0</v>
      </c>
      <c r="K22" s="52">
        <v>0</v>
      </c>
      <c r="L22" s="22">
        <v>2</v>
      </c>
      <c r="M22" s="24">
        <v>0</v>
      </c>
      <c r="N22" s="52">
        <v>0</v>
      </c>
      <c r="O22" s="22">
        <v>2</v>
      </c>
      <c r="P22" s="24">
        <v>0</v>
      </c>
      <c r="Q22" s="52">
        <v>0</v>
      </c>
      <c r="R22" s="22">
        <v>3</v>
      </c>
      <c r="S22" s="24">
        <v>0</v>
      </c>
      <c r="T22" s="52">
        <v>0</v>
      </c>
      <c r="U22" s="22">
        <v>0</v>
      </c>
      <c r="V22" s="24">
        <v>0</v>
      </c>
      <c r="W22" s="52" t="s">
        <v>103</v>
      </c>
      <c r="X22" s="22">
        <v>0</v>
      </c>
      <c r="Y22" s="24">
        <v>0</v>
      </c>
      <c r="Z22" s="52" t="s">
        <v>103</v>
      </c>
      <c r="AA22" s="22">
        <v>0</v>
      </c>
      <c r="AB22" s="24">
        <v>0</v>
      </c>
      <c r="AC22" s="52" t="s">
        <v>103</v>
      </c>
      <c r="AD22" s="22">
        <v>1</v>
      </c>
      <c r="AE22" s="24">
        <v>0</v>
      </c>
      <c r="AF22" s="52">
        <v>0</v>
      </c>
      <c r="AG22" s="22">
        <v>7</v>
      </c>
      <c r="AH22" s="24">
        <v>2</v>
      </c>
      <c r="AI22" s="52">
        <v>0.39999999999999991</v>
      </c>
      <c r="AJ22" s="22">
        <v>1</v>
      </c>
      <c r="AK22" s="24">
        <v>0</v>
      </c>
      <c r="AL22" s="52">
        <v>0</v>
      </c>
      <c r="AM22" s="22">
        <v>0</v>
      </c>
      <c r="AN22" s="24">
        <v>0</v>
      </c>
      <c r="AO22" s="52" t="s">
        <v>103</v>
      </c>
      <c r="AP22" s="22">
        <v>0</v>
      </c>
      <c r="AQ22" s="24">
        <v>0</v>
      </c>
      <c r="AR22" s="52" t="s">
        <v>103</v>
      </c>
      <c r="AS22" s="22">
        <v>0</v>
      </c>
      <c r="AT22" s="24">
        <v>0</v>
      </c>
      <c r="AU22" s="52" t="s">
        <v>103</v>
      </c>
      <c r="AV22" s="22">
        <v>0</v>
      </c>
      <c r="AW22" s="24">
        <v>0</v>
      </c>
      <c r="AX22" s="52" t="s">
        <v>103</v>
      </c>
      <c r="AY22" s="22">
        <v>0</v>
      </c>
      <c r="AZ22" s="24">
        <v>0</v>
      </c>
      <c r="BA22" s="52" t="s">
        <v>103</v>
      </c>
      <c r="BB22" s="22">
        <v>0</v>
      </c>
      <c r="BC22" s="24">
        <v>0</v>
      </c>
      <c r="BD22" s="52" t="s">
        <v>103</v>
      </c>
      <c r="BE22" s="22">
        <v>5</v>
      </c>
      <c r="BF22" s="24">
        <v>2</v>
      </c>
      <c r="BG22" s="52">
        <v>0.66666666666666674</v>
      </c>
      <c r="BH22" s="22">
        <v>1</v>
      </c>
      <c r="BI22" s="24">
        <v>0</v>
      </c>
      <c r="BJ22" s="52">
        <v>0</v>
      </c>
      <c r="BK22" s="22">
        <v>1179</v>
      </c>
      <c r="BL22" s="24">
        <v>74</v>
      </c>
      <c r="BM22" s="52">
        <v>6.6968325791855188E-2</v>
      </c>
      <c r="BN22" s="22">
        <v>1</v>
      </c>
      <c r="BO22" s="24">
        <v>0</v>
      </c>
      <c r="BP22" s="52">
        <v>0</v>
      </c>
      <c r="BQ22" s="22">
        <v>12</v>
      </c>
      <c r="BR22" s="24">
        <v>0</v>
      </c>
      <c r="BS22" s="52">
        <v>0</v>
      </c>
    </row>
    <row r="23" spans="2:71" s="3" customFormat="1" x14ac:dyDescent="0.25">
      <c r="B23" s="19" t="s">
        <v>38</v>
      </c>
      <c r="C23" s="20">
        <f t="shared" si="0"/>
        <v>228</v>
      </c>
      <c r="D23" s="24">
        <f t="shared" si="0"/>
        <v>15</v>
      </c>
      <c r="E23" s="52">
        <f t="shared" si="1"/>
        <v>7.0422535211267512E-2</v>
      </c>
      <c r="F23" s="20">
        <v>0</v>
      </c>
      <c r="G23" s="24">
        <v>0</v>
      </c>
      <c r="H23" s="52" t="s">
        <v>103</v>
      </c>
      <c r="I23" s="22">
        <v>0</v>
      </c>
      <c r="J23" s="24">
        <v>0</v>
      </c>
      <c r="K23" s="52" t="s">
        <v>103</v>
      </c>
      <c r="L23" s="22">
        <v>0</v>
      </c>
      <c r="M23" s="24">
        <v>0</v>
      </c>
      <c r="N23" s="52" t="s">
        <v>103</v>
      </c>
      <c r="O23" s="22">
        <v>0</v>
      </c>
      <c r="P23" s="24">
        <v>0</v>
      </c>
      <c r="Q23" s="52" t="s">
        <v>103</v>
      </c>
      <c r="R23" s="22">
        <v>0</v>
      </c>
      <c r="S23" s="24">
        <v>0</v>
      </c>
      <c r="T23" s="52" t="s">
        <v>103</v>
      </c>
      <c r="U23" s="22">
        <v>0</v>
      </c>
      <c r="V23" s="24">
        <v>0</v>
      </c>
      <c r="W23" s="52" t="s">
        <v>103</v>
      </c>
      <c r="X23" s="22">
        <v>0</v>
      </c>
      <c r="Y23" s="24">
        <v>0</v>
      </c>
      <c r="Z23" s="52" t="s">
        <v>103</v>
      </c>
      <c r="AA23" s="22">
        <v>0</v>
      </c>
      <c r="AB23" s="24">
        <v>0</v>
      </c>
      <c r="AC23" s="52" t="s">
        <v>103</v>
      </c>
      <c r="AD23" s="22">
        <v>0</v>
      </c>
      <c r="AE23" s="24">
        <v>0</v>
      </c>
      <c r="AF23" s="52" t="s">
        <v>103</v>
      </c>
      <c r="AG23" s="22">
        <v>0</v>
      </c>
      <c r="AH23" s="24">
        <v>0</v>
      </c>
      <c r="AI23" s="52" t="s">
        <v>103</v>
      </c>
      <c r="AJ23" s="22">
        <v>0</v>
      </c>
      <c r="AK23" s="24">
        <v>0</v>
      </c>
      <c r="AL23" s="52" t="s">
        <v>103</v>
      </c>
      <c r="AM23" s="22">
        <v>0</v>
      </c>
      <c r="AN23" s="24">
        <v>0</v>
      </c>
      <c r="AO23" s="52" t="s">
        <v>103</v>
      </c>
      <c r="AP23" s="22">
        <v>0</v>
      </c>
      <c r="AQ23" s="24">
        <v>0</v>
      </c>
      <c r="AR23" s="52" t="s">
        <v>103</v>
      </c>
      <c r="AS23" s="22">
        <v>0</v>
      </c>
      <c r="AT23" s="24">
        <v>0</v>
      </c>
      <c r="AU23" s="52" t="s">
        <v>103</v>
      </c>
      <c r="AV23" s="22">
        <v>0</v>
      </c>
      <c r="AW23" s="24">
        <v>0</v>
      </c>
      <c r="AX23" s="52" t="s">
        <v>103</v>
      </c>
      <c r="AY23" s="22">
        <v>0</v>
      </c>
      <c r="AZ23" s="24">
        <v>0</v>
      </c>
      <c r="BA23" s="52" t="s">
        <v>103</v>
      </c>
      <c r="BB23" s="22">
        <v>0</v>
      </c>
      <c r="BC23" s="24">
        <v>0</v>
      </c>
      <c r="BD23" s="52" t="s">
        <v>103</v>
      </c>
      <c r="BE23" s="22">
        <v>0</v>
      </c>
      <c r="BF23" s="24">
        <v>0</v>
      </c>
      <c r="BG23" s="52" t="s">
        <v>103</v>
      </c>
      <c r="BH23" s="22">
        <v>0</v>
      </c>
      <c r="BI23" s="24">
        <v>0</v>
      </c>
      <c r="BJ23" s="52" t="s">
        <v>103</v>
      </c>
      <c r="BK23" s="22">
        <v>223</v>
      </c>
      <c r="BL23" s="24">
        <v>15</v>
      </c>
      <c r="BM23" s="52">
        <v>7.2115384615384581E-2</v>
      </c>
      <c r="BN23" s="22">
        <v>0</v>
      </c>
      <c r="BO23" s="24">
        <v>0</v>
      </c>
      <c r="BP23" s="52" t="s">
        <v>103</v>
      </c>
      <c r="BQ23" s="22">
        <v>5</v>
      </c>
      <c r="BR23" s="24">
        <v>0</v>
      </c>
      <c r="BS23" s="52">
        <v>0</v>
      </c>
    </row>
    <row r="24" spans="2:71" s="3" customFormat="1" x14ac:dyDescent="0.25">
      <c r="B24" s="19" t="s">
        <v>39</v>
      </c>
      <c r="C24" s="20">
        <f t="shared" si="0"/>
        <v>450</v>
      </c>
      <c r="D24" s="24">
        <f t="shared" si="0"/>
        <v>58</v>
      </c>
      <c r="E24" s="52">
        <f t="shared" si="1"/>
        <v>0.1479591836734695</v>
      </c>
      <c r="F24" s="20">
        <v>5</v>
      </c>
      <c r="G24" s="24">
        <v>0</v>
      </c>
      <c r="H24" s="52">
        <v>0</v>
      </c>
      <c r="I24" s="22">
        <v>1</v>
      </c>
      <c r="J24" s="24">
        <v>0</v>
      </c>
      <c r="K24" s="52">
        <v>0</v>
      </c>
      <c r="L24" s="22">
        <v>2</v>
      </c>
      <c r="M24" s="24">
        <v>0</v>
      </c>
      <c r="N24" s="52">
        <v>0</v>
      </c>
      <c r="O24" s="22">
        <v>1</v>
      </c>
      <c r="P24" s="24">
        <v>0</v>
      </c>
      <c r="Q24" s="52">
        <v>0</v>
      </c>
      <c r="R24" s="22">
        <v>0</v>
      </c>
      <c r="S24" s="24">
        <v>0</v>
      </c>
      <c r="T24" s="52" t="s">
        <v>103</v>
      </c>
      <c r="U24" s="22">
        <v>0</v>
      </c>
      <c r="V24" s="24">
        <v>0</v>
      </c>
      <c r="W24" s="52" t="s">
        <v>103</v>
      </c>
      <c r="X24" s="22">
        <v>0</v>
      </c>
      <c r="Y24" s="24">
        <v>0</v>
      </c>
      <c r="Z24" s="52" t="s">
        <v>103</v>
      </c>
      <c r="AA24" s="22">
        <v>0</v>
      </c>
      <c r="AB24" s="24">
        <v>0</v>
      </c>
      <c r="AC24" s="52" t="s">
        <v>103</v>
      </c>
      <c r="AD24" s="22">
        <v>1</v>
      </c>
      <c r="AE24" s="24">
        <v>0</v>
      </c>
      <c r="AF24" s="52">
        <v>0</v>
      </c>
      <c r="AG24" s="22">
        <v>3</v>
      </c>
      <c r="AH24" s="24">
        <v>0</v>
      </c>
      <c r="AI24" s="52">
        <v>0</v>
      </c>
      <c r="AJ24" s="22">
        <v>1</v>
      </c>
      <c r="AK24" s="24">
        <v>0</v>
      </c>
      <c r="AL24" s="52">
        <v>0</v>
      </c>
      <c r="AM24" s="22">
        <v>0</v>
      </c>
      <c r="AN24" s="24">
        <v>0</v>
      </c>
      <c r="AO24" s="52" t="s">
        <v>103</v>
      </c>
      <c r="AP24" s="22">
        <v>0</v>
      </c>
      <c r="AQ24" s="24">
        <v>0</v>
      </c>
      <c r="AR24" s="52" t="s">
        <v>103</v>
      </c>
      <c r="AS24" s="22">
        <v>0</v>
      </c>
      <c r="AT24" s="24">
        <v>0</v>
      </c>
      <c r="AU24" s="52" t="s">
        <v>103</v>
      </c>
      <c r="AV24" s="22">
        <v>0</v>
      </c>
      <c r="AW24" s="24">
        <v>0</v>
      </c>
      <c r="AX24" s="52" t="s">
        <v>103</v>
      </c>
      <c r="AY24" s="22">
        <v>0</v>
      </c>
      <c r="AZ24" s="24">
        <v>0</v>
      </c>
      <c r="BA24" s="52" t="s">
        <v>103</v>
      </c>
      <c r="BB24" s="22">
        <v>0</v>
      </c>
      <c r="BC24" s="24">
        <v>0</v>
      </c>
      <c r="BD24" s="52" t="s">
        <v>103</v>
      </c>
      <c r="BE24" s="22">
        <v>1</v>
      </c>
      <c r="BF24" s="24">
        <v>0</v>
      </c>
      <c r="BG24" s="52">
        <v>0</v>
      </c>
      <c r="BH24" s="22">
        <v>1</v>
      </c>
      <c r="BI24" s="24">
        <v>0</v>
      </c>
      <c r="BJ24" s="52">
        <v>0</v>
      </c>
      <c r="BK24" s="22">
        <v>432</v>
      </c>
      <c r="BL24" s="24">
        <v>57</v>
      </c>
      <c r="BM24" s="52">
        <v>0.15199999999999991</v>
      </c>
      <c r="BN24" s="22">
        <v>1</v>
      </c>
      <c r="BO24" s="24">
        <v>0</v>
      </c>
      <c r="BP24" s="52">
        <v>0</v>
      </c>
      <c r="BQ24" s="22">
        <v>9</v>
      </c>
      <c r="BR24" s="24">
        <v>1</v>
      </c>
      <c r="BS24" s="52">
        <v>0.125</v>
      </c>
    </row>
    <row r="25" spans="2:71" s="3" customFormat="1" x14ac:dyDescent="0.25">
      <c r="B25" s="19" t="s">
        <v>40</v>
      </c>
      <c r="C25" s="20">
        <f t="shared" si="0"/>
        <v>2118</v>
      </c>
      <c r="D25" s="24">
        <f t="shared" si="0"/>
        <v>195</v>
      </c>
      <c r="E25" s="52">
        <f t="shared" si="1"/>
        <v>0.10140405616224646</v>
      </c>
      <c r="F25" s="20">
        <v>63</v>
      </c>
      <c r="G25" s="24">
        <v>3</v>
      </c>
      <c r="H25" s="52">
        <v>5.0000000000000044E-2</v>
      </c>
      <c r="I25" s="22">
        <v>4</v>
      </c>
      <c r="J25" s="24">
        <v>0</v>
      </c>
      <c r="K25" s="52">
        <v>0</v>
      </c>
      <c r="L25" s="22">
        <v>10</v>
      </c>
      <c r="M25" s="24">
        <v>0</v>
      </c>
      <c r="N25" s="52">
        <v>0</v>
      </c>
      <c r="O25" s="22">
        <v>17</v>
      </c>
      <c r="P25" s="24">
        <v>1</v>
      </c>
      <c r="Q25" s="52">
        <v>6.25E-2</v>
      </c>
      <c r="R25" s="22">
        <v>29</v>
      </c>
      <c r="S25" s="24">
        <v>0</v>
      </c>
      <c r="T25" s="52">
        <v>0</v>
      </c>
      <c r="U25" s="22">
        <v>2</v>
      </c>
      <c r="V25" s="24">
        <v>2</v>
      </c>
      <c r="W25" s="52" t="s">
        <v>103</v>
      </c>
      <c r="X25" s="22">
        <v>1</v>
      </c>
      <c r="Y25" s="24">
        <v>0</v>
      </c>
      <c r="Z25" s="52">
        <v>0</v>
      </c>
      <c r="AA25" s="22">
        <v>0</v>
      </c>
      <c r="AB25" s="24">
        <v>0</v>
      </c>
      <c r="AC25" s="52" t="s">
        <v>103</v>
      </c>
      <c r="AD25" s="22">
        <v>0</v>
      </c>
      <c r="AE25" s="24">
        <v>0</v>
      </c>
      <c r="AF25" s="52" t="s">
        <v>103</v>
      </c>
      <c r="AG25" s="22">
        <v>22</v>
      </c>
      <c r="AH25" s="24">
        <v>-3</v>
      </c>
      <c r="AI25" s="52">
        <v>-0.12</v>
      </c>
      <c r="AJ25" s="22">
        <v>2</v>
      </c>
      <c r="AK25" s="24">
        <v>0</v>
      </c>
      <c r="AL25" s="52">
        <v>0</v>
      </c>
      <c r="AM25" s="22">
        <v>5</v>
      </c>
      <c r="AN25" s="24">
        <v>-1</v>
      </c>
      <c r="AO25" s="52">
        <v>-0.16666666666666663</v>
      </c>
      <c r="AP25" s="22">
        <v>8</v>
      </c>
      <c r="AQ25" s="24">
        <v>-2</v>
      </c>
      <c r="AR25" s="52">
        <v>-0.19999999999999996</v>
      </c>
      <c r="AS25" s="22">
        <v>0</v>
      </c>
      <c r="AT25" s="24">
        <v>0</v>
      </c>
      <c r="AU25" s="52" t="s">
        <v>103</v>
      </c>
      <c r="AV25" s="22">
        <v>2</v>
      </c>
      <c r="AW25" s="24">
        <v>0</v>
      </c>
      <c r="AX25" s="52">
        <v>0</v>
      </c>
      <c r="AY25" s="22">
        <v>4</v>
      </c>
      <c r="AZ25" s="24">
        <v>0</v>
      </c>
      <c r="BA25" s="52">
        <v>0</v>
      </c>
      <c r="BB25" s="22">
        <v>0</v>
      </c>
      <c r="BC25" s="24">
        <v>0</v>
      </c>
      <c r="BD25" s="52" t="s">
        <v>103</v>
      </c>
      <c r="BE25" s="22">
        <v>1</v>
      </c>
      <c r="BF25" s="24">
        <v>0</v>
      </c>
      <c r="BG25" s="52">
        <v>0</v>
      </c>
      <c r="BH25" s="22">
        <v>0</v>
      </c>
      <c r="BI25" s="24">
        <v>0</v>
      </c>
      <c r="BJ25" s="52" t="s">
        <v>103</v>
      </c>
      <c r="BK25" s="22">
        <v>2032</v>
      </c>
      <c r="BL25" s="24">
        <v>195</v>
      </c>
      <c r="BM25" s="52">
        <v>0.10615133369624385</v>
      </c>
      <c r="BN25" s="22">
        <v>0</v>
      </c>
      <c r="BO25" s="24">
        <v>0</v>
      </c>
      <c r="BP25" s="52" t="s">
        <v>103</v>
      </c>
      <c r="BQ25" s="22">
        <v>1</v>
      </c>
      <c r="BR25" s="24">
        <v>0</v>
      </c>
      <c r="BS25" s="52">
        <v>0</v>
      </c>
    </row>
    <row r="26" spans="2:71" s="3" customFormat="1" x14ac:dyDescent="0.25">
      <c r="B26" s="19" t="s">
        <v>41</v>
      </c>
      <c r="C26" s="20">
        <f t="shared" si="0"/>
        <v>396</v>
      </c>
      <c r="D26" s="24">
        <f t="shared" si="0"/>
        <v>69</v>
      </c>
      <c r="E26" s="52">
        <f t="shared" si="1"/>
        <v>0.21100917431192667</v>
      </c>
      <c r="F26" s="20">
        <v>5</v>
      </c>
      <c r="G26" s="24">
        <v>0</v>
      </c>
      <c r="H26" s="52">
        <v>0</v>
      </c>
      <c r="I26" s="22">
        <v>0</v>
      </c>
      <c r="J26" s="24">
        <v>0</v>
      </c>
      <c r="K26" s="52" t="s">
        <v>103</v>
      </c>
      <c r="L26" s="22">
        <v>0</v>
      </c>
      <c r="M26" s="24">
        <v>0</v>
      </c>
      <c r="N26" s="52" t="s">
        <v>103</v>
      </c>
      <c r="O26" s="22">
        <v>2</v>
      </c>
      <c r="P26" s="24">
        <v>0</v>
      </c>
      <c r="Q26" s="52">
        <v>0</v>
      </c>
      <c r="R26" s="22">
        <v>3</v>
      </c>
      <c r="S26" s="24">
        <v>0</v>
      </c>
      <c r="T26" s="52">
        <v>0</v>
      </c>
      <c r="U26" s="22">
        <v>0</v>
      </c>
      <c r="V26" s="24">
        <v>0</v>
      </c>
      <c r="W26" s="52" t="s">
        <v>103</v>
      </c>
      <c r="X26" s="22">
        <v>0</v>
      </c>
      <c r="Y26" s="24">
        <v>0</v>
      </c>
      <c r="Z26" s="52" t="s">
        <v>103</v>
      </c>
      <c r="AA26" s="22">
        <v>0</v>
      </c>
      <c r="AB26" s="24">
        <v>0</v>
      </c>
      <c r="AC26" s="52" t="s">
        <v>103</v>
      </c>
      <c r="AD26" s="22">
        <v>0</v>
      </c>
      <c r="AE26" s="24">
        <v>0</v>
      </c>
      <c r="AF26" s="52" t="s">
        <v>103</v>
      </c>
      <c r="AG26" s="22">
        <v>4</v>
      </c>
      <c r="AH26" s="24">
        <v>0</v>
      </c>
      <c r="AI26" s="52">
        <v>0</v>
      </c>
      <c r="AJ26" s="22">
        <v>1</v>
      </c>
      <c r="AK26" s="24">
        <v>0</v>
      </c>
      <c r="AL26" s="52">
        <v>0</v>
      </c>
      <c r="AM26" s="22">
        <v>0</v>
      </c>
      <c r="AN26" s="24">
        <v>0</v>
      </c>
      <c r="AO26" s="52" t="s">
        <v>103</v>
      </c>
      <c r="AP26" s="22">
        <v>1</v>
      </c>
      <c r="AQ26" s="24">
        <v>0</v>
      </c>
      <c r="AR26" s="52">
        <v>0</v>
      </c>
      <c r="AS26" s="22">
        <v>0</v>
      </c>
      <c r="AT26" s="24">
        <v>0</v>
      </c>
      <c r="AU26" s="52" t="s">
        <v>103</v>
      </c>
      <c r="AV26" s="22">
        <v>0</v>
      </c>
      <c r="AW26" s="24">
        <v>0</v>
      </c>
      <c r="AX26" s="52" t="s">
        <v>103</v>
      </c>
      <c r="AY26" s="22">
        <v>0</v>
      </c>
      <c r="AZ26" s="24">
        <v>0</v>
      </c>
      <c r="BA26" s="52" t="s">
        <v>103</v>
      </c>
      <c r="BB26" s="22">
        <v>0</v>
      </c>
      <c r="BC26" s="24">
        <v>0</v>
      </c>
      <c r="BD26" s="52" t="s">
        <v>103</v>
      </c>
      <c r="BE26" s="22">
        <v>2</v>
      </c>
      <c r="BF26" s="24">
        <v>0</v>
      </c>
      <c r="BG26" s="52">
        <v>0</v>
      </c>
      <c r="BH26" s="22">
        <v>0</v>
      </c>
      <c r="BI26" s="24">
        <v>0</v>
      </c>
      <c r="BJ26" s="52" t="s">
        <v>103</v>
      </c>
      <c r="BK26" s="22">
        <v>369</v>
      </c>
      <c r="BL26" s="24">
        <v>68</v>
      </c>
      <c r="BM26" s="52">
        <v>0.2259136212624584</v>
      </c>
      <c r="BN26" s="22">
        <v>3</v>
      </c>
      <c r="BO26" s="24">
        <v>0</v>
      </c>
      <c r="BP26" s="52">
        <v>0</v>
      </c>
      <c r="BQ26" s="22">
        <v>15</v>
      </c>
      <c r="BR26" s="24">
        <v>1</v>
      </c>
      <c r="BS26" s="52">
        <v>7.1428571428571397E-2</v>
      </c>
    </row>
    <row r="27" spans="2:71" s="3" customFormat="1" x14ac:dyDescent="0.25">
      <c r="B27" s="19" t="s">
        <v>42</v>
      </c>
      <c r="C27" s="20">
        <f t="shared" si="0"/>
        <v>452</v>
      </c>
      <c r="D27" s="24">
        <f t="shared" si="0"/>
        <v>36</v>
      </c>
      <c r="E27" s="52">
        <f t="shared" si="1"/>
        <v>8.6538461538461453E-2</v>
      </c>
      <c r="F27" s="20">
        <v>2</v>
      </c>
      <c r="G27" s="24">
        <v>0</v>
      </c>
      <c r="H27" s="52">
        <v>0</v>
      </c>
      <c r="I27" s="22">
        <v>1</v>
      </c>
      <c r="J27" s="24">
        <v>0</v>
      </c>
      <c r="K27" s="52">
        <v>0</v>
      </c>
      <c r="L27" s="22">
        <v>1</v>
      </c>
      <c r="M27" s="24">
        <v>0</v>
      </c>
      <c r="N27" s="52">
        <v>0</v>
      </c>
      <c r="O27" s="22">
        <v>0</v>
      </c>
      <c r="P27" s="24">
        <v>0</v>
      </c>
      <c r="Q27" s="52" t="s">
        <v>103</v>
      </c>
      <c r="R27" s="22">
        <v>0</v>
      </c>
      <c r="S27" s="24">
        <v>0</v>
      </c>
      <c r="T27" s="52" t="s">
        <v>103</v>
      </c>
      <c r="U27" s="22">
        <v>0</v>
      </c>
      <c r="V27" s="24">
        <v>0</v>
      </c>
      <c r="W27" s="52" t="s">
        <v>103</v>
      </c>
      <c r="X27" s="22">
        <v>0</v>
      </c>
      <c r="Y27" s="24">
        <v>0</v>
      </c>
      <c r="Z27" s="52" t="s">
        <v>103</v>
      </c>
      <c r="AA27" s="22">
        <v>0</v>
      </c>
      <c r="AB27" s="24">
        <v>0</v>
      </c>
      <c r="AC27" s="52" t="s">
        <v>103</v>
      </c>
      <c r="AD27" s="22">
        <v>0</v>
      </c>
      <c r="AE27" s="24">
        <v>0</v>
      </c>
      <c r="AF27" s="52" t="s">
        <v>103</v>
      </c>
      <c r="AG27" s="22">
        <v>1</v>
      </c>
      <c r="AH27" s="24">
        <v>0</v>
      </c>
      <c r="AI27" s="52">
        <v>0</v>
      </c>
      <c r="AJ27" s="22">
        <v>0</v>
      </c>
      <c r="AK27" s="24">
        <v>0</v>
      </c>
      <c r="AL27" s="52" t="s">
        <v>103</v>
      </c>
      <c r="AM27" s="22">
        <v>0</v>
      </c>
      <c r="AN27" s="24">
        <v>0</v>
      </c>
      <c r="AO27" s="52" t="s">
        <v>103</v>
      </c>
      <c r="AP27" s="22">
        <v>0</v>
      </c>
      <c r="AQ27" s="24">
        <v>0</v>
      </c>
      <c r="AR27" s="52" t="s">
        <v>103</v>
      </c>
      <c r="AS27" s="22">
        <v>0</v>
      </c>
      <c r="AT27" s="24">
        <v>0</v>
      </c>
      <c r="AU27" s="52" t="s">
        <v>103</v>
      </c>
      <c r="AV27" s="22">
        <v>0</v>
      </c>
      <c r="AW27" s="24">
        <v>0</v>
      </c>
      <c r="AX27" s="52" t="s">
        <v>103</v>
      </c>
      <c r="AY27" s="22">
        <v>0</v>
      </c>
      <c r="AZ27" s="24">
        <v>0</v>
      </c>
      <c r="BA27" s="52" t="s">
        <v>103</v>
      </c>
      <c r="BB27" s="22">
        <v>0</v>
      </c>
      <c r="BC27" s="24">
        <v>0</v>
      </c>
      <c r="BD27" s="52" t="s">
        <v>103</v>
      </c>
      <c r="BE27" s="22">
        <v>0</v>
      </c>
      <c r="BF27" s="24">
        <v>0</v>
      </c>
      <c r="BG27" s="52" t="s">
        <v>103</v>
      </c>
      <c r="BH27" s="22">
        <v>1</v>
      </c>
      <c r="BI27" s="24">
        <v>0</v>
      </c>
      <c r="BJ27" s="52">
        <v>0</v>
      </c>
      <c r="BK27" s="22">
        <v>445</v>
      </c>
      <c r="BL27" s="24">
        <v>36</v>
      </c>
      <c r="BM27" s="52">
        <v>8.801955990220045E-2</v>
      </c>
      <c r="BN27" s="22">
        <v>1</v>
      </c>
      <c r="BO27" s="24">
        <v>0</v>
      </c>
      <c r="BP27" s="52">
        <v>0</v>
      </c>
      <c r="BQ27" s="22">
        <v>3</v>
      </c>
      <c r="BR27" s="24">
        <v>0</v>
      </c>
      <c r="BS27" s="52">
        <v>0</v>
      </c>
    </row>
    <row r="28" spans="2:71" s="3" customFormat="1" x14ac:dyDescent="0.25">
      <c r="B28" s="19" t="s">
        <v>43</v>
      </c>
      <c r="C28" s="20">
        <f t="shared" si="0"/>
        <v>85</v>
      </c>
      <c r="D28" s="24">
        <f t="shared" si="0"/>
        <v>20</v>
      </c>
      <c r="E28" s="52">
        <f t="shared" si="1"/>
        <v>0.30769230769230771</v>
      </c>
      <c r="F28" s="20">
        <v>0</v>
      </c>
      <c r="G28" s="24">
        <v>0</v>
      </c>
      <c r="H28" s="52">
        <f>(D28/(D28-G28))-1</f>
        <v>0</v>
      </c>
      <c r="I28" s="22"/>
      <c r="J28" s="24">
        <v>0</v>
      </c>
      <c r="K28" s="52" t="s">
        <v>103</v>
      </c>
      <c r="L28" s="22">
        <v>0</v>
      </c>
      <c r="M28" s="24">
        <v>0</v>
      </c>
      <c r="N28" s="52" t="s">
        <v>103</v>
      </c>
      <c r="O28" s="22">
        <v>0</v>
      </c>
      <c r="P28" s="24">
        <v>0</v>
      </c>
      <c r="Q28" s="52" t="s">
        <v>103</v>
      </c>
      <c r="R28" s="22">
        <v>0</v>
      </c>
      <c r="S28" s="24">
        <v>0</v>
      </c>
      <c r="T28" s="52" t="s">
        <v>103</v>
      </c>
      <c r="U28" s="22">
        <v>0</v>
      </c>
      <c r="V28" s="24">
        <v>0</v>
      </c>
      <c r="W28" s="52" t="s">
        <v>103</v>
      </c>
      <c r="X28" s="22">
        <v>0</v>
      </c>
      <c r="Y28" s="24">
        <v>0</v>
      </c>
      <c r="Z28" s="52" t="s">
        <v>103</v>
      </c>
      <c r="AA28" s="22">
        <v>0</v>
      </c>
      <c r="AB28" s="24">
        <v>0</v>
      </c>
      <c r="AC28" s="52" t="s">
        <v>103</v>
      </c>
      <c r="AD28" s="22">
        <v>0</v>
      </c>
      <c r="AE28" s="24">
        <v>0</v>
      </c>
      <c r="AF28" s="52" t="s">
        <v>103</v>
      </c>
      <c r="AG28" s="22">
        <v>3</v>
      </c>
      <c r="AH28" s="24">
        <v>0</v>
      </c>
      <c r="AI28" s="52">
        <v>0</v>
      </c>
      <c r="AJ28" s="22">
        <v>0</v>
      </c>
      <c r="AK28" s="24">
        <v>0</v>
      </c>
      <c r="AL28" s="52" t="s">
        <v>103</v>
      </c>
      <c r="AM28" s="22">
        <v>0</v>
      </c>
      <c r="AN28" s="24">
        <v>0</v>
      </c>
      <c r="AO28" s="52" t="s">
        <v>103</v>
      </c>
      <c r="AP28" s="22">
        <v>0</v>
      </c>
      <c r="AQ28" s="24">
        <v>0</v>
      </c>
      <c r="AR28" s="52" t="s">
        <v>103</v>
      </c>
      <c r="AS28" s="22">
        <v>0</v>
      </c>
      <c r="AT28" s="24">
        <v>0</v>
      </c>
      <c r="AU28" s="52" t="s">
        <v>103</v>
      </c>
      <c r="AV28" s="22">
        <v>0</v>
      </c>
      <c r="AW28" s="24">
        <v>0</v>
      </c>
      <c r="AX28" s="52" t="s">
        <v>103</v>
      </c>
      <c r="AY28" s="22">
        <v>0</v>
      </c>
      <c r="AZ28" s="24">
        <v>0</v>
      </c>
      <c r="BA28" s="52" t="s">
        <v>103</v>
      </c>
      <c r="BB28" s="22">
        <v>0</v>
      </c>
      <c r="BC28" s="24">
        <v>0</v>
      </c>
      <c r="BD28" s="52" t="s">
        <v>103</v>
      </c>
      <c r="BE28" s="22">
        <v>3</v>
      </c>
      <c r="BF28" s="24">
        <v>0</v>
      </c>
      <c r="BG28" s="52">
        <v>0</v>
      </c>
      <c r="BH28" s="22">
        <v>0</v>
      </c>
      <c r="BI28" s="24">
        <v>0</v>
      </c>
      <c r="BJ28" s="52" t="s">
        <v>103</v>
      </c>
      <c r="BK28" s="22">
        <v>78</v>
      </c>
      <c r="BL28" s="24">
        <v>20</v>
      </c>
      <c r="BM28" s="52">
        <v>0.34482758620689657</v>
      </c>
      <c r="BN28" s="22">
        <v>1</v>
      </c>
      <c r="BO28" s="24">
        <v>0</v>
      </c>
      <c r="BP28" s="52">
        <v>0</v>
      </c>
      <c r="BQ28" s="22">
        <v>3</v>
      </c>
      <c r="BR28" s="24">
        <v>0</v>
      </c>
      <c r="BS28" s="52">
        <v>0</v>
      </c>
    </row>
    <row r="29" spans="2:71" s="3" customFormat="1" x14ac:dyDescent="0.25">
      <c r="B29" s="19" t="s">
        <v>44</v>
      </c>
      <c r="C29" s="20">
        <f t="shared" si="0"/>
        <v>1572</v>
      </c>
      <c r="D29" s="24">
        <f t="shared" si="0"/>
        <v>166</v>
      </c>
      <c r="E29" s="52">
        <f t="shared" si="1"/>
        <v>0.11806543385490764</v>
      </c>
      <c r="F29" s="20">
        <v>7</v>
      </c>
      <c r="G29" s="24">
        <v>0</v>
      </c>
      <c r="H29" s="52" t="e">
        <f>VLOOKUP($D$1,'estab aut municipio x tip y cat'!$B$8:$BS$39,62+2,FALSE)</f>
        <v>#N/A</v>
      </c>
      <c r="I29" s="22">
        <v>0</v>
      </c>
      <c r="J29" s="24">
        <v>0</v>
      </c>
      <c r="K29" s="52" t="s">
        <v>103</v>
      </c>
      <c r="L29" s="22">
        <v>0</v>
      </c>
      <c r="M29" s="24">
        <v>0</v>
      </c>
      <c r="N29" s="52" t="s">
        <v>103</v>
      </c>
      <c r="O29" s="22">
        <v>1</v>
      </c>
      <c r="P29" s="24">
        <v>0</v>
      </c>
      <c r="Q29" s="52">
        <v>0</v>
      </c>
      <c r="R29" s="22">
        <v>2</v>
      </c>
      <c r="S29" s="24">
        <v>0</v>
      </c>
      <c r="T29" s="52">
        <v>0</v>
      </c>
      <c r="U29" s="22">
        <v>3</v>
      </c>
      <c r="V29" s="24">
        <v>0</v>
      </c>
      <c r="W29" s="52">
        <v>0</v>
      </c>
      <c r="X29" s="22">
        <v>0</v>
      </c>
      <c r="Y29" s="24">
        <v>0</v>
      </c>
      <c r="Z29" s="52" t="s">
        <v>103</v>
      </c>
      <c r="AA29" s="22">
        <v>0</v>
      </c>
      <c r="AB29" s="24">
        <v>0</v>
      </c>
      <c r="AC29" s="52" t="s">
        <v>103</v>
      </c>
      <c r="AD29" s="22">
        <v>1</v>
      </c>
      <c r="AE29" s="24">
        <v>0</v>
      </c>
      <c r="AF29" s="52">
        <v>0</v>
      </c>
      <c r="AG29" s="22">
        <v>14</v>
      </c>
      <c r="AH29" s="24">
        <v>0</v>
      </c>
      <c r="AI29" s="52">
        <v>0</v>
      </c>
      <c r="AJ29" s="22">
        <v>3</v>
      </c>
      <c r="AK29" s="24">
        <v>0</v>
      </c>
      <c r="AL29" s="52">
        <v>0</v>
      </c>
      <c r="AM29" s="22">
        <v>2</v>
      </c>
      <c r="AN29" s="24">
        <v>0</v>
      </c>
      <c r="AO29" s="52">
        <v>0</v>
      </c>
      <c r="AP29" s="22">
        <v>3</v>
      </c>
      <c r="AQ29" s="24">
        <v>0</v>
      </c>
      <c r="AR29" s="52">
        <v>0</v>
      </c>
      <c r="AS29" s="22">
        <v>0</v>
      </c>
      <c r="AT29" s="24">
        <v>0</v>
      </c>
      <c r="AU29" s="52" t="s">
        <v>103</v>
      </c>
      <c r="AV29" s="22">
        <v>3</v>
      </c>
      <c r="AW29" s="24">
        <v>0</v>
      </c>
      <c r="AX29" s="52">
        <v>0</v>
      </c>
      <c r="AY29" s="22">
        <v>0</v>
      </c>
      <c r="AZ29" s="24">
        <v>0</v>
      </c>
      <c r="BA29" s="52" t="s">
        <v>103</v>
      </c>
      <c r="BB29" s="22">
        <v>1</v>
      </c>
      <c r="BC29" s="24">
        <v>0</v>
      </c>
      <c r="BD29" s="52">
        <v>0</v>
      </c>
      <c r="BE29" s="22">
        <v>2</v>
      </c>
      <c r="BF29" s="24">
        <v>0</v>
      </c>
      <c r="BG29" s="52">
        <v>0</v>
      </c>
      <c r="BH29" s="22">
        <v>0</v>
      </c>
      <c r="BI29" s="24">
        <v>0</v>
      </c>
      <c r="BJ29" s="52" t="s">
        <v>103</v>
      </c>
      <c r="BK29" s="22">
        <v>1547</v>
      </c>
      <c r="BL29" s="24">
        <v>166</v>
      </c>
      <c r="BM29" s="52">
        <v>0.12020275162925409</v>
      </c>
      <c r="BN29" s="22">
        <v>1</v>
      </c>
      <c r="BO29" s="24">
        <v>0</v>
      </c>
      <c r="BP29" s="52">
        <v>0</v>
      </c>
      <c r="BQ29" s="22">
        <v>3</v>
      </c>
      <c r="BR29" s="24">
        <v>0</v>
      </c>
      <c r="BS29" s="52">
        <v>0</v>
      </c>
    </row>
    <row r="30" spans="2:71" s="3" customFormat="1" x14ac:dyDescent="0.25">
      <c r="B30" s="19" t="s">
        <v>45</v>
      </c>
      <c r="C30" s="20">
        <f t="shared" si="0"/>
        <v>2394</v>
      </c>
      <c r="D30" s="24">
        <f t="shared" si="0"/>
        <v>226</v>
      </c>
      <c r="E30" s="52">
        <f t="shared" si="1"/>
        <v>0.10424354243542444</v>
      </c>
      <c r="F30" s="20">
        <v>34</v>
      </c>
      <c r="G30" s="24">
        <v>2</v>
      </c>
      <c r="H30" s="52">
        <v>6.25E-2</v>
      </c>
      <c r="I30" s="22">
        <v>8</v>
      </c>
      <c r="J30" s="24">
        <v>0</v>
      </c>
      <c r="K30" s="52">
        <v>0</v>
      </c>
      <c r="L30" s="22">
        <v>7</v>
      </c>
      <c r="M30" s="24">
        <v>1</v>
      </c>
      <c r="N30" s="52">
        <v>0.16666666666666674</v>
      </c>
      <c r="O30" s="22">
        <v>6</v>
      </c>
      <c r="P30" s="24">
        <v>-1</v>
      </c>
      <c r="Q30" s="52">
        <v>-0.1428571428571429</v>
      </c>
      <c r="R30" s="22">
        <v>8</v>
      </c>
      <c r="S30" s="24">
        <v>0</v>
      </c>
      <c r="T30" s="52">
        <v>0</v>
      </c>
      <c r="U30" s="22">
        <v>1</v>
      </c>
      <c r="V30" s="24">
        <v>0</v>
      </c>
      <c r="W30" s="52">
        <v>0</v>
      </c>
      <c r="X30" s="22">
        <v>0</v>
      </c>
      <c r="Y30" s="24">
        <v>0</v>
      </c>
      <c r="Z30" s="52" t="s">
        <v>103</v>
      </c>
      <c r="AA30" s="22">
        <v>0</v>
      </c>
      <c r="AB30" s="24">
        <v>0</v>
      </c>
      <c r="AC30" s="52" t="s">
        <v>103</v>
      </c>
      <c r="AD30" s="22">
        <v>1</v>
      </c>
      <c r="AE30" s="24">
        <v>0</v>
      </c>
      <c r="AF30" s="52">
        <v>0</v>
      </c>
      <c r="AG30" s="22">
        <v>8</v>
      </c>
      <c r="AH30" s="24">
        <v>0</v>
      </c>
      <c r="AI30" s="52">
        <v>0</v>
      </c>
      <c r="AJ30" s="22">
        <v>0</v>
      </c>
      <c r="AK30" s="24">
        <v>0</v>
      </c>
      <c r="AL30" s="52" t="s">
        <v>103</v>
      </c>
      <c r="AM30" s="22">
        <v>0</v>
      </c>
      <c r="AN30" s="24">
        <v>0</v>
      </c>
      <c r="AO30" s="52" t="s">
        <v>103</v>
      </c>
      <c r="AP30" s="22">
        <v>0</v>
      </c>
      <c r="AQ30" s="24">
        <v>0</v>
      </c>
      <c r="AR30" s="52" t="s">
        <v>103</v>
      </c>
      <c r="AS30" s="22">
        <v>0</v>
      </c>
      <c r="AT30" s="24">
        <v>0</v>
      </c>
      <c r="AU30" s="52" t="s">
        <v>103</v>
      </c>
      <c r="AV30" s="22">
        <v>0</v>
      </c>
      <c r="AW30" s="24">
        <v>0</v>
      </c>
      <c r="AX30" s="52" t="s">
        <v>103</v>
      </c>
      <c r="AY30" s="22">
        <v>0</v>
      </c>
      <c r="AZ30" s="24">
        <v>0</v>
      </c>
      <c r="BA30" s="52" t="s">
        <v>103</v>
      </c>
      <c r="BB30" s="22">
        <v>0</v>
      </c>
      <c r="BC30" s="24">
        <v>0</v>
      </c>
      <c r="BD30" s="52" t="s">
        <v>103</v>
      </c>
      <c r="BE30" s="22">
        <v>7</v>
      </c>
      <c r="BF30" s="24">
        <v>0</v>
      </c>
      <c r="BG30" s="52">
        <v>0</v>
      </c>
      <c r="BH30" s="22">
        <v>1</v>
      </c>
      <c r="BI30" s="24">
        <v>0</v>
      </c>
      <c r="BJ30" s="52">
        <v>0</v>
      </c>
      <c r="BK30" s="22">
        <v>2349</v>
      </c>
      <c r="BL30" s="24">
        <v>224</v>
      </c>
      <c r="BM30" s="52">
        <v>0.10541176470588232</v>
      </c>
      <c r="BN30" s="22">
        <v>0</v>
      </c>
      <c r="BO30" s="24">
        <v>0</v>
      </c>
      <c r="BP30" s="52" t="s">
        <v>103</v>
      </c>
      <c r="BQ30" s="22">
        <v>3</v>
      </c>
      <c r="BR30" s="24">
        <v>0</v>
      </c>
      <c r="BS30" s="52">
        <v>0</v>
      </c>
    </row>
    <row r="31" spans="2:71" s="3" customFormat="1" x14ac:dyDescent="0.25">
      <c r="B31" s="19" t="s">
        <v>46</v>
      </c>
      <c r="C31" s="20">
        <f t="shared" si="0"/>
        <v>421</v>
      </c>
      <c r="D31" s="24">
        <f t="shared" si="0"/>
        <v>53</v>
      </c>
      <c r="E31" s="52">
        <f t="shared" si="1"/>
        <v>0.14402173913043481</v>
      </c>
      <c r="F31" s="20">
        <v>0</v>
      </c>
      <c r="G31" s="24">
        <v>0</v>
      </c>
      <c r="H31" s="52" t="s">
        <v>103</v>
      </c>
      <c r="I31" s="22">
        <v>0</v>
      </c>
      <c r="J31" s="24">
        <v>0</v>
      </c>
      <c r="K31" s="52" t="s">
        <v>103</v>
      </c>
      <c r="L31" s="22">
        <v>0</v>
      </c>
      <c r="M31" s="24">
        <v>0</v>
      </c>
      <c r="N31" s="52" t="s">
        <v>103</v>
      </c>
      <c r="O31" s="22">
        <v>0</v>
      </c>
      <c r="P31" s="24">
        <v>0</v>
      </c>
      <c r="Q31" s="52" t="s">
        <v>103</v>
      </c>
      <c r="R31" s="22">
        <v>0</v>
      </c>
      <c r="S31" s="24">
        <v>0</v>
      </c>
      <c r="T31" s="52" t="s">
        <v>103</v>
      </c>
      <c r="U31" s="22">
        <v>0</v>
      </c>
      <c r="V31" s="24">
        <v>0</v>
      </c>
      <c r="W31" s="52" t="s">
        <v>103</v>
      </c>
      <c r="X31" s="22">
        <v>0</v>
      </c>
      <c r="Y31" s="24">
        <v>0</v>
      </c>
      <c r="Z31" s="52" t="s">
        <v>103</v>
      </c>
      <c r="AA31" s="22">
        <v>0</v>
      </c>
      <c r="AB31" s="24">
        <v>0</v>
      </c>
      <c r="AC31" s="52" t="s">
        <v>103</v>
      </c>
      <c r="AD31" s="22">
        <v>0</v>
      </c>
      <c r="AE31" s="24">
        <v>0</v>
      </c>
      <c r="AF31" s="52" t="s">
        <v>103</v>
      </c>
      <c r="AG31" s="22">
        <v>0</v>
      </c>
      <c r="AH31" s="24">
        <v>0</v>
      </c>
      <c r="AI31" s="52" t="s">
        <v>103</v>
      </c>
      <c r="AJ31" s="22">
        <v>0</v>
      </c>
      <c r="AK31" s="24">
        <v>0</v>
      </c>
      <c r="AL31" s="52" t="s">
        <v>103</v>
      </c>
      <c r="AM31" s="22">
        <v>0</v>
      </c>
      <c r="AN31" s="24">
        <v>0</v>
      </c>
      <c r="AO31" s="52" t="s">
        <v>103</v>
      </c>
      <c r="AP31" s="22">
        <v>0</v>
      </c>
      <c r="AQ31" s="24">
        <v>0</v>
      </c>
      <c r="AR31" s="52" t="s">
        <v>103</v>
      </c>
      <c r="AS31" s="22">
        <v>0</v>
      </c>
      <c r="AT31" s="24">
        <v>0</v>
      </c>
      <c r="AU31" s="52" t="s">
        <v>103</v>
      </c>
      <c r="AV31" s="22">
        <v>0</v>
      </c>
      <c r="AW31" s="24">
        <v>0</v>
      </c>
      <c r="AX31" s="52" t="s">
        <v>103</v>
      </c>
      <c r="AY31" s="22">
        <v>0</v>
      </c>
      <c r="AZ31" s="24">
        <v>0</v>
      </c>
      <c r="BA31" s="52" t="s">
        <v>103</v>
      </c>
      <c r="BB31" s="22">
        <v>0</v>
      </c>
      <c r="BC31" s="24">
        <v>0</v>
      </c>
      <c r="BD31" s="52" t="s">
        <v>103</v>
      </c>
      <c r="BE31" s="22">
        <v>0</v>
      </c>
      <c r="BF31" s="24">
        <v>0</v>
      </c>
      <c r="BG31" s="52" t="s">
        <v>103</v>
      </c>
      <c r="BH31" s="22">
        <v>0</v>
      </c>
      <c r="BI31" s="24">
        <v>0</v>
      </c>
      <c r="BJ31" s="52" t="s">
        <v>103</v>
      </c>
      <c r="BK31" s="22">
        <v>421</v>
      </c>
      <c r="BL31" s="24">
        <v>53</v>
      </c>
      <c r="BM31" s="52">
        <v>0.14402173913043481</v>
      </c>
      <c r="BN31" s="22">
        <v>0</v>
      </c>
      <c r="BO31" s="24">
        <v>0</v>
      </c>
      <c r="BP31" s="52" t="s">
        <v>103</v>
      </c>
      <c r="BQ31" s="22">
        <v>0</v>
      </c>
      <c r="BR31" s="24">
        <v>0</v>
      </c>
      <c r="BS31" s="52" t="s">
        <v>103</v>
      </c>
    </row>
    <row r="32" spans="2:71" s="3" customFormat="1" x14ac:dyDescent="0.25">
      <c r="B32" s="19" t="s">
        <v>47</v>
      </c>
      <c r="C32" s="20">
        <f t="shared" si="0"/>
        <v>1600</v>
      </c>
      <c r="D32" s="24">
        <f t="shared" si="0"/>
        <v>183</v>
      </c>
      <c r="E32" s="52">
        <f t="shared" si="1"/>
        <v>0.1291460832745237</v>
      </c>
      <c r="F32" s="20">
        <v>8</v>
      </c>
      <c r="G32" s="24">
        <v>0</v>
      </c>
      <c r="H32" s="52">
        <v>0</v>
      </c>
      <c r="I32" s="22">
        <v>0</v>
      </c>
      <c r="J32" s="24">
        <v>0</v>
      </c>
      <c r="K32" s="52" t="s">
        <v>103</v>
      </c>
      <c r="L32" s="22">
        <v>0</v>
      </c>
      <c r="M32" s="24">
        <v>0</v>
      </c>
      <c r="N32" s="52" t="s">
        <v>103</v>
      </c>
      <c r="O32" s="22">
        <v>2</v>
      </c>
      <c r="P32" s="24">
        <v>0</v>
      </c>
      <c r="Q32" s="52">
        <v>0</v>
      </c>
      <c r="R32" s="22">
        <v>6</v>
      </c>
      <c r="S32" s="24">
        <v>0</v>
      </c>
      <c r="T32" s="52">
        <v>0</v>
      </c>
      <c r="U32" s="22">
        <v>0</v>
      </c>
      <c r="V32" s="24">
        <v>0</v>
      </c>
      <c r="W32" s="52" t="s">
        <v>103</v>
      </c>
      <c r="X32" s="22">
        <v>0</v>
      </c>
      <c r="Y32" s="24">
        <v>0</v>
      </c>
      <c r="Z32" s="52" t="s">
        <v>103</v>
      </c>
      <c r="AA32" s="22">
        <v>0</v>
      </c>
      <c r="AB32" s="24">
        <v>0</v>
      </c>
      <c r="AC32" s="52" t="s">
        <v>103</v>
      </c>
      <c r="AD32" s="22">
        <v>0</v>
      </c>
      <c r="AE32" s="24">
        <v>0</v>
      </c>
      <c r="AF32" s="52" t="s">
        <v>103</v>
      </c>
      <c r="AG32" s="22">
        <v>15</v>
      </c>
      <c r="AH32" s="24">
        <v>0</v>
      </c>
      <c r="AI32" s="52">
        <v>0</v>
      </c>
      <c r="AJ32" s="22">
        <v>9</v>
      </c>
      <c r="AK32" s="24">
        <v>0</v>
      </c>
      <c r="AL32" s="52">
        <v>0</v>
      </c>
      <c r="AM32" s="22">
        <v>3</v>
      </c>
      <c r="AN32" s="24">
        <v>0</v>
      </c>
      <c r="AO32" s="52">
        <v>0</v>
      </c>
      <c r="AP32" s="22">
        <v>0</v>
      </c>
      <c r="AQ32" s="24">
        <v>0</v>
      </c>
      <c r="AR32" s="52" t="s">
        <v>103</v>
      </c>
      <c r="AS32" s="22">
        <v>0</v>
      </c>
      <c r="AT32" s="24">
        <v>0</v>
      </c>
      <c r="AU32" s="52" t="s">
        <v>103</v>
      </c>
      <c r="AV32" s="22">
        <v>0</v>
      </c>
      <c r="AW32" s="24">
        <v>0</v>
      </c>
      <c r="AX32" s="52" t="s">
        <v>103</v>
      </c>
      <c r="AY32" s="22">
        <v>1</v>
      </c>
      <c r="AZ32" s="24">
        <v>0</v>
      </c>
      <c r="BA32" s="52">
        <v>0</v>
      </c>
      <c r="BB32" s="22">
        <v>2</v>
      </c>
      <c r="BC32" s="24">
        <v>0</v>
      </c>
      <c r="BD32" s="52">
        <v>0</v>
      </c>
      <c r="BE32" s="22">
        <v>0</v>
      </c>
      <c r="BF32" s="24">
        <v>0</v>
      </c>
      <c r="BG32" s="52" t="s">
        <v>103</v>
      </c>
      <c r="BH32" s="22">
        <v>0</v>
      </c>
      <c r="BI32" s="24">
        <v>0</v>
      </c>
      <c r="BJ32" s="52" t="s">
        <v>103</v>
      </c>
      <c r="BK32" s="22">
        <v>1577</v>
      </c>
      <c r="BL32" s="24">
        <v>183</v>
      </c>
      <c r="BM32" s="52">
        <v>0.13127690100430423</v>
      </c>
      <c r="BN32" s="22">
        <v>0</v>
      </c>
      <c r="BO32" s="24">
        <v>0</v>
      </c>
      <c r="BP32" s="52" t="s">
        <v>103</v>
      </c>
      <c r="BQ32" s="22">
        <v>0</v>
      </c>
      <c r="BR32" s="24">
        <v>0</v>
      </c>
      <c r="BS32" s="52" t="s">
        <v>103</v>
      </c>
    </row>
    <row r="33" spans="2:71" s="3" customFormat="1" x14ac:dyDescent="0.25">
      <c r="B33" s="19" t="s">
        <v>48</v>
      </c>
      <c r="C33" s="20">
        <f t="shared" si="0"/>
        <v>170</v>
      </c>
      <c r="D33" s="24">
        <f t="shared" si="0"/>
        <v>27</v>
      </c>
      <c r="E33" s="52">
        <f t="shared" si="1"/>
        <v>0.18881118881118875</v>
      </c>
      <c r="F33" s="20">
        <v>1</v>
      </c>
      <c r="G33" s="24">
        <v>0</v>
      </c>
      <c r="H33" s="52">
        <v>0</v>
      </c>
      <c r="I33" s="22">
        <v>0</v>
      </c>
      <c r="J33" s="24">
        <v>0</v>
      </c>
      <c r="K33" s="52" t="s">
        <v>103</v>
      </c>
      <c r="L33" s="22">
        <v>1</v>
      </c>
      <c r="M33" s="24">
        <v>0</v>
      </c>
      <c r="N33" s="52">
        <v>0</v>
      </c>
      <c r="O33" s="22">
        <v>0</v>
      </c>
      <c r="P33" s="24">
        <v>0</v>
      </c>
      <c r="Q33" s="52" t="s">
        <v>103</v>
      </c>
      <c r="R33" s="22">
        <v>0</v>
      </c>
      <c r="S33" s="24">
        <v>0</v>
      </c>
      <c r="T33" s="52" t="s">
        <v>103</v>
      </c>
      <c r="U33" s="22">
        <v>0</v>
      </c>
      <c r="V33" s="24">
        <v>0</v>
      </c>
      <c r="W33" s="52" t="s">
        <v>103</v>
      </c>
      <c r="X33" s="22">
        <v>0</v>
      </c>
      <c r="Y33" s="24">
        <v>0</v>
      </c>
      <c r="Z33" s="52" t="s">
        <v>103</v>
      </c>
      <c r="AA33" s="22">
        <v>0</v>
      </c>
      <c r="AB33" s="24">
        <v>0</v>
      </c>
      <c r="AC33" s="52" t="s">
        <v>103</v>
      </c>
      <c r="AD33" s="22">
        <v>0</v>
      </c>
      <c r="AE33" s="24">
        <v>0</v>
      </c>
      <c r="AF33" s="52" t="s">
        <v>103</v>
      </c>
      <c r="AG33" s="22">
        <v>0</v>
      </c>
      <c r="AH33" s="24">
        <v>0</v>
      </c>
      <c r="AI33" s="52" t="s">
        <v>103</v>
      </c>
      <c r="AJ33" s="22">
        <v>0</v>
      </c>
      <c r="AK33" s="24">
        <v>0</v>
      </c>
      <c r="AL33" s="52" t="s">
        <v>103</v>
      </c>
      <c r="AM33" s="22">
        <v>0</v>
      </c>
      <c r="AN33" s="24">
        <v>0</v>
      </c>
      <c r="AO33" s="52" t="s">
        <v>103</v>
      </c>
      <c r="AP33" s="22">
        <v>0</v>
      </c>
      <c r="AQ33" s="24">
        <v>0</v>
      </c>
      <c r="AR33" s="52" t="s">
        <v>103</v>
      </c>
      <c r="AS33" s="22">
        <v>0</v>
      </c>
      <c r="AT33" s="24">
        <v>0</v>
      </c>
      <c r="AU33" s="52" t="s">
        <v>103</v>
      </c>
      <c r="AV33" s="22">
        <v>0</v>
      </c>
      <c r="AW33" s="24">
        <v>0</v>
      </c>
      <c r="AX33" s="52" t="s">
        <v>103</v>
      </c>
      <c r="AY33" s="22">
        <v>0</v>
      </c>
      <c r="AZ33" s="24">
        <v>0</v>
      </c>
      <c r="BA33" s="52" t="s">
        <v>103</v>
      </c>
      <c r="BB33" s="22">
        <v>0</v>
      </c>
      <c r="BC33" s="24">
        <v>0</v>
      </c>
      <c r="BD33" s="52" t="s">
        <v>103</v>
      </c>
      <c r="BE33" s="22">
        <v>0</v>
      </c>
      <c r="BF33" s="24">
        <v>0</v>
      </c>
      <c r="BG33" s="52" t="s">
        <v>103</v>
      </c>
      <c r="BH33" s="22">
        <v>0</v>
      </c>
      <c r="BI33" s="24">
        <v>0</v>
      </c>
      <c r="BJ33" s="52" t="s">
        <v>103</v>
      </c>
      <c r="BK33" s="22">
        <v>166</v>
      </c>
      <c r="BL33" s="24">
        <v>27</v>
      </c>
      <c r="BM33" s="52">
        <v>0.19424460431654667</v>
      </c>
      <c r="BN33" s="22">
        <v>1</v>
      </c>
      <c r="BO33" s="24">
        <v>0</v>
      </c>
      <c r="BP33" s="52">
        <v>0</v>
      </c>
      <c r="BQ33" s="22">
        <v>2</v>
      </c>
      <c r="BR33" s="24">
        <v>0</v>
      </c>
      <c r="BS33" s="52">
        <v>0</v>
      </c>
    </row>
    <row r="34" spans="2:71" s="3" customFormat="1" x14ac:dyDescent="0.25">
      <c r="B34" s="19" t="s">
        <v>49</v>
      </c>
      <c r="C34" s="20">
        <f t="shared" si="0"/>
        <v>146</v>
      </c>
      <c r="D34" s="24">
        <f t="shared" si="0"/>
        <v>2</v>
      </c>
      <c r="E34" s="52">
        <f t="shared" si="1"/>
        <v>1.388888888888884E-2</v>
      </c>
      <c r="F34" s="20">
        <v>1</v>
      </c>
      <c r="G34" s="24">
        <v>0</v>
      </c>
      <c r="H34" s="52">
        <v>0</v>
      </c>
      <c r="I34" s="22">
        <v>0</v>
      </c>
      <c r="J34" s="24">
        <v>0</v>
      </c>
      <c r="K34" s="52" t="s">
        <v>103</v>
      </c>
      <c r="L34" s="22">
        <v>0</v>
      </c>
      <c r="M34" s="24">
        <v>0</v>
      </c>
      <c r="N34" s="52" t="s">
        <v>103</v>
      </c>
      <c r="O34" s="22">
        <v>0</v>
      </c>
      <c r="P34" s="24">
        <v>0</v>
      </c>
      <c r="Q34" s="52" t="s">
        <v>103</v>
      </c>
      <c r="R34" s="22">
        <v>1</v>
      </c>
      <c r="S34" s="24">
        <v>0</v>
      </c>
      <c r="T34" s="52">
        <v>0</v>
      </c>
      <c r="U34" s="22">
        <v>0</v>
      </c>
      <c r="V34" s="24">
        <v>0</v>
      </c>
      <c r="W34" s="52" t="s">
        <v>103</v>
      </c>
      <c r="X34" s="22">
        <v>0</v>
      </c>
      <c r="Y34" s="24">
        <v>0</v>
      </c>
      <c r="Z34" s="52" t="s">
        <v>103</v>
      </c>
      <c r="AA34" s="22">
        <v>0</v>
      </c>
      <c r="AB34" s="24">
        <v>0</v>
      </c>
      <c r="AC34" s="52" t="s">
        <v>103</v>
      </c>
      <c r="AD34" s="22">
        <v>0</v>
      </c>
      <c r="AE34" s="24">
        <v>0</v>
      </c>
      <c r="AF34" s="52" t="s">
        <v>103</v>
      </c>
      <c r="AG34" s="22">
        <v>2</v>
      </c>
      <c r="AH34" s="24">
        <v>0</v>
      </c>
      <c r="AI34" s="52">
        <v>0</v>
      </c>
      <c r="AJ34" s="22">
        <v>0</v>
      </c>
      <c r="AK34" s="24">
        <v>0</v>
      </c>
      <c r="AL34" s="52" t="s">
        <v>103</v>
      </c>
      <c r="AM34" s="22">
        <v>0</v>
      </c>
      <c r="AN34" s="24">
        <v>0</v>
      </c>
      <c r="AO34" s="52" t="s">
        <v>103</v>
      </c>
      <c r="AP34" s="22">
        <v>0</v>
      </c>
      <c r="AQ34" s="24">
        <v>0</v>
      </c>
      <c r="AR34" s="52" t="s">
        <v>103</v>
      </c>
      <c r="AS34" s="22">
        <v>0</v>
      </c>
      <c r="AT34" s="24">
        <v>0</v>
      </c>
      <c r="AU34" s="52" t="s">
        <v>103</v>
      </c>
      <c r="AV34" s="22">
        <v>0</v>
      </c>
      <c r="AW34" s="24">
        <v>0</v>
      </c>
      <c r="AX34" s="52" t="s">
        <v>103</v>
      </c>
      <c r="AY34" s="22">
        <v>0</v>
      </c>
      <c r="AZ34" s="24">
        <v>0</v>
      </c>
      <c r="BA34" s="52" t="s">
        <v>103</v>
      </c>
      <c r="BB34" s="22">
        <v>0</v>
      </c>
      <c r="BC34" s="24">
        <v>0</v>
      </c>
      <c r="BD34" s="52" t="s">
        <v>103</v>
      </c>
      <c r="BE34" s="22">
        <v>1</v>
      </c>
      <c r="BF34" s="24">
        <v>0</v>
      </c>
      <c r="BG34" s="52">
        <v>0</v>
      </c>
      <c r="BH34" s="22">
        <v>1</v>
      </c>
      <c r="BI34" s="24">
        <v>0</v>
      </c>
      <c r="BJ34" s="52">
        <v>0</v>
      </c>
      <c r="BK34" s="22">
        <v>140</v>
      </c>
      <c r="BL34" s="24">
        <v>2</v>
      </c>
      <c r="BM34" s="52">
        <v>1.449275362318847E-2</v>
      </c>
      <c r="BN34" s="22">
        <v>1</v>
      </c>
      <c r="BO34" s="24">
        <v>0</v>
      </c>
      <c r="BP34" s="52">
        <v>0</v>
      </c>
      <c r="BQ34" s="22">
        <v>2</v>
      </c>
      <c r="BR34" s="24">
        <v>0</v>
      </c>
      <c r="BS34" s="52">
        <v>0</v>
      </c>
    </row>
    <row r="35" spans="2:71" s="3" customFormat="1" x14ac:dyDescent="0.25">
      <c r="B35" s="19" t="s">
        <v>50</v>
      </c>
      <c r="C35" s="20">
        <f t="shared" si="0"/>
        <v>467</v>
      </c>
      <c r="D35" s="24">
        <f t="shared" si="0"/>
        <v>51</v>
      </c>
      <c r="E35" s="52">
        <f t="shared" si="1"/>
        <v>0.12259615384615374</v>
      </c>
      <c r="F35" s="20">
        <v>1</v>
      </c>
      <c r="G35" s="24">
        <v>0</v>
      </c>
      <c r="H35" s="52">
        <v>0</v>
      </c>
      <c r="I35" s="22">
        <v>0</v>
      </c>
      <c r="J35" s="24">
        <v>0</v>
      </c>
      <c r="K35" s="52" t="s">
        <v>103</v>
      </c>
      <c r="L35" s="22">
        <v>0</v>
      </c>
      <c r="M35" s="24">
        <v>0</v>
      </c>
      <c r="N35" s="52" t="s">
        <v>103</v>
      </c>
      <c r="O35" s="22">
        <v>0</v>
      </c>
      <c r="P35" s="24">
        <v>0</v>
      </c>
      <c r="Q35" s="52" t="s">
        <v>103</v>
      </c>
      <c r="R35" s="22">
        <v>0</v>
      </c>
      <c r="S35" s="24">
        <v>0</v>
      </c>
      <c r="T35" s="52" t="s">
        <v>103</v>
      </c>
      <c r="U35" s="22">
        <v>0</v>
      </c>
      <c r="V35" s="24">
        <v>0</v>
      </c>
      <c r="W35" s="52" t="s">
        <v>103</v>
      </c>
      <c r="X35" s="22">
        <v>0</v>
      </c>
      <c r="Y35" s="24">
        <v>0</v>
      </c>
      <c r="Z35" s="52" t="s">
        <v>103</v>
      </c>
      <c r="AA35" s="22">
        <v>0</v>
      </c>
      <c r="AB35" s="24">
        <v>0</v>
      </c>
      <c r="AC35" s="52" t="s">
        <v>103</v>
      </c>
      <c r="AD35" s="22">
        <v>1</v>
      </c>
      <c r="AE35" s="24">
        <v>0</v>
      </c>
      <c r="AF35" s="52">
        <v>0</v>
      </c>
      <c r="AG35" s="22">
        <v>1</v>
      </c>
      <c r="AH35" s="24">
        <v>0</v>
      </c>
      <c r="AI35" s="52">
        <v>0</v>
      </c>
      <c r="AJ35" s="22">
        <v>0</v>
      </c>
      <c r="AK35" s="24">
        <v>0</v>
      </c>
      <c r="AL35" s="52" t="s">
        <v>103</v>
      </c>
      <c r="AM35" s="22">
        <v>0</v>
      </c>
      <c r="AN35" s="24">
        <v>0</v>
      </c>
      <c r="AO35" s="52" t="s">
        <v>103</v>
      </c>
      <c r="AP35" s="22">
        <v>1</v>
      </c>
      <c r="AQ35" s="24">
        <v>0</v>
      </c>
      <c r="AR35" s="52">
        <v>0</v>
      </c>
      <c r="AS35" s="22">
        <v>0</v>
      </c>
      <c r="AT35" s="24">
        <v>0</v>
      </c>
      <c r="AU35" s="52" t="s">
        <v>103</v>
      </c>
      <c r="AV35" s="22">
        <v>0</v>
      </c>
      <c r="AW35" s="24">
        <v>0</v>
      </c>
      <c r="AX35" s="52" t="s">
        <v>103</v>
      </c>
      <c r="AY35" s="22">
        <v>0</v>
      </c>
      <c r="AZ35" s="24">
        <v>0</v>
      </c>
      <c r="BA35" s="52" t="s">
        <v>103</v>
      </c>
      <c r="BB35" s="22">
        <v>0</v>
      </c>
      <c r="BC35" s="24">
        <v>0</v>
      </c>
      <c r="BD35" s="52" t="s">
        <v>103</v>
      </c>
      <c r="BE35" s="22">
        <v>0</v>
      </c>
      <c r="BF35" s="24">
        <v>0</v>
      </c>
      <c r="BG35" s="52" t="s">
        <v>103</v>
      </c>
      <c r="BH35" s="22">
        <v>0</v>
      </c>
      <c r="BI35" s="24">
        <v>0</v>
      </c>
      <c r="BJ35" s="52" t="s">
        <v>103</v>
      </c>
      <c r="BK35" s="22">
        <v>460</v>
      </c>
      <c r="BL35" s="24">
        <v>51</v>
      </c>
      <c r="BM35" s="52">
        <v>0.12469437652811743</v>
      </c>
      <c r="BN35" s="22">
        <v>0</v>
      </c>
      <c r="BO35" s="24">
        <v>0</v>
      </c>
      <c r="BP35" s="52" t="s">
        <v>103</v>
      </c>
      <c r="BQ35" s="22">
        <v>5</v>
      </c>
      <c r="BR35" s="24">
        <v>0</v>
      </c>
      <c r="BS35" s="52">
        <v>0</v>
      </c>
    </row>
    <row r="36" spans="2:71" s="3" customFormat="1" x14ac:dyDescent="0.25">
      <c r="B36" s="19" t="s">
        <v>94</v>
      </c>
      <c r="C36" s="20">
        <f t="shared" si="0"/>
        <v>73</v>
      </c>
      <c r="D36" s="24">
        <f t="shared" si="0"/>
        <v>7</v>
      </c>
      <c r="E36" s="52">
        <f t="shared" si="1"/>
        <v>0.10606060606060597</v>
      </c>
      <c r="F36" s="20">
        <v>0</v>
      </c>
      <c r="G36" s="24">
        <v>0</v>
      </c>
      <c r="H36" s="52" t="s">
        <v>103</v>
      </c>
      <c r="I36" s="22">
        <v>0</v>
      </c>
      <c r="J36" s="24">
        <v>0</v>
      </c>
      <c r="K36" s="52" t="s">
        <v>103</v>
      </c>
      <c r="L36" s="22">
        <v>0</v>
      </c>
      <c r="M36" s="24">
        <v>0</v>
      </c>
      <c r="N36" s="52" t="s">
        <v>103</v>
      </c>
      <c r="O36" s="22">
        <v>0</v>
      </c>
      <c r="P36" s="24">
        <v>0</v>
      </c>
      <c r="Q36" s="52" t="s">
        <v>103</v>
      </c>
      <c r="R36" s="22">
        <v>0</v>
      </c>
      <c r="S36" s="24">
        <v>0</v>
      </c>
      <c r="T36" s="52" t="s">
        <v>103</v>
      </c>
      <c r="U36" s="22">
        <v>0</v>
      </c>
      <c r="V36" s="24">
        <v>0</v>
      </c>
      <c r="W36" s="52" t="s">
        <v>103</v>
      </c>
      <c r="X36" s="22">
        <v>0</v>
      </c>
      <c r="Y36" s="24">
        <v>0</v>
      </c>
      <c r="Z36" s="52" t="s">
        <v>103</v>
      </c>
      <c r="AA36" s="22">
        <v>0</v>
      </c>
      <c r="AB36" s="24">
        <v>0</v>
      </c>
      <c r="AC36" s="52" t="s">
        <v>103</v>
      </c>
      <c r="AD36" s="22">
        <v>0</v>
      </c>
      <c r="AE36" s="24">
        <v>0</v>
      </c>
      <c r="AF36" s="52" t="s">
        <v>103</v>
      </c>
      <c r="AG36" s="22">
        <v>1</v>
      </c>
      <c r="AH36" s="24">
        <v>0</v>
      </c>
      <c r="AI36" s="52">
        <v>0</v>
      </c>
      <c r="AJ36" s="22">
        <v>0</v>
      </c>
      <c r="AK36" s="24">
        <v>0</v>
      </c>
      <c r="AL36" s="52" t="s">
        <v>103</v>
      </c>
      <c r="AM36" s="22">
        <v>0</v>
      </c>
      <c r="AN36" s="24">
        <v>0</v>
      </c>
      <c r="AO36" s="52" t="s">
        <v>103</v>
      </c>
      <c r="AP36" s="22">
        <v>0</v>
      </c>
      <c r="AQ36" s="24">
        <v>0</v>
      </c>
      <c r="AR36" s="52" t="s">
        <v>103</v>
      </c>
      <c r="AS36" s="22">
        <v>0</v>
      </c>
      <c r="AT36" s="24">
        <v>0</v>
      </c>
      <c r="AU36" s="52" t="s">
        <v>103</v>
      </c>
      <c r="AV36" s="22">
        <v>0</v>
      </c>
      <c r="AW36" s="24">
        <v>0</v>
      </c>
      <c r="AX36" s="52" t="s">
        <v>103</v>
      </c>
      <c r="AY36" s="22">
        <v>0</v>
      </c>
      <c r="AZ36" s="24">
        <v>0</v>
      </c>
      <c r="BA36" s="52" t="s">
        <v>103</v>
      </c>
      <c r="BB36" s="22">
        <v>0</v>
      </c>
      <c r="BC36" s="24">
        <v>0</v>
      </c>
      <c r="BD36" s="52" t="s">
        <v>103</v>
      </c>
      <c r="BE36" s="22">
        <v>1</v>
      </c>
      <c r="BF36" s="24">
        <v>0</v>
      </c>
      <c r="BG36" s="52">
        <v>0</v>
      </c>
      <c r="BH36" s="22">
        <v>0</v>
      </c>
      <c r="BI36" s="24">
        <v>0</v>
      </c>
      <c r="BJ36" s="52" t="s">
        <v>103</v>
      </c>
      <c r="BK36" s="22">
        <v>68</v>
      </c>
      <c r="BL36" s="24">
        <v>7</v>
      </c>
      <c r="BM36" s="52">
        <v>0.11475409836065564</v>
      </c>
      <c r="BN36" s="22">
        <v>1</v>
      </c>
      <c r="BO36" s="24">
        <v>0</v>
      </c>
      <c r="BP36" s="52">
        <v>0</v>
      </c>
      <c r="BQ36" s="22">
        <v>3</v>
      </c>
      <c r="BR36" s="24">
        <v>0</v>
      </c>
      <c r="BS36" s="52" t="s">
        <v>103</v>
      </c>
    </row>
    <row r="37" spans="2:71" s="3" customFormat="1" x14ac:dyDescent="0.25">
      <c r="B37" s="19" t="s">
        <v>52</v>
      </c>
      <c r="C37" s="20">
        <f t="shared" si="0"/>
        <v>94</v>
      </c>
      <c r="D37" s="24">
        <f t="shared" si="0"/>
        <v>11</v>
      </c>
      <c r="E37" s="52">
        <f t="shared" si="1"/>
        <v>0.1325301204819278</v>
      </c>
      <c r="F37" s="20">
        <v>1</v>
      </c>
      <c r="G37" s="24">
        <v>0</v>
      </c>
      <c r="H37" s="52">
        <v>0</v>
      </c>
      <c r="I37" s="22">
        <v>0</v>
      </c>
      <c r="J37" s="24">
        <v>0</v>
      </c>
      <c r="K37" s="52" t="s">
        <v>103</v>
      </c>
      <c r="L37" s="22">
        <v>0</v>
      </c>
      <c r="M37" s="24">
        <v>0</v>
      </c>
      <c r="N37" s="52" t="s">
        <v>103</v>
      </c>
      <c r="O37" s="22">
        <v>0</v>
      </c>
      <c r="P37" s="24">
        <v>0</v>
      </c>
      <c r="Q37" s="52" t="s">
        <v>103</v>
      </c>
      <c r="R37" s="22">
        <v>0</v>
      </c>
      <c r="S37" s="24">
        <v>0</v>
      </c>
      <c r="T37" s="52" t="s">
        <v>103</v>
      </c>
      <c r="U37" s="22">
        <v>0</v>
      </c>
      <c r="V37" s="24">
        <v>0</v>
      </c>
      <c r="W37" s="52" t="s">
        <v>103</v>
      </c>
      <c r="X37" s="22">
        <v>0</v>
      </c>
      <c r="Y37" s="24">
        <v>0</v>
      </c>
      <c r="Z37" s="52" t="s">
        <v>103</v>
      </c>
      <c r="AA37" s="22">
        <v>0</v>
      </c>
      <c r="AB37" s="24">
        <v>0</v>
      </c>
      <c r="AC37" s="52" t="s">
        <v>103</v>
      </c>
      <c r="AD37" s="22">
        <v>1</v>
      </c>
      <c r="AE37" s="24">
        <v>0</v>
      </c>
      <c r="AF37" s="52">
        <v>0</v>
      </c>
      <c r="AG37" s="22">
        <v>3</v>
      </c>
      <c r="AH37" s="24">
        <v>0</v>
      </c>
      <c r="AI37" s="52">
        <v>0</v>
      </c>
      <c r="AJ37" s="22">
        <v>0</v>
      </c>
      <c r="AK37" s="24">
        <v>0</v>
      </c>
      <c r="AL37" s="52" t="s">
        <v>103</v>
      </c>
      <c r="AM37" s="22">
        <v>0</v>
      </c>
      <c r="AN37" s="24">
        <v>0</v>
      </c>
      <c r="AO37" s="52" t="s">
        <v>103</v>
      </c>
      <c r="AP37" s="22">
        <v>0</v>
      </c>
      <c r="AQ37" s="24">
        <v>0</v>
      </c>
      <c r="AR37" s="52" t="s">
        <v>103</v>
      </c>
      <c r="AS37" s="22">
        <v>0</v>
      </c>
      <c r="AT37" s="24">
        <v>0</v>
      </c>
      <c r="AU37" s="52" t="s">
        <v>103</v>
      </c>
      <c r="AV37" s="22">
        <v>0</v>
      </c>
      <c r="AW37" s="24">
        <v>0</v>
      </c>
      <c r="AX37" s="52" t="s">
        <v>103</v>
      </c>
      <c r="AY37" s="22">
        <v>0</v>
      </c>
      <c r="AZ37" s="24">
        <v>0</v>
      </c>
      <c r="BA37" s="52" t="s">
        <v>103</v>
      </c>
      <c r="BB37" s="22">
        <v>0</v>
      </c>
      <c r="BC37" s="24">
        <v>0</v>
      </c>
      <c r="BD37" s="52" t="s">
        <v>103</v>
      </c>
      <c r="BE37" s="22">
        <v>2</v>
      </c>
      <c r="BF37" s="24">
        <v>0</v>
      </c>
      <c r="BG37" s="52">
        <v>0</v>
      </c>
      <c r="BH37" s="22">
        <v>1</v>
      </c>
      <c r="BI37" s="24">
        <v>0</v>
      </c>
      <c r="BJ37" s="52">
        <v>0</v>
      </c>
      <c r="BK37" s="22">
        <v>87</v>
      </c>
      <c r="BL37" s="24">
        <v>11</v>
      </c>
      <c r="BM37" s="52">
        <v>0.14473684210526305</v>
      </c>
      <c r="BN37" s="22">
        <v>0</v>
      </c>
      <c r="BO37" s="24">
        <v>0</v>
      </c>
      <c r="BP37" s="52" t="s">
        <v>103</v>
      </c>
      <c r="BQ37" s="22">
        <v>3</v>
      </c>
      <c r="BR37" s="24">
        <v>0</v>
      </c>
      <c r="BS37" s="52">
        <v>0</v>
      </c>
    </row>
    <row r="38" spans="2:71" s="3" customFormat="1" x14ac:dyDescent="0.25">
      <c r="B38" s="19" t="s">
        <v>53</v>
      </c>
      <c r="C38" s="20">
        <f t="shared" si="0"/>
        <v>81</v>
      </c>
      <c r="D38" s="24">
        <f t="shared" si="0"/>
        <v>11</v>
      </c>
      <c r="E38" s="52">
        <f t="shared" si="1"/>
        <v>0.15714285714285725</v>
      </c>
      <c r="F38" s="20">
        <v>0</v>
      </c>
      <c r="G38" s="24">
        <v>0</v>
      </c>
      <c r="H38" s="52" t="s">
        <v>103</v>
      </c>
      <c r="I38" s="22">
        <v>0</v>
      </c>
      <c r="J38" s="24">
        <v>0</v>
      </c>
      <c r="K38" s="52" t="s">
        <v>103</v>
      </c>
      <c r="L38" s="22">
        <v>0</v>
      </c>
      <c r="M38" s="24">
        <v>0</v>
      </c>
      <c r="N38" s="52" t="s">
        <v>103</v>
      </c>
      <c r="O38" s="22">
        <v>0</v>
      </c>
      <c r="P38" s="24">
        <v>0</v>
      </c>
      <c r="Q38" s="52" t="s">
        <v>103</v>
      </c>
      <c r="R38" s="22">
        <v>0</v>
      </c>
      <c r="S38" s="24">
        <v>0</v>
      </c>
      <c r="T38" s="52" t="s">
        <v>103</v>
      </c>
      <c r="U38" s="22">
        <v>0</v>
      </c>
      <c r="V38" s="24">
        <v>0</v>
      </c>
      <c r="W38" s="52" t="s">
        <v>103</v>
      </c>
      <c r="X38" s="22">
        <v>0</v>
      </c>
      <c r="Y38" s="24">
        <v>0</v>
      </c>
      <c r="Z38" s="52" t="s">
        <v>103</v>
      </c>
      <c r="AA38" s="22">
        <v>0</v>
      </c>
      <c r="AB38" s="24">
        <v>0</v>
      </c>
      <c r="AC38" s="52" t="s">
        <v>103</v>
      </c>
      <c r="AD38" s="22">
        <v>0</v>
      </c>
      <c r="AE38" s="24">
        <v>0</v>
      </c>
      <c r="AF38" s="52" t="s">
        <v>103</v>
      </c>
      <c r="AG38" s="22">
        <v>0</v>
      </c>
      <c r="AH38" s="24">
        <v>0</v>
      </c>
      <c r="AI38" s="52" t="s">
        <v>103</v>
      </c>
      <c r="AJ38" s="22">
        <v>0</v>
      </c>
      <c r="AK38" s="24">
        <v>0</v>
      </c>
      <c r="AL38" s="52" t="s">
        <v>103</v>
      </c>
      <c r="AM38" s="22">
        <v>0</v>
      </c>
      <c r="AN38" s="24">
        <v>0</v>
      </c>
      <c r="AO38" s="52" t="s">
        <v>103</v>
      </c>
      <c r="AP38" s="22">
        <v>0</v>
      </c>
      <c r="AQ38" s="24">
        <v>0</v>
      </c>
      <c r="AR38" s="52" t="s">
        <v>103</v>
      </c>
      <c r="AS38" s="22">
        <v>0</v>
      </c>
      <c r="AT38" s="24">
        <v>0</v>
      </c>
      <c r="AU38" s="52" t="s">
        <v>103</v>
      </c>
      <c r="AV38" s="22">
        <v>0</v>
      </c>
      <c r="AW38" s="24">
        <v>0</v>
      </c>
      <c r="AX38" s="52" t="s">
        <v>103</v>
      </c>
      <c r="AY38" s="22">
        <v>0</v>
      </c>
      <c r="AZ38" s="24">
        <v>0</v>
      </c>
      <c r="BA38" s="52" t="s">
        <v>103</v>
      </c>
      <c r="BB38" s="22">
        <v>0</v>
      </c>
      <c r="BC38" s="24">
        <v>0</v>
      </c>
      <c r="BD38" s="52" t="s">
        <v>103</v>
      </c>
      <c r="BE38" s="22">
        <v>0</v>
      </c>
      <c r="BF38" s="24">
        <v>0</v>
      </c>
      <c r="BG38" s="52" t="s">
        <v>103</v>
      </c>
      <c r="BH38" s="22">
        <v>0</v>
      </c>
      <c r="BI38" s="24">
        <v>0</v>
      </c>
      <c r="BJ38" s="52" t="s">
        <v>103</v>
      </c>
      <c r="BK38" s="22">
        <v>80</v>
      </c>
      <c r="BL38" s="24">
        <v>11</v>
      </c>
      <c r="BM38" s="52">
        <v>0.15942028985507251</v>
      </c>
      <c r="BN38" s="22">
        <v>0</v>
      </c>
      <c r="BO38" s="24">
        <v>0</v>
      </c>
      <c r="BP38" s="52" t="s">
        <v>103</v>
      </c>
      <c r="BQ38" s="22">
        <v>1</v>
      </c>
      <c r="BR38" s="24">
        <v>0</v>
      </c>
      <c r="BS38" s="52">
        <v>0</v>
      </c>
    </row>
    <row r="39" spans="2:71" s="3" customFormat="1" x14ac:dyDescent="0.25">
      <c r="B39" s="19" t="s">
        <v>54</v>
      </c>
      <c r="C39" s="20">
        <f t="shared" si="0"/>
        <v>83</v>
      </c>
      <c r="D39" s="24">
        <f t="shared" si="0"/>
        <v>4</v>
      </c>
      <c r="E39" s="52">
        <f t="shared" si="1"/>
        <v>5.0632911392405111E-2</v>
      </c>
      <c r="F39" s="20">
        <v>4</v>
      </c>
      <c r="G39" s="24">
        <v>0</v>
      </c>
      <c r="H39" s="52">
        <v>0</v>
      </c>
      <c r="I39" s="22">
        <v>1</v>
      </c>
      <c r="J39" s="24">
        <v>0</v>
      </c>
      <c r="K39" s="52">
        <v>0</v>
      </c>
      <c r="L39" s="22">
        <v>1</v>
      </c>
      <c r="M39" s="24">
        <v>0</v>
      </c>
      <c r="N39" s="52">
        <v>0</v>
      </c>
      <c r="O39" s="22">
        <v>1</v>
      </c>
      <c r="P39" s="24">
        <v>0</v>
      </c>
      <c r="Q39" s="52">
        <v>0</v>
      </c>
      <c r="R39" s="22">
        <v>1</v>
      </c>
      <c r="S39" s="24">
        <v>0</v>
      </c>
      <c r="T39" s="52">
        <v>0</v>
      </c>
      <c r="U39" s="22">
        <v>0</v>
      </c>
      <c r="V39" s="24">
        <v>0</v>
      </c>
      <c r="W39" s="52" t="s">
        <v>103</v>
      </c>
      <c r="X39" s="22">
        <v>0</v>
      </c>
      <c r="Y39" s="24">
        <v>0</v>
      </c>
      <c r="Z39" s="52" t="s">
        <v>103</v>
      </c>
      <c r="AA39" s="22">
        <v>0</v>
      </c>
      <c r="AB39" s="24">
        <v>0</v>
      </c>
      <c r="AC39" s="52" t="s">
        <v>103</v>
      </c>
      <c r="AD39" s="22">
        <v>0</v>
      </c>
      <c r="AE39" s="24">
        <v>0</v>
      </c>
      <c r="AF39" s="52" t="s">
        <v>103</v>
      </c>
      <c r="AG39" s="22">
        <v>1</v>
      </c>
      <c r="AH39" s="24">
        <v>0</v>
      </c>
      <c r="AI39" s="52">
        <v>0</v>
      </c>
      <c r="AJ39" s="22">
        <v>0</v>
      </c>
      <c r="AK39" s="24">
        <v>0</v>
      </c>
      <c r="AL39" s="52" t="s">
        <v>103</v>
      </c>
      <c r="AM39" s="22">
        <v>0</v>
      </c>
      <c r="AN39" s="24">
        <v>0</v>
      </c>
      <c r="AO39" s="52" t="s">
        <v>103</v>
      </c>
      <c r="AP39" s="22">
        <v>0</v>
      </c>
      <c r="AQ39" s="24">
        <v>0</v>
      </c>
      <c r="AR39" s="52" t="s">
        <v>103</v>
      </c>
      <c r="AS39" s="22">
        <v>0</v>
      </c>
      <c r="AT39" s="24">
        <v>0</v>
      </c>
      <c r="AU39" s="52" t="s">
        <v>103</v>
      </c>
      <c r="AV39" s="22">
        <v>0</v>
      </c>
      <c r="AW39" s="24">
        <v>0</v>
      </c>
      <c r="AX39" s="52" t="s">
        <v>103</v>
      </c>
      <c r="AY39" s="22">
        <v>0</v>
      </c>
      <c r="AZ39" s="24">
        <v>0</v>
      </c>
      <c r="BA39" s="52" t="s">
        <v>103</v>
      </c>
      <c r="BB39" s="22">
        <v>0</v>
      </c>
      <c r="BC39" s="24">
        <v>0</v>
      </c>
      <c r="BD39" s="52" t="s">
        <v>103</v>
      </c>
      <c r="BE39" s="22">
        <v>0</v>
      </c>
      <c r="BF39" s="24">
        <v>0</v>
      </c>
      <c r="BG39" s="52" t="s">
        <v>103</v>
      </c>
      <c r="BH39" s="22">
        <v>1</v>
      </c>
      <c r="BI39" s="24">
        <v>0</v>
      </c>
      <c r="BJ39" s="52">
        <v>0</v>
      </c>
      <c r="BK39" s="22">
        <v>76</v>
      </c>
      <c r="BL39" s="24">
        <v>4</v>
      </c>
      <c r="BM39" s="52">
        <v>5.555555555555558E-2</v>
      </c>
      <c r="BN39" s="22">
        <v>1</v>
      </c>
      <c r="BO39" s="24">
        <v>0</v>
      </c>
      <c r="BP39" s="52">
        <v>0</v>
      </c>
      <c r="BQ39" s="22">
        <v>1</v>
      </c>
      <c r="BR39" s="24">
        <v>0</v>
      </c>
      <c r="BS39" s="52">
        <v>0</v>
      </c>
    </row>
    <row r="40" spans="2:71" s="3" customFormat="1" ht="13.5" customHeight="1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52"/>
      <c r="L40" s="27"/>
      <c r="M40" s="27"/>
      <c r="N40" s="52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52"/>
      <c r="BN40" s="27"/>
      <c r="BO40" s="27"/>
      <c r="BP40" s="27"/>
      <c r="BQ40" s="27"/>
      <c r="BR40" s="27"/>
      <c r="BS40" s="27"/>
    </row>
    <row r="41" spans="2:71" s="3" customFormat="1" ht="29.25" customHeight="1" x14ac:dyDescent="0.25">
      <c r="B41" s="120" t="s">
        <v>55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29"/>
      <c r="Z41" s="54"/>
      <c r="AA41" s="54"/>
      <c r="AB41" s="29"/>
      <c r="AC41" s="54"/>
      <c r="AD41" s="54"/>
      <c r="AE41" s="29"/>
      <c r="AF41" s="54"/>
      <c r="AG41" s="54"/>
      <c r="AH41" s="29"/>
      <c r="AI41" s="54"/>
      <c r="AJ41" s="54"/>
      <c r="AK41" s="29"/>
      <c r="AL41" s="54"/>
      <c r="AM41" s="54"/>
      <c r="AN41" s="29"/>
      <c r="AO41" s="54"/>
      <c r="AP41" s="54"/>
      <c r="AQ41" s="29"/>
      <c r="AR41" s="54"/>
      <c r="AS41" s="54"/>
      <c r="AT41" s="29"/>
      <c r="AU41" s="54"/>
      <c r="AV41" s="54"/>
      <c r="AW41" s="29"/>
      <c r="AX41" s="54"/>
      <c r="AY41" s="54"/>
      <c r="AZ41" s="29"/>
      <c r="BA41" s="54"/>
      <c r="BB41" s="54"/>
      <c r="BC41" s="29"/>
      <c r="BD41" s="54"/>
      <c r="BE41" s="54"/>
      <c r="BF41" s="29"/>
      <c r="BG41" s="54"/>
      <c r="BH41" s="54"/>
      <c r="BI41" s="29"/>
      <c r="BJ41" s="54"/>
      <c r="BK41" s="54"/>
      <c r="BL41" s="29"/>
      <c r="BM41" s="54"/>
      <c r="BN41" s="54"/>
      <c r="BO41" s="29"/>
      <c r="BP41" s="54"/>
      <c r="BQ41" s="54"/>
      <c r="BR41" s="29"/>
      <c r="BS41" s="54"/>
    </row>
    <row r="42" spans="2:71" s="3" customFormat="1" x14ac:dyDescent="0.25"/>
    <row r="43" spans="2:71" x14ac:dyDescent="0.25">
      <c r="B43" t="s">
        <v>56</v>
      </c>
      <c r="C43" s="30">
        <f>SUM(C9:C12,C14:C15,C17,C19,C20,C27,C29,C32,C39)</f>
        <v>22020</v>
      </c>
      <c r="D43" s="30"/>
      <c r="E43" s="21"/>
      <c r="F43" s="30">
        <f>SUM(F9:F12,F14:F15,F17,F19,F20,F27,F29,F32,F39)</f>
        <v>153</v>
      </c>
      <c r="G43" s="30"/>
      <c r="H43" s="21"/>
      <c r="I43" s="30">
        <f>SUM(I9:I12,I14:I15,I17,I19,I20,I27,I29,I32,I39)</f>
        <v>23</v>
      </c>
      <c r="J43" s="30"/>
      <c r="K43" s="21"/>
      <c r="L43" s="30">
        <f>SUM(L9:L12,L14:L15,L17,L19,L20,L27,L29,L32,L39)</f>
        <v>9</v>
      </c>
      <c r="M43" s="30"/>
      <c r="N43" s="21"/>
      <c r="O43" s="30">
        <f>SUM(O9:O12,O14:O15,O17,O19,O20,O27,O29,O32,O39)</f>
        <v>23</v>
      </c>
      <c r="P43" s="30"/>
      <c r="Q43" s="21"/>
      <c r="R43" s="30">
        <f>SUM(R9:R12,R14:R15,R17,R19,R20,R27,R29,R32,R39)</f>
        <v>67</v>
      </c>
      <c r="S43" s="30"/>
      <c r="T43" s="21"/>
      <c r="U43" s="30">
        <f>SUM(U9:U12,U14:U15,U17,U19,U20,U27,U29,U32,U39)</f>
        <v>17</v>
      </c>
      <c r="V43" s="30"/>
      <c r="W43" s="21"/>
      <c r="X43" s="30">
        <f>SUM(X9:X12,X14:X15,X17,X19,X20,X27,X29,X32,X39)</f>
        <v>3</v>
      </c>
      <c r="Y43" s="30"/>
      <c r="Z43" s="21"/>
      <c r="AA43" s="30">
        <f>SUM(AA9:AA12,AA14:AA15,AA17,AA19,AA20,AA27,AA29,AA32,AA39)</f>
        <v>8</v>
      </c>
      <c r="AB43" s="30"/>
      <c r="AC43" s="21"/>
      <c r="AD43" s="30">
        <f>SUM(AD9:AD12,AD14:AD15,AD17,AD19,AD20,AD27,AD29,AD32,AD39)</f>
        <v>3</v>
      </c>
      <c r="AE43" s="30"/>
      <c r="AF43" s="21"/>
      <c r="AG43" s="30">
        <f>SUM(AG9:AG12,AG14:AG15,AG17,AG19,AG20,AG27,AG29,AG32,AG39)</f>
        <v>170</v>
      </c>
      <c r="AH43" s="30"/>
      <c r="AI43" s="21"/>
      <c r="AJ43" s="30">
        <f>SUM(AJ9:AJ12,AJ14:AJ15,AJ17,AJ19,AJ20,AJ27,AJ29,AJ32,AJ39)</f>
        <v>40</v>
      </c>
      <c r="AK43" s="30"/>
      <c r="AL43" s="21"/>
      <c r="AM43" s="30">
        <f>SUM(AM9:AM12,AM14:AM15,AM17,AM19,AM20,AM27,AM29,AM32,AM39)</f>
        <v>45</v>
      </c>
      <c r="AN43" s="30"/>
      <c r="AO43" s="21"/>
      <c r="AP43" s="30">
        <f>SUM(AP9:AP12,AP14:AP15,AP17,AP19,AP20,AP27,AP29,AP32,AP39)</f>
        <v>31</v>
      </c>
      <c r="AQ43" s="30"/>
      <c r="AR43" s="21"/>
      <c r="AS43" s="30">
        <f>SUM(AS9:AS12,AS14:AS15,AS17,AS19,AS20,AS27,AS29,AS32,AS39)</f>
        <v>1</v>
      </c>
      <c r="AT43" s="30"/>
      <c r="AU43" s="21"/>
      <c r="AV43" s="30">
        <f>SUM(AV9:AV12,AV14:AV15,AV17,AV19,AV20,AV27,AV29,AV32,AV39)</f>
        <v>22</v>
      </c>
      <c r="AW43" s="30"/>
      <c r="AX43" s="21"/>
      <c r="AY43" s="30">
        <f>SUM(AY9:AY12,AY14:AY15,AY17,AY19,AY20,AY27,AY29,AY32,AY39)</f>
        <v>5</v>
      </c>
      <c r="AZ43" s="30"/>
      <c r="BA43" s="21"/>
      <c r="BB43" s="30">
        <f>SUM(BB9:BB12,BB14:BB15,BB17,BB19,BB20,BB27,BB29,BB32,BB39)</f>
        <v>5</v>
      </c>
      <c r="BC43" s="30"/>
      <c r="BD43" s="21"/>
      <c r="BE43" s="30">
        <f>SUM(BE9:BE12,BE14:BE15,BE17,BE19,BE20,BE27,BE29,BE32,BE39)</f>
        <v>9</v>
      </c>
      <c r="BF43" s="30"/>
      <c r="BG43" s="21"/>
      <c r="BH43" s="30">
        <f>SUM(BH9:BH12,BH14:BH15,BH17,BH19,BH20,BH27,BH29,BH32,BH39)</f>
        <v>12</v>
      </c>
      <c r="BI43" s="30"/>
      <c r="BJ43" s="21"/>
      <c r="BK43" s="30">
        <v>21620</v>
      </c>
      <c r="BL43" s="30"/>
      <c r="BM43" s="21"/>
      <c r="BN43" s="30">
        <f>SUM(BN9:BN12,BN14:BN15,BN17,BN19,BN20,BN27,BN29,BN32,BN39)</f>
        <v>13</v>
      </c>
      <c r="BO43" s="30"/>
      <c r="BP43" s="21"/>
      <c r="BQ43" s="30">
        <f>SUM(BQ9:BQ12,BQ14:BQ15,BQ17,BQ19,BQ20,BQ27,BQ29,BQ32,BQ39)</f>
        <v>64</v>
      </c>
      <c r="BR43" s="30"/>
      <c r="BS43" s="21"/>
    </row>
    <row r="44" spans="2:71" x14ac:dyDescent="0.25">
      <c r="B44" t="s">
        <v>57</v>
      </c>
      <c r="C44" s="30">
        <f>SUM(C13,C16,C18,C21,C23,C24:C26,C28,C31,C33,C34,C36,C38)</f>
        <v>5450</v>
      </c>
      <c r="D44" s="30"/>
      <c r="E44" s="21"/>
      <c r="F44" s="30">
        <f>SUM(F13,F16,F18,F21,F23,F24:F26,F28,F31,F33,F34,F36,F38)</f>
        <v>82</v>
      </c>
      <c r="G44" s="30"/>
      <c r="H44" s="21"/>
      <c r="I44" s="30">
        <f>SUM(I13,I16,I18,I21,I23,I24:I26,I28,I31,I33,I34,I36,I38)</f>
        <v>6</v>
      </c>
      <c r="J44" s="30"/>
      <c r="K44" s="21"/>
      <c r="L44" s="30">
        <f>SUM(L13,L16,L18,L21,L23,L24:L26,L28,L31,L33,L34,L36,L38)</f>
        <v>13</v>
      </c>
      <c r="M44" s="30"/>
      <c r="N44" s="21"/>
      <c r="O44" s="30">
        <f>SUM(O13,O16,O18,O21,O23,O24:O26,O28,O31,O33,O34,O36,O38)</f>
        <v>21</v>
      </c>
      <c r="P44" s="30"/>
      <c r="Q44" s="21"/>
      <c r="R44" s="30">
        <f>SUM(R13,R16,R18,R21,R23,R24:R26,R28,R31,R33,R34,R36,R38)</f>
        <v>34</v>
      </c>
      <c r="S44" s="30"/>
      <c r="T44" s="21"/>
      <c r="U44" s="30">
        <f>SUM(U13,U16,U18,U21,U23,U24:U26,U28,U31,U33,U34,U36,U38)</f>
        <v>2</v>
      </c>
      <c r="V44" s="30"/>
      <c r="W44" s="21"/>
      <c r="X44" s="30">
        <f>SUM(X13,X16,X18,X21,X23,X24:X26,X28,X31,X33,X34,X36,X38)</f>
        <v>1</v>
      </c>
      <c r="Y44" s="30"/>
      <c r="Z44" s="21"/>
      <c r="AA44" s="30">
        <f>SUM(AA13,AA16,AA18,AA21,AA23,AA24:AA26,AA28,AA31,AA33,AA34,AA36,AA38)</f>
        <v>1</v>
      </c>
      <c r="AB44" s="30"/>
      <c r="AC44" s="21"/>
      <c r="AD44" s="30">
        <f>SUM(AD13,AD16,AD18,AD21,AD23,AD24:AD26,AD28,AD31,AD33,AD34,AD36,AD38)</f>
        <v>4</v>
      </c>
      <c r="AE44" s="30"/>
      <c r="AF44" s="21"/>
      <c r="AG44" s="30">
        <f>SUM(AG13,AG16,AG18,AG21,AG23,AG24:AG26,AG28,AG31,AG33,AG34,AG36,AG38)</f>
        <v>46</v>
      </c>
      <c r="AH44" s="30"/>
      <c r="AI44" s="21"/>
      <c r="AJ44" s="30">
        <f>SUM(AJ13,AJ16,AJ18,AJ21,AJ23,AJ24:AJ26,AJ28,AJ31,AJ33,AJ34,AJ36,AJ38)</f>
        <v>4</v>
      </c>
      <c r="AK44" s="30"/>
      <c r="AL44" s="21"/>
      <c r="AM44" s="30">
        <f>SUM(AM13,AM16,AM18,AM21,AM23,AM24:AM26,AM28,AM31,AM33,AM34,AM36,AM38)</f>
        <v>5</v>
      </c>
      <c r="AN44" s="30"/>
      <c r="AO44" s="21"/>
      <c r="AP44" s="30">
        <f>SUM(AP13,AP16,AP18,AP21,AP23,AP24:AP26,AP28,AP31,AP33,AP34,AP36,AP38)</f>
        <v>9</v>
      </c>
      <c r="AQ44" s="30"/>
      <c r="AR44" s="21"/>
      <c r="AS44" s="30">
        <f>SUM(AS13,AS16,AS18,AS21,AS23,AS24:AS26,AS28,AS31,AS33,AS34,AS36,AS38)</f>
        <v>0</v>
      </c>
      <c r="AT44" s="30"/>
      <c r="AU44" s="21"/>
      <c r="AV44" s="30">
        <f>SUM(AV13,AV16,AV18,AV21,AV23,AV24:AV26,AV28,AV31,AV33,AV34,AV36,AV38)</f>
        <v>2</v>
      </c>
      <c r="AW44" s="30"/>
      <c r="AX44" s="21"/>
      <c r="AY44" s="30">
        <f>SUM(AY13,AY16,AY18,AY21,AY23,AY24:AY26,AY28,AY31,AY33,AY34,AY36,AY38)</f>
        <v>4</v>
      </c>
      <c r="AZ44" s="30"/>
      <c r="BA44" s="21"/>
      <c r="BB44" s="30">
        <f>SUM(BB13,BB16,BB18,BB21,BB23,BB24:BB26,BB28,BB31,BB33,BB34,BB36,BB38)</f>
        <v>0</v>
      </c>
      <c r="BC44" s="30"/>
      <c r="BD44" s="21"/>
      <c r="BE44" s="30">
        <f>SUM(BE13,BE16,BE18,BE21,BE23,BE24:BE26,BE28,BE31,BE33,BE34,BE36,BE38)</f>
        <v>19</v>
      </c>
      <c r="BF44" s="30"/>
      <c r="BG44" s="21"/>
      <c r="BH44" s="30">
        <f>SUM(BH13,BH16,BH18,BH21,BH23,BH24:BH26,BH28,BH31,BH33,BH34,BH36,BH38)</f>
        <v>3</v>
      </c>
      <c r="BI44" s="30"/>
      <c r="BJ44" s="21"/>
      <c r="BK44" s="30">
        <v>5232</v>
      </c>
      <c r="BL44" s="30"/>
      <c r="BM44" s="21"/>
      <c r="BN44" s="30">
        <f>SUM(BN13,BN16,BN18,BN21,BN23,BN24:BN26,BN28,BN31,BN33,BN34,BN36,BN38)</f>
        <v>10</v>
      </c>
      <c r="BO44" s="30"/>
      <c r="BP44" s="21"/>
      <c r="BQ44" s="30">
        <f>SUM(BQ13,BQ16,BQ18,BQ21,BQ23,BQ24:BQ26,BQ28,BQ31,BQ33,BQ34,BQ36,BQ38)</f>
        <v>80</v>
      </c>
      <c r="BR44" s="30"/>
      <c r="BS44" s="21"/>
    </row>
    <row r="45" spans="2:71" x14ac:dyDescent="0.25">
      <c r="B45" t="s">
        <v>58</v>
      </c>
      <c r="C45" s="30">
        <f>SUM(C22,C35,C37)</f>
        <v>1776</v>
      </c>
      <c r="D45" s="30"/>
      <c r="E45" s="21"/>
      <c r="F45" s="30">
        <f>SUM(F22,F35,F37)</f>
        <v>18</v>
      </c>
      <c r="G45" s="30"/>
      <c r="H45" s="21"/>
      <c r="I45" s="30">
        <f>SUM(I22,I35,I37)</f>
        <v>6</v>
      </c>
      <c r="J45" s="30"/>
      <c r="K45" s="21"/>
      <c r="L45" s="30">
        <f>SUM(L22,L35,L37)</f>
        <v>2</v>
      </c>
      <c r="M45" s="30"/>
      <c r="N45" s="21"/>
      <c r="O45" s="30">
        <f>SUM(O22,O35,O37)</f>
        <v>2</v>
      </c>
      <c r="P45" s="30"/>
      <c r="Q45" s="21"/>
      <c r="R45" s="30">
        <f>SUM(R22,R35,R37)</f>
        <v>3</v>
      </c>
      <c r="S45" s="30"/>
      <c r="T45" s="21"/>
      <c r="U45" s="30">
        <f>SUM(U22,U35,U37)</f>
        <v>0</v>
      </c>
      <c r="V45" s="30"/>
      <c r="W45" s="21"/>
      <c r="X45" s="30">
        <f>SUM(X22,X35,X37)</f>
        <v>0</v>
      </c>
      <c r="Y45" s="30"/>
      <c r="Z45" s="21"/>
      <c r="AA45" s="30">
        <f>SUM(AA22,AA35,AA37)</f>
        <v>0</v>
      </c>
      <c r="AB45" s="30"/>
      <c r="AC45" s="21"/>
      <c r="AD45" s="30">
        <f>SUM(AD22,AD35,AD37)</f>
        <v>3</v>
      </c>
      <c r="AE45" s="30"/>
      <c r="AF45" s="21"/>
      <c r="AG45" s="30">
        <f>SUM(AG22,AG35,AG37)</f>
        <v>11</v>
      </c>
      <c r="AH45" s="30"/>
      <c r="AI45" s="21"/>
      <c r="AJ45" s="30">
        <f>SUM(AJ22,AJ35,AJ37)</f>
        <v>1</v>
      </c>
      <c r="AK45" s="30"/>
      <c r="AL45" s="21"/>
      <c r="AM45" s="30">
        <f>SUM(AM22,AM35,AM37)</f>
        <v>0</v>
      </c>
      <c r="AN45" s="30"/>
      <c r="AO45" s="21"/>
      <c r="AP45" s="30">
        <f>SUM(AP22,AP35,AP37)</f>
        <v>1</v>
      </c>
      <c r="AQ45" s="30"/>
      <c r="AR45" s="21"/>
      <c r="AS45" s="30">
        <f>SUM(AS22,AS35,AS37)</f>
        <v>0</v>
      </c>
      <c r="AT45" s="30"/>
      <c r="AU45" s="21"/>
      <c r="AV45" s="30">
        <f>SUM(AV22,AV35,AV37)</f>
        <v>0</v>
      </c>
      <c r="AW45" s="30"/>
      <c r="AX45" s="21"/>
      <c r="AY45" s="30">
        <f>SUM(AY22,AY35,AY37)</f>
        <v>0</v>
      </c>
      <c r="AZ45" s="30"/>
      <c r="BA45" s="21"/>
      <c r="BB45" s="30">
        <f>SUM(BB22,BB35,BB37)</f>
        <v>0</v>
      </c>
      <c r="BC45" s="30"/>
      <c r="BD45" s="21"/>
      <c r="BE45" s="30">
        <f>SUM(BE22,BE35,BE37)</f>
        <v>7</v>
      </c>
      <c r="BF45" s="30"/>
      <c r="BG45" s="21"/>
      <c r="BH45" s="30">
        <f>SUM(BH22,BH35,BH37)</f>
        <v>2</v>
      </c>
      <c r="BI45" s="30"/>
      <c r="BJ45" s="21"/>
      <c r="BK45" s="30">
        <v>1726</v>
      </c>
      <c r="BL45" s="30"/>
      <c r="BM45" s="21"/>
      <c r="BN45" s="30">
        <f>SUM(BN22,BN35,BN37)</f>
        <v>1</v>
      </c>
      <c r="BO45" s="30"/>
      <c r="BP45" s="21"/>
      <c r="BQ45" s="30">
        <f>SUM(BQ22,BQ35,BQ37)</f>
        <v>20</v>
      </c>
      <c r="BR45" s="30"/>
      <c r="BS45" s="21"/>
    </row>
    <row r="46" spans="2:71" x14ac:dyDescent="0.25">
      <c r="B46" t="s">
        <v>59</v>
      </c>
      <c r="C46" s="30">
        <f>C30</f>
        <v>2394</v>
      </c>
      <c r="D46" s="30"/>
      <c r="E46" s="21"/>
      <c r="F46" s="30">
        <f>F30</f>
        <v>34</v>
      </c>
      <c r="G46" s="30"/>
      <c r="H46" s="21"/>
      <c r="I46" s="30">
        <f>I30</f>
        <v>8</v>
      </c>
      <c r="J46" s="30"/>
      <c r="K46" s="21"/>
      <c r="L46" s="30">
        <f>L30</f>
        <v>7</v>
      </c>
      <c r="M46" s="30"/>
      <c r="N46" s="21"/>
      <c r="O46" s="30">
        <f>O30</f>
        <v>6</v>
      </c>
      <c r="P46" s="30"/>
      <c r="Q46" s="21"/>
      <c r="R46" s="30">
        <f>R30</f>
        <v>8</v>
      </c>
      <c r="S46" s="30"/>
      <c r="T46" s="21"/>
      <c r="U46" s="30">
        <f>U30</f>
        <v>1</v>
      </c>
      <c r="V46" s="30"/>
      <c r="W46" s="21"/>
      <c r="X46" s="30">
        <f>X30</f>
        <v>0</v>
      </c>
      <c r="Y46" s="30"/>
      <c r="Z46" s="21"/>
      <c r="AA46" s="30">
        <f>AA30</f>
        <v>0</v>
      </c>
      <c r="AB46" s="30"/>
      <c r="AC46" s="21"/>
      <c r="AD46" s="30">
        <f>AD30</f>
        <v>1</v>
      </c>
      <c r="AE46" s="30"/>
      <c r="AF46" s="21"/>
      <c r="AG46" s="30">
        <f>AG30</f>
        <v>8</v>
      </c>
      <c r="AH46" s="30"/>
      <c r="AI46" s="21"/>
      <c r="AJ46" s="30">
        <f>AJ30</f>
        <v>0</v>
      </c>
      <c r="AK46" s="30"/>
      <c r="AL46" s="21"/>
      <c r="AM46" s="30">
        <f>AM30</f>
        <v>0</v>
      </c>
      <c r="AN46" s="30"/>
      <c r="AO46" s="21"/>
      <c r="AP46" s="30">
        <f>AP30</f>
        <v>0</v>
      </c>
      <c r="AQ46" s="30"/>
      <c r="AR46" s="21"/>
      <c r="AS46" s="30">
        <f>AS30</f>
        <v>0</v>
      </c>
      <c r="AT46" s="30"/>
      <c r="AU46" s="21"/>
      <c r="AV46" s="30">
        <f>AV30</f>
        <v>0</v>
      </c>
      <c r="AW46" s="30"/>
      <c r="AX46" s="21"/>
      <c r="AY46" s="30">
        <f>AY30</f>
        <v>0</v>
      </c>
      <c r="AZ46" s="30"/>
      <c r="BA46" s="21"/>
      <c r="BB46" s="30">
        <f>BB30</f>
        <v>0</v>
      </c>
      <c r="BC46" s="30"/>
      <c r="BD46" s="21"/>
      <c r="BE46" s="30">
        <f>BE30</f>
        <v>7</v>
      </c>
      <c r="BF46" s="30"/>
      <c r="BG46" s="21"/>
      <c r="BH46" s="30">
        <f>BH30</f>
        <v>1</v>
      </c>
      <c r="BI46" s="30"/>
      <c r="BJ46" s="21"/>
      <c r="BK46" s="30">
        <v>2349</v>
      </c>
      <c r="BL46" s="30"/>
      <c r="BM46" s="21"/>
      <c r="BN46" s="30">
        <f>BN30</f>
        <v>0</v>
      </c>
      <c r="BO46" s="30"/>
      <c r="BP46" s="21"/>
      <c r="BQ46" s="30">
        <f>BQ30</f>
        <v>3</v>
      </c>
      <c r="BR46" s="30"/>
      <c r="BS46" s="21"/>
    </row>
    <row r="50" spans="1:2" hidden="1" x14ac:dyDescent="0.25">
      <c r="A50" s="129" t="s">
        <v>95</v>
      </c>
      <c r="B50" s="19" t="s">
        <v>24</v>
      </c>
    </row>
    <row r="51" spans="1:2" hidden="1" x14ac:dyDescent="0.25">
      <c r="A51" s="129"/>
      <c r="B51" s="19" t="s">
        <v>25</v>
      </c>
    </row>
    <row r="52" spans="1:2" hidden="1" x14ac:dyDescent="0.25">
      <c r="A52" s="129"/>
      <c r="B52" s="19" t="s">
        <v>26</v>
      </c>
    </row>
    <row r="53" spans="1:2" hidden="1" x14ac:dyDescent="0.25">
      <c r="A53" s="129"/>
      <c r="B53" s="19" t="s">
        <v>27</v>
      </c>
    </row>
    <row r="54" spans="1:2" hidden="1" x14ac:dyDescent="0.25">
      <c r="A54" s="129"/>
      <c r="B54" s="19" t="s">
        <v>29</v>
      </c>
    </row>
    <row r="55" spans="1:2" hidden="1" x14ac:dyDescent="0.25">
      <c r="A55" s="129"/>
      <c r="B55" s="19" t="s">
        <v>30</v>
      </c>
    </row>
    <row r="56" spans="1:2" hidden="1" x14ac:dyDescent="0.25">
      <c r="A56" s="129"/>
      <c r="B56" s="19" t="s">
        <v>32</v>
      </c>
    </row>
    <row r="57" spans="1:2" hidden="1" x14ac:dyDescent="0.25">
      <c r="A57" s="129"/>
      <c r="B57" s="19" t="s">
        <v>34</v>
      </c>
    </row>
    <row r="58" spans="1:2" hidden="1" x14ac:dyDescent="0.25">
      <c r="A58" s="129"/>
      <c r="B58" s="19" t="s">
        <v>35</v>
      </c>
    </row>
    <row r="59" spans="1:2" hidden="1" x14ac:dyDescent="0.25">
      <c r="A59" s="129"/>
      <c r="B59" s="19" t="s">
        <v>42</v>
      </c>
    </row>
    <row r="60" spans="1:2" hidden="1" x14ac:dyDescent="0.25">
      <c r="A60" s="129"/>
      <c r="B60" s="19" t="s">
        <v>44</v>
      </c>
    </row>
    <row r="61" spans="1:2" hidden="1" x14ac:dyDescent="0.25">
      <c r="A61" s="129"/>
      <c r="B61" s="19" t="s">
        <v>47</v>
      </c>
    </row>
    <row r="62" spans="1:2" hidden="1" x14ac:dyDescent="0.25">
      <c r="A62" s="129"/>
      <c r="B62" s="19" t="s">
        <v>54</v>
      </c>
    </row>
    <row r="63" spans="1:2" hidden="1" x14ac:dyDescent="0.25"/>
    <row r="64" spans="1:2" hidden="1" x14ac:dyDescent="0.25"/>
    <row r="65" spans="1:2" hidden="1" x14ac:dyDescent="0.25">
      <c r="A65" s="129" t="s">
        <v>96</v>
      </c>
      <c r="B65" s="19" t="s">
        <v>28</v>
      </c>
    </row>
    <row r="66" spans="1:2" hidden="1" x14ac:dyDescent="0.25">
      <c r="A66" s="129"/>
      <c r="B66" s="19" t="s">
        <v>31</v>
      </c>
    </row>
    <row r="67" spans="1:2" hidden="1" x14ac:dyDescent="0.25">
      <c r="A67" s="129"/>
      <c r="B67" s="19" t="s">
        <v>33</v>
      </c>
    </row>
    <row r="68" spans="1:2" hidden="1" x14ac:dyDescent="0.25">
      <c r="A68" s="129"/>
      <c r="B68" s="19" t="s">
        <v>36</v>
      </c>
    </row>
    <row r="69" spans="1:2" hidden="1" x14ac:dyDescent="0.25">
      <c r="A69" s="129"/>
      <c r="B69" s="19" t="s">
        <v>38</v>
      </c>
    </row>
    <row r="70" spans="1:2" hidden="1" x14ac:dyDescent="0.25">
      <c r="A70" s="129"/>
      <c r="B70" s="19" t="s">
        <v>39</v>
      </c>
    </row>
    <row r="71" spans="1:2" hidden="1" x14ac:dyDescent="0.25">
      <c r="A71" s="129"/>
      <c r="B71" s="19" t="s">
        <v>40</v>
      </c>
    </row>
    <row r="72" spans="1:2" hidden="1" x14ac:dyDescent="0.25">
      <c r="A72" s="129"/>
      <c r="B72" s="19" t="s">
        <v>41</v>
      </c>
    </row>
    <row r="73" spans="1:2" hidden="1" x14ac:dyDescent="0.25">
      <c r="A73" s="129"/>
      <c r="B73" s="19" t="s">
        <v>43</v>
      </c>
    </row>
    <row r="74" spans="1:2" hidden="1" x14ac:dyDescent="0.25">
      <c r="A74" s="129"/>
      <c r="B74" s="19" t="s">
        <v>46</v>
      </c>
    </row>
    <row r="75" spans="1:2" hidden="1" x14ac:dyDescent="0.25">
      <c r="A75" s="129"/>
      <c r="B75" s="19" t="s">
        <v>48</v>
      </c>
    </row>
    <row r="76" spans="1:2" hidden="1" x14ac:dyDescent="0.25">
      <c r="A76" s="129"/>
      <c r="B76" s="19" t="s">
        <v>49</v>
      </c>
    </row>
    <row r="77" spans="1:2" hidden="1" x14ac:dyDescent="0.25">
      <c r="A77" s="129"/>
      <c r="B77" s="19" t="s">
        <v>51</v>
      </c>
    </row>
    <row r="78" spans="1:2" hidden="1" x14ac:dyDescent="0.25">
      <c r="A78" s="129"/>
      <c r="B78" s="19" t="s">
        <v>53</v>
      </c>
    </row>
    <row r="79" spans="1:2" hidden="1" x14ac:dyDescent="0.25"/>
    <row r="80" spans="1:2" hidden="1" x14ac:dyDescent="0.25">
      <c r="A80" s="128" t="s">
        <v>58</v>
      </c>
      <c r="B80" s="19" t="s">
        <v>37</v>
      </c>
    </row>
    <row r="81" spans="1:2" hidden="1" x14ac:dyDescent="0.25">
      <c r="A81" s="128"/>
      <c r="B81" s="19" t="s">
        <v>50</v>
      </c>
    </row>
    <row r="82" spans="1:2" hidden="1" x14ac:dyDescent="0.25">
      <c r="A82" s="128"/>
      <c r="B82" s="19" t="s">
        <v>52</v>
      </c>
    </row>
    <row r="83" spans="1:2" hidden="1" x14ac:dyDescent="0.25"/>
    <row r="84" spans="1:2" hidden="1" x14ac:dyDescent="0.25">
      <c r="A84" s="93" t="s">
        <v>97</v>
      </c>
      <c r="B84" s="19" t="s">
        <v>45</v>
      </c>
    </row>
    <row r="85" spans="1:2" hidden="1" x14ac:dyDescent="0.25"/>
  </sheetData>
  <mergeCells count="31">
    <mergeCell ref="A80:A82"/>
    <mergeCell ref="BH6:BJ6"/>
    <mergeCell ref="B41:X41"/>
    <mergeCell ref="A50:A62"/>
    <mergeCell ref="A65:A78"/>
    <mergeCell ref="AP6:AR6"/>
    <mergeCell ref="AS6:AU6"/>
    <mergeCell ref="AV6:AX6"/>
    <mergeCell ref="AY6:BA6"/>
    <mergeCell ref="BB6:BD6"/>
    <mergeCell ref="BE6:BG6"/>
    <mergeCell ref="BQ5:BS6"/>
    <mergeCell ref="B6:B7"/>
    <mergeCell ref="F6:H6"/>
    <mergeCell ref="I6:K6"/>
    <mergeCell ref="L6:N6"/>
    <mergeCell ref="O6:Q6"/>
    <mergeCell ref="R6:T6"/>
    <mergeCell ref="U6:W6"/>
    <mergeCell ref="X6:Z6"/>
    <mergeCell ref="AA6:AC6"/>
    <mergeCell ref="BN5:BP6"/>
    <mergeCell ref="B3:Z3"/>
    <mergeCell ref="C5:E6"/>
    <mergeCell ref="F5:AF5"/>
    <mergeCell ref="AG5:BJ5"/>
    <mergeCell ref="BK5:BM6"/>
    <mergeCell ref="AD6:AF6"/>
    <mergeCell ref="AG6:AI6"/>
    <mergeCell ref="AJ6:AL6"/>
    <mergeCell ref="AM6:AO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8FE1-CF76-4678-AEBB-C920B604B457}">
  <sheetPr>
    <tabColor rgb="FF92D050"/>
  </sheetPr>
  <dimension ref="A1:BG41"/>
  <sheetViews>
    <sheetView showGridLines="0" workbookViewId="0"/>
  </sheetViews>
  <sheetFormatPr baseColWidth="10" defaultRowHeight="15" x14ac:dyDescent="0.25"/>
  <cols>
    <col min="2" max="2" width="17.5703125" customWidth="1"/>
    <col min="3" max="3" width="28.5703125" customWidth="1"/>
    <col min="4" max="4" width="15.42578125" customWidth="1"/>
    <col min="5" max="5" width="14" customWidth="1"/>
    <col min="6" max="6" width="16.85546875" customWidth="1"/>
    <col min="7" max="7" width="11.140625" customWidth="1"/>
    <col min="8" max="8" width="10" customWidth="1"/>
    <col min="9" max="9" width="29.42578125" customWidth="1"/>
    <col min="10" max="10" width="25.5703125" bestFit="1" customWidth="1"/>
    <col min="11" max="11" width="24.42578125" customWidth="1"/>
    <col min="12" max="12" width="25.5703125" bestFit="1" customWidth="1"/>
    <col min="13" max="13" width="24.42578125" customWidth="1"/>
    <col min="14" max="14" width="30.140625" bestFit="1" customWidth="1"/>
    <col min="15" max="15" width="29" customWidth="1"/>
    <col min="16" max="16" width="30.5703125" bestFit="1" customWidth="1"/>
    <col min="17" max="17" width="29.42578125" customWidth="1"/>
    <col min="18" max="18" width="29.42578125" bestFit="1" customWidth="1"/>
  </cols>
  <sheetData>
    <row r="1" spans="3:59" ht="30" customHeight="1" x14ac:dyDescent="0.4">
      <c r="C1" s="69" t="s">
        <v>83</v>
      </c>
      <c r="D1" s="70" t="s">
        <v>23</v>
      </c>
    </row>
    <row r="3" spans="3:59" s="3" customFormat="1" ht="34.15" customHeight="1" x14ac:dyDescent="0.25">
      <c r="C3" s="126" t="str">
        <f>CONCATENATE("Establecimientos turísticos inscritos (1) en ",D1," según tipología y categoría del establecimiento
Distribución por categoría")</f>
        <v>Establecimientos turísticos inscritos (1) en Total Isla según tipología y categoría del establecimiento
Distribución por categoría</v>
      </c>
      <c r="D3" s="126"/>
      <c r="E3" s="126"/>
      <c r="F3" s="126"/>
      <c r="G3" s="126"/>
      <c r="H3" s="126"/>
    </row>
    <row r="4" spans="3:59" s="3" customFormat="1" ht="16.5" customHeight="1" thickBot="1" x14ac:dyDescent="0.3">
      <c r="C4" s="127" t="s">
        <v>104</v>
      </c>
      <c r="D4" s="127"/>
      <c r="E4" s="127"/>
      <c r="F4" s="72"/>
      <c r="G4" s="92"/>
      <c r="H4" s="92"/>
    </row>
    <row r="5" spans="3:59" ht="6" customHeight="1" x14ac:dyDescent="0.25">
      <c r="C5" s="73"/>
      <c r="D5" s="73"/>
      <c r="E5" s="73"/>
      <c r="F5" s="73"/>
      <c r="G5" s="73"/>
      <c r="H5" s="73"/>
    </row>
    <row r="6" spans="3:59" s="3" customFormat="1" ht="46.5" customHeight="1" x14ac:dyDescent="0.25">
      <c r="C6" s="12"/>
      <c r="D6" s="13" t="s">
        <v>80</v>
      </c>
      <c r="E6" s="14" t="s">
        <v>22</v>
      </c>
      <c r="F6" s="14" t="s">
        <v>84</v>
      </c>
      <c r="G6" s="74" t="s">
        <v>85</v>
      </c>
      <c r="H6" s="14" t="s">
        <v>86</v>
      </c>
    </row>
    <row r="7" spans="3:59" s="18" customFormat="1" ht="15.75" x14ac:dyDescent="0.25">
      <c r="C7" s="75" t="s">
        <v>13</v>
      </c>
      <c r="D7" s="76">
        <f>VLOOKUP($D$1,'estab aut municipio x tip y cat'!$B$8:$BS$39,5,FALSE)</f>
        <v>287</v>
      </c>
      <c r="E7" s="77">
        <f t="shared" ref="E7:E30" si="0">D7/$D$30</f>
        <v>9.070796460176991E-3</v>
      </c>
      <c r="F7" s="77">
        <f>D7/$D$28</f>
        <v>0.40252454417952316</v>
      </c>
      <c r="G7" s="76">
        <f>VLOOKUP($D$1,'estab aut municipio x tip y cat'!$B$8:$BS$39,5+1,FALSE)</f>
        <v>7</v>
      </c>
      <c r="H7" s="78">
        <f>VLOOKUP($D$1,'estab aut municipio x tip y cat'!$B$8:$BS$39,5+2,FALSE)</f>
        <v>2.4999999999999911E-2</v>
      </c>
    </row>
    <row r="8" spans="3:59" s="3" customFormat="1" x14ac:dyDescent="0.25">
      <c r="C8" s="79" t="s">
        <v>63</v>
      </c>
      <c r="D8" s="22">
        <f>VLOOKUP($D$1,'estab aut municipio x tip y cat'!$B$8:$BS$39,8,FALSE)</f>
        <v>43</v>
      </c>
      <c r="E8" s="21">
        <f t="shared" si="0"/>
        <v>1.3590391908975979E-3</v>
      </c>
      <c r="F8" s="21">
        <f t="shared" ref="F8:F28" si="1">D8/$D$28</f>
        <v>6.0308555399719493E-2</v>
      </c>
      <c r="G8" s="22">
        <f>VLOOKUP($D$1,'estab aut municipio x tip y cat'!$B$8:$BS$39,8+1,FALSE)</f>
        <v>0</v>
      </c>
      <c r="H8" s="94">
        <f>VLOOKUP($D$1,'estab aut municipio x tip y cat'!$B$8:$BS$39,8+2,FALSE)</f>
        <v>0</v>
      </c>
      <c r="I8"/>
      <c r="BG8" s="3">
        <v>98</v>
      </c>
    </row>
    <row r="9" spans="3:59" s="3" customFormat="1" x14ac:dyDescent="0.25">
      <c r="C9" s="79" t="s">
        <v>64</v>
      </c>
      <c r="D9" s="22">
        <f>VLOOKUP($D$1,'estab aut municipio x tip y cat'!$B$8:$BS$39,11,FALSE)</f>
        <v>31</v>
      </c>
      <c r="E9" s="21">
        <f t="shared" si="0"/>
        <v>9.7977243994943112E-4</v>
      </c>
      <c r="F9" s="21">
        <f t="shared" si="1"/>
        <v>4.3478260869565216E-2</v>
      </c>
      <c r="G9" s="22">
        <f>VLOOKUP($D$1,'estab aut municipio x tip y cat'!$B$8:$BS$39,11+1,FALSE)</f>
        <v>1</v>
      </c>
      <c r="H9" s="94">
        <f>VLOOKUP($D$1,'estab aut municipio x tip y cat'!$B$8:$BS$39,11+2,FALSE)</f>
        <v>3.3333333333333437E-2</v>
      </c>
      <c r="I9"/>
      <c r="BG9" s="3">
        <v>0</v>
      </c>
    </row>
    <row r="10" spans="3:59" s="3" customFormat="1" x14ac:dyDescent="0.25">
      <c r="C10" s="79" t="s">
        <v>65</v>
      </c>
      <c r="D10" s="22">
        <f>VLOOKUP($D$1,'estab aut municipio x tip y cat'!$B$8:$BS$39,14,FALSE)</f>
        <v>52</v>
      </c>
      <c r="E10" s="21">
        <f t="shared" si="0"/>
        <v>1.6434892541087231E-3</v>
      </c>
      <c r="F10" s="21">
        <f t="shared" si="1"/>
        <v>7.2931276297335201E-2</v>
      </c>
      <c r="G10" s="22">
        <f>VLOOKUP($D$1,'estab aut municipio x tip y cat'!$B$8:$BS$39,14+1,FALSE)</f>
        <v>-1</v>
      </c>
      <c r="H10" s="94">
        <f>VLOOKUP($D$1,'estab aut municipio x tip y cat'!$B$8:$BS$39,14+2,FALSE)</f>
        <v>-1.8867924528301883E-2</v>
      </c>
      <c r="I10"/>
      <c r="BG10" s="3">
        <v>0</v>
      </c>
    </row>
    <row r="11" spans="3:59" s="3" customFormat="1" x14ac:dyDescent="0.25">
      <c r="C11" s="79" t="s">
        <v>66</v>
      </c>
      <c r="D11" s="22">
        <f>VLOOKUP($D$1,'estab aut municipio x tip y cat'!$B$8:$BS$39,17,FALSE)</f>
        <v>112</v>
      </c>
      <c r="E11" s="21">
        <f t="shared" si="0"/>
        <v>3.5398230088495575E-3</v>
      </c>
      <c r="F11" s="21">
        <f t="shared" si="1"/>
        <v>0.15708274894810659</v>
      </c>
      <c r="G11" s="22">
        <f>VLOOKUP($D$1,'estab aut municipio x tip y cat'!$B$8:$BS$39,17+1,FALSE)</f>
        <v>0</v>
      </c>
      <c r="H11" s="94">
        <f>VLOOKUP($D$1,'estab aut municipio x tip y cat'!$B$8:$BS$39,17+2,FALSE)</f>
        <v>0</v>
      </c>
      <c r="I11"/>
      <c r="BG11" s="3">
        <v>0</v>
      </c>
    </row>
    <row r="12" spans="3:59" s="3" customFormat="1" x14ac:dyDescent="0.25">
      <c r="C12" s="79" t="s">
        <v>67</v>
      </c>
      <c r="D12" s="22">
        <f>VLOOKUP($D$1,'estab aut municipio x tip y cat'!$B$8:$BS$39,20,FALSE)</f>
        <v>20</v>
      </c>
      <c r="E12" s="21">
        <f t="shared" si="0"/>
        <v>6.3211125158027818E-4</v>
      </c>
      <c r="F12" s="21">
        <f t="shared" si="1"/>
        <v>2.8050490883590462E-2</v>
      </c>
      <c r="G12" s="22">
        <f>VLOOKUP($D$1,'estab aut municipio x tip y cat'!$B$8:$BS$39,20+1,FALSE)</f>
        <v>2</v>
      </c>
      <c r="H12" s="94">
        <f>VLOOKUP($D$1,'estab aut municipio x tip y cat'!$B$8:$BS$39,20+2,FALSE)</f>
        <v>0.11111111111111116</v>
      </c>
      <c r="I12"/>
      <c r="BG12" s="3">
        <v>0</v>
      </c>
    </row>
    <row r="13" spans="3:59" s="3" customFormat="1" x14ac:dyDescent="0.25">
      <c r="C13" s="79" t="s">
        <v>68</v>
      </c>
      <c r="D13" s="22">
        <f>VLOOKUP($D$1,'estab aut municipio x tip y cat'!$B$8:$BS$39,23,FALSE)</f>
        <v>4</v>
      </c>
      <c r="E13" s="21">
        <f t="shared" si="0"/>
        <v>1.2642225031605562E-4</v>
      </c>
      <c r="F13" s="21">
        <f t="shared" si="1"/>
        <v>5.6100981767180924E-3</v>
      </c>
      <c r="G13" s="22">
        <f>VLOOKUP($D$1,'estab aut municipio x tip y cat'!$B$8:$BS$39,23+1,FALSE)</f>
        <v>0</v>
      </c>
      <c r="H13" s="94">
        <f>VLOOKUP($D$1,'estab aut municipio x tip y cat'!$B$8:$BS$39,23+2,FALSE)</f>
        <v>0</v>
      </c>
      <c r="I13"/>
      <c r="BG13" s="3">
        <v>0</v>
      </c>
    </row>
    <row r="14" spans="3:59" s="3" customFormat="1" x14ac:dyDescent="0.25">
      <c r="C14" s="79" t="s">
        <v>69</v>
      </c>
      <c r="D14" s="22">
        <f>VLOOKUP($D$1,'estab aut municipio x tip y cat'!$B$8:$BS$39,26,FALSE)</f>
        <v>9</v>
      </c>
      <c r="E14" s="21">
        <f t="shared" si="0"/>
        <v>2.8445006321112514E-4</v>
      </c>
      <c r="F14" s="21">
        <f t="shared" si="1"/>
        <v>1.2622720897615708E-2</v>
      </c>
      <c r="G14" s="22">
        <f>VLOOKUP($D$1,'estab aut municipio x tip y cat'!$B$8:$BS$39,26+1,FALSE)</f>
        <v>0</v>
      </c>
      <c r="H14" s="94">
        <f>VLOOKUP($D$1,'estab aut municipio x tip y cat'!$B$8:$BS$39,26+2,FALSE)</f>
        <v>0</v>
      </c>
      <c r="I14"/>
      <c r="BG14" s="3">
        <v>0</v>
      </c>
    </row>
    <row r="15" spans="3:59" s="3" customFormat="1" x14ac:dyDescent="0.25">
      <c r="C15" s="81" t="s">
        <v>70</v>
      </c>
      <c r="D15" s="22">
        <f>VLOOKUP($D$1,'estab aut municipio x tip y cat'!$B$8:$BS$39,29,FALSE)</f>
        <v>11</v>
      </c>
      <c r="E15" s="21">
        <f t="shared" si="0"/>
        <v>3.4766118836915299E-4</v>
      </c>
      <c r="F15" s="21">
        <f t="shared" si="1"/>
        <v>1.5427769985974754E-2</v>
      </c>
      <c r="G15" s="22">
        <f>VLOOKUP($D$1,'estab aut municipio x tip y cat'!$B$8:$BS$39,29+1,FALSE)</f>
        <v>1</v>
      </c>
      <c r="H15" s="94">
        <f>VLOOKUP($D$1,'estab aut municipio x tip y cat'!$B$8:$BS$39,29+2,FALSE)</f>
        <v>0.10000000000000009</v>
      </c>
      <c r="I15"/>
      <c r="BG15" s="3">
        <v>0</v>
      </c>
    </row>
    <row r="16" spans="3:59" s="3" customFormat="1" x14ac:dyDescent="0.25">
      <c r="C16" s="75" t="s">
        <v>14</v>
      </c>
      <c r="D16" s="76">
        <f>VLOOKUP($D$1,'estab aut municipio x tip y cat'!$B$8:$BS$39,32,FALSE)</f>
        <v>235</v>
      </c>
      <c r="E16" s="77">
        <f t="shared" si="0"/>
        <v>7.4273072060682677E-3</v>
      </c>
      <c r="F16" s="77">
        <f t="shared" si="1"/>
        <v>0.32959326788218796</v>
      </c>
      <c r="G16" s="76">
        <f>VLOOKUP($D$1,'estab aut municipio x tip y cat'!$B$8:$BS$39,32+1,FALSE)</f>
        <v>-1</v>
      </c>
      <c r="H16" s="78">
        <f>VLOOKUP($D$1,'estab aut municipio x tip y cat'!$B$8:$BS$39,32+2,FALSE)</f>
        <v>-4.237288135593209E-3</v>
      </c>
      <c r="I16"/>
      <c r="BG16" s="3">
        <v>0</v>
      </c>
    </row>
    <row r="17" spans="1:59" s="3" customFormat="1" x14ac:dyDescent="0.25">
      <c r="C17" s="79" t="s">
        <v>72</v>
      </c>
      <c r="D17" s="22">
        <f>VLOOKUP($D$1,'estab aut municipio x tip y cat'!$B$8:$BS$39,35,FALSE)</f>
        <v>45</v>
      </c>
      <c r="E17" s="21">
        <f t="shared" si="0"/>
        <v>1.4222503160556258E-3</v>
      </c>
      <c r="F17" s="21">
        <f t="shared" si="1"/>
        <v>6.311360448807854E-2</v>
      </c>
      <c r="G17" s="22">
        <f>VLOOKUP($D$1,'estab aut municipio x tip y cat'!$B$8:$BS$39,35+1,FALSE)</f>
        <v>0</v>
      </c>
      <c r="H17" s="94">
        <f>VLOOKUP($D$1,'estab aut municipio x tip y cat'!$B$8:$BS$39,35+2,FALSE)</f>
        <v>0</v>
      </c>
      <c r="I17" s="31"/>
      <c r="BG17" s="3">
        <v>0</v>
      </c>
    </row>
    <row r="18" spans="1:59" s="3" customFormat="1" x14ac:dyDescent="0.25">
      <c r="C18" s="79" t="s">
        <v>73</v>
      </c>
      <c r="D18" s="22">
        <f>VLOOKUP($D$1,'estab aut municipio x tip y cat'!$B$8:$BS$39,38,FALSE)</f>
        <v>50</v>
      </c>
      <c r="E18" s="21">
        <f t="shared" si="0"/>
        <v>1.5802781289506952E-3</v>
      </c>
      <c r="F18" s="21">
        <f t="shared" si="1"/>
        <v>7.0126227208976155E-2</v>
      </c>
      <c r="G18" s="22">
        <f>VLOOKUP($D$1,'estab aut municipio x tip y cat'!$B$8:$BS$39,38+1,FALSE)</f>
        <v>-2</v>
      </c>
      <c r="H18" s="94">
        <f>VLOOKUP($D$1,'estab aut municipio x tip y cat'!$B$8:$BS$39,38+2,FALSE)</f>
        <v>-3.8461538461538436E-2</v>
      </c>
      <c r="I18" s="31"/>
      <c r="BG18" s="3">
        <v>0</v>
      </c>
    </row>
    <row r="19" spans="1:59" s="3" customFormat="1" x14ac:dyDescent="0.25">
      <c r="C19" s="79" t="s">
        <v>74</v>
      </c>
      <c r="D19" s="22">
        <f>VLOOKUP($D$1,'estab aut municipio x tip y cat'!$B$8:$BS$39,41,FALSE)</f>
        <v>41</v>
      </c>
      <c r="E19" s="21">
        <f t="shared" si="0"/>
        <v>1.2958280657395702E-3</v>
      </c>
      <c r="F19" s="21">
        <f t="shared" si="1"/>
        <v>5.7503506311360447E-2</v>
      </c>
      <c r="G19" s="22">
        <f>VLOOKUP($D$1,'estab aut municipio x tip y cat'!$B$8:$BS$39,41+1,FALSE)</f>
        <v>-1</v>
      </c>
      <c r="H19" s="94">
        <f>VLOOKUP($D$1,'estab aut municipio x tip y cat'!$B$8:$BS$39,41+2,FALSE)</f>
        <v>-2.3809523809523836E-2</v>
      </c>
      <c r="I19" s="31"/>
      <c r="BG19" s="3">
        <v>0</v>
      </c>
    </row>
    <row r="20" spans="1:59" s="3" customFormat="1" x14ac:dyDescent="0.25">
      <c r="C20" s="79" t="s">
        <v>75</v>
      </c>
      <c r="D20" s="22">
        <f>VLOOKUP($D$1,'estab aut municipio x tip y cat'!$B$8:$BS$39,44,FALSE)</f>
        <v>1</v>
      </c>
      <c r="E20" s="21">
        <f t="shared" si="0"/>
        <v>3.1605562579013905E-5</v>
      </c>
      <c r="F20" s="21">
        <f t="shared" si="1"/>
        <v>1.4025245441795231E-3</v>
      </c>
      <c r="G20" s="22">
        <f>VLOOKUP($D$1,'estab aut municipio x tip y cat'!$B$8:$BS$39,44+1,FALSE)</f>
        <v>0</v>
      </c>
      <c r="H20" s="94">
        <f>VLOOKUP($D$1,'estab aut municipio x tip y cat'!$B$8:$BS$39,44+2,FALSE)</f>
        <v>0</v>
      </c>
      <c r="I20" s="31"/>
      <c r="BG20" s="3">
        <v>0</v>
      </c>
    </row>
    <row r="21" spans="1:59" s="3" customFormat="1" x14ac:dyDescent="0.25">
      <c r="C21" s="79" t="s">
        <v>65</v>
      </c>
      <c r="D21" s="22">
        <f>VLOOKUP($D$1,'estab aut municipio x tip y cat'!$B$8:$BS$39,47,FALSE)</f>
        <v>24</v>
      </c>
      <c r="E21" s="21">
        <f t="shared" si="0"/>
        <v>7.5853350189633378E-4</v>
      </c>
      <c r="F21" s="21">
        <f t="shared" si="1"/>
        <v>3.3660589060308554E-2</v>
      </c>
      <c r="G21" s="22">
        <f>VLOOKUP($D$1,'estab aut municipio x tip y cat'!$B$8:$BS$39,47+1,FALSE)</f>
        <v>0</v>
      </c>
      <c r="H21" s="94">
        <f>VLOOKUP($D$1,'estab aut municipio x tip y cat'!$B$8:$BS$39,47+2,FALSE)</f>
        <v>0</v>
      </c>
      <c r="I21" s="31"/>
      <c r="BG21" s="3">
        <v>0</v>
      </c>
    </row>
    <row r="22" spans="1:59" s="3" customFormat="1" x14ac:dyDescent="0.25">
      <c r="C22" s="79" t="s">
        <v>66</v>
      </c>
      <c r="D22" s="22">
        <f>VLOOKUP($D$1,'estab aut municipio x tip y cat'!$B$8:$BS$39,50,FALSE)</f>
        <v>9</v>
      </c>
      <c r="E22" s="21">
        <f t="shared" si="0"/>
        <v>2.8445006321112514E-4</v>
      </c>
      <c r="F22" s="21">
        <f t="shared" si="1"/>
        <v>1.2622720897615708E-2</v>
      </c>
      <c r="G22" s="22">
        <f>VLOOKUP($D$1,'estab aut municipio x tip y cat'!$B$8:$BS$39,50+1,FALSE)</f>
        <v>0</v>
      </c>
      <c r="H22" s="94">
        <f>VLOOKUP($D$1,'estab aut municipio x tip y cat'!$B$8:$BS$39,50+2,FALSE)</f>
        <v>0</v>
      </c>
      <c r="I22" s="31"/>
      <c r="BG22" s="3">
        <v>0</v>
      </c>
    </row>
    <row r="23" spans="1:59" s="3" customFormat="1" x14ac:dyDescent="0.25">
      <c r="C23" s="79" t="s">
        <v>67</v>
      </c>
      <c r="D23" s="22">
        <f>VLOOKUP($D$1,'estab aut municipio x tip y cat'!$B$8:$BS$39,53,FALSE)</f>
        <v>5</v>
      </c>
      <c r="E23" s="21">
        <f t="shared" si="0"/>
        <v>1.5802781289506955E-4</v>
      </c>
      <c r="F23" s="21">
        <f t="shared" si="1"/>
        <v>7.0126227208976155E-3</v>
      </c>
      <c r="G23" s="22">
        <f>VLOOKUP($D$1,'estab aut municipio x tip y cat'!$B$8:$BS$39,53+1,FALSE)</f>
        <v>0</v>
      </c>
      <c r="H23" s="94">
        <f>VLOOKUP($D$1,'estab aut municipio x tip y cat'!$B$8:$BS$39,53+2,FALSE)</f>
        <v>0</v>
      </c>
      <c r="I23" s="31"/>
      <c r="BG23" s="3">
        <v>0</v>
      </c>
    </row>
    <row r="24" spans="1:59" s="3" customFormat="1" x14ac:dyDescent="0.25">
      <c r="C24" s="79" t="s">
        <v>76</v>
      </c>
      <c r="D24" s="22">
        <f>VLOOKUP($D$1,'estab aut municipio x tip y cat'!$B$8:$BS$39,56,FALSE)</f>
        <v>42</v>
      </c>
      <c r="E24" s="21">
        <f t="shared" si="0"/>
        <v>1.3274336283185841E-3</v>
      </c>
      <c r="F24" s="21">
        <f t="shared" si="1"/>
        <v>5.890603085553997E-2</v>
      </c>
      <c r="G24" s="22">
        <f>VLOOKUP($D$1,'estab aut municipio x tip y cat'!$B$8:$BS$39,56+1,FALSE)</f>
        <v>2</v>
      </c>
      <c r="H24" s="94">
        <f>VLOOKUP($D$1,'estab aut municipio x tip y cat'!$B$8:$BS$39,56+2,FALSE)</f>
        <v>5.0000000000000044E-2</v>
      </c>
      <c r="I24" s="31"/>
      <c r="BG24" s="3">
        <v>0</v>
      </c>
    </row>
    <row r="25" spans="1:59" s="3" customFormat="1" x14ac:dyDescent="0.25">
      <c r="C25" s="81" t="s">
        <v>77</v>
      </c>
      <c r="D25" s="22">
        <f>VLOOKUP($D$1,'estab aut municipio x tip y cat'!$B$8:$BS$39,59,FALSE)</f>
        <v>18</v>
      </c>
      <c r="E25" s="21">
        <f t="shared" si="0"/>
        <v>5.6890012642225028E-4</v>
      </c>
      <c r="F25" s="21">
        <f t="shared" si="1"/>
        <v>2.5245441795231416E-2</v>
      </c>
      <c r="G25" s="22">
        <f>VLOOKUP($D$1,'estab aut municipio x tip y cat'!$B$8:$BS$39,59+1,FALSE)</f>
        <v>0</v>
      </c>
      <c r="H25" s="94">
        <f>VLOOKUP($D$1,'estab aut municipio x tip y cat'!$B$8:$BS$39,59+2,FALSE)</f>
        <v>0</v>
      </c>
      <c r="I25" s="31"/>
      <c r="BG25" s="3">
        <v>0</v>
      </c>
    </row>
    <row r="26" spans="1:59" s="3" customFormat="1" x14ac:dyDescent="0.25">
      <c r="C26" s="75" t="s">
        <v>15</v>
      </c>
      <c r="D26" s="76">
        <f>VLOOKUP($D$1,'estab aut municipio x tip y cat'!$B$8:$BS$39,65,FALSE)</f>
        <v>24</v>
      </c>
      <c r="E26" s="77">
        <f t="shared" si="0"/>
        <v>7.5853350189633378E-4</v>
      </c>
      <c r="F26" s="77">
        <f t="shared" si="1"/>
        <v>3.3660589060308554E-2</v>
      </c>
      <c r="G26" s="76">
        <f>VLOOKUP($D$1,'estab aut municipio x tip y cat'!$B$8:$BS$39,65+1,FALSE)</f>
        <v>-1</v>
      </c>
      <c r="H26" s="78">
        <f>VLOOKUP($D$1,'estab aut municipio x tip y cat'!$B$8:$BS$39,65+2,FALSE)</f>
        <v>-4.0000000000000036E-2</v>
      </c>
      <c r="I26" s="31"/>
      <c r="BG26" s="3">
        <v>0</v>
      </c>
    </row>
    <row r="27" spans="1:59" s="3" customFormat="1" x14ac:dyDescent="0.25">
      <c r="C27" s="75" t="s">
        <v>87</v>
      </c>
      <c r="D27" s="76">
        <f>VLOOKUP($D$1,'estab aut municipio x tip y cat'!$B$8:$BS$39,68,FALSE)</f>
        <v>167</v>
      </c>
      <c r="E27" s="77">
        <f t="shared" si="0"/>
        <v>5.2781289506953228E-3</v>
      </c>
      <c r="F27" s="77">
        <f t="shared" si="1"/>
        <v>0.23422159887798036</v>
      </c>
      <c r="G27" s="76">
        <f>VLOOKUP($D$1,'estab aut municipio x tip y cat'!$B$8:$BS$39,68+1,FALSE)</f>
        <v>1</v>
      </c>
      <c r="H27" s="78">
        <f>VLOOKUP($D$1,'estab aut municipio x tip y cat'!$B$8:$BS$39,68+2,FALSE)</f>
        <v>1.2121212121212199E-2</v>
      </c>
      <c r="I27" s="31"/>
      <c r="BG27" s="3">
        <v>0</v>
      </c>
    </row>
    <row r="28" spans="1:59" s="3" customFormat="1" ht="30" x14ac:dyDescent="0.25">
      <c r="C28" s="82" t="s">
        <v>98</v>
      </c>
      <c r="D28" s="83">
        <f>D7+D16+D27+D26</f>
        <v>713</v>
      </c>
      <c r="E28" s="84">
        <f t="shared" si="0"/>
        <v>2.2534766118836914E-2</v>
      </c>
      <c r="F28" s="84">
        <f t="shared" si="1"/>
        <v>1</v>
      </c>
      <c r="G28" s="83">
        <f>G7+G16+G27+G26</f>
        <v>6</v>
      </c>
      <c r="H28" s="85">
        <f>(D28/(D28-G28))-1</f>
        <v>8.4865629420085575E-3</v>
      </c>
      <c r="I28" s="31"/>
      <c r="BG28" s="3">
        <v>0</v>
      </c>
    </row>
    <row r="29" spans="1:59" s="3" customFormat="1" ht="12.75" customHeight="1" x14ac:dyDescent="0.25">
      <c r="A29" s="95"/>
      <c r="C29" s="96" t="s">
        <v>89</v>
      </c>
      <c r="D29" s="97">
        <f>VLOOKUP($D$1,'estab aut municipio x tip y cat'!$B$8:$BS$39,62,FALSE)</f>
        <v>30927</v>
      </c>
      <c r="E29" s="87">
        <f t="shared" si="0"/>
        <v>0.97746523388116313</v>
      </c>
      <c r="F29" s="87"/>
      <c r="G29" s="97">
        <f>VLOOKUP($D$1,'estab aut municipio x tip y cat'!$B$8:$BS$39,62+1,FALSE)</f>
        <v>3442</v>
      </c>
      <c r="H29" s="98">
        <f>VLOOKUP($D$1,'estab aut municipio x tip y cat'!$B$8:$BS$39,62+2,FALSE)</f>
        <v>0.12519095075289144</v>
      </c>
      <c r="I29" s="31"/>
      <c r="BG29" s="3">
        <v>0</v>
      </c>
    </row>
    <row r="30" spans="1:59" s="3" customFormat="1" ht="15.75" x14ac:dyDescent="0.25">
      <c r="C30" s="88" t="s">
        <v>17</v>
      </c>
      <c r="D30" s="16">
        <f>VLOOKUP($D$1,'estab aut municipio x tip y cat'!$B$8:$BS$39,2,FALSE)</f>
        <v>31640</v>
      </c>
      <c r="E30" s="17">
        <f t="shared" si="0"/>
        <v>1</v>
      </c>
      <c r="F30" s="17"/>
      <c r="G30" s="16">
        <f>VLOOKUP($D$1,'estab aut municipio x tip y cat'!$B$8:$BS$39,3,FALSE)</f>
        <v>3448</v>
      </c>
      <c r="H30" s="89">
        <f>VLOOKUP($D$1,'estab aut municipio x tip y cat'!$B$8:$BS$39,4,FALSE)</f>
        <v>0.12230419977298523</v>
      </c>
      <c r="I30" s="31"/>
      <c r="BG30" s="3">
        <v>0</v>
      </c>
    </row>
    <row r="31" spans="1:59" s="3" customFormat="1" ht="10.5" customHeight="1" x14ac:dyDescent="0.25">
      <c r="C31" s="99"/>
      <c r="D31" s="27"/>
      <c r="E31" s="27"/>
      <c r="F31" s="27"/>
      <c r="G31" s="27"/>
      <c r="I31" s="31"/>
      <c r="BG31" s="3">
        <v>0</v>
      </c>
    </row>
    <row r="32" spans="1:59" s="3" customFormat="1" ht="66.75" customHeight="1" x14ac:dyDescent="0.25">
      <c r="C32" s="120" t="s">
        <v>90</v>
      </c>
      <c r="D32" s="120"/>
      <c r="E32" s="120"/>
      <c r="F32" s="120"/>
      <c r="G32" s="120"/>
      <c r="H32" s="120"/>
      <c r="BG32" s="3">
        <v>0</v>
      </c>
    </row>
    <row r="33" spans="3:59" s="3" customFormat="1" x14ac:dyDescent="0.25">
      <c r="C33" s="90"/>
      <c r="D33"/>
      <c r="BG33" s="3">
        <v>0</v>
      </c>
    </row>
    <row r="34" spans="3:59" s="3" customFormat="1" x14ac:dyDescent="0.25">
      <c r="C34" s="90"/>
      <c r="D34"/>
      <c r="H34" s="31"/>
      <c r="BG34" s="3">
        <v>0</v>
      </c>
    </row>
    <row r="35" spans="3:59" s="3" customFormat="1" x14ac:dyDescent="0.25">
      <c r="C35" s="90"/>
      <c r="D35"/>
      <c r="H35" s="31"/>
      <c r="BG35" s="3">
        <v>0</v>
      </c>
    </row>
    <row r="36" spans="3:59" s="3" customFormat="1" x14ac:dyDescent="0.25">
      <c r="C36" s="90"/>
      <c r="D36" s="91"/>
      <c r="H36" s="31"/>
      <c r="BG36" s="3">
        <v>0</v>
      </c>
    </row>
    <row r="37" spans="3:59" s="3" customFormat="1" x14ac:dyDescent="0.25">
      <c r="C37" s="90"/>
      <c r="D37" s="91"/>
      <c r="H37" s="31"/>
      <c r="BG37" s="3">
        <v>0</v>
      </c>
    </row>
    <row r="38" spans="3:59" s="3" customFormat="1" x14ac:dyDescent="0.25">
      <c r="C38" s="90"/>
      <c r="D38" s="91"/>
      <c r="H38" s="31"/>
      <c r="BG38" s="3">
        <v>0</v>
      </c>
    </row>
    <row r="39" spans="3:59" x14ac:dyDescent="0.25">
      <c r="C39" s="90"/>
      <c r="E39" s="3"/>
      <c r="F39" s="3"/>
      <c r="G39" s="3"/>
      <c r="H39" s="3"/>
      <c r="AF39" s="3"/>
      <c r="BG39" s="3">
        <v>0</v>
      </c>
    </row>
    <row r="40" spans="3:59" x14ac:dyDescent="0.25">
      <c r="C40" s="90"/>
      <c r="E40" s="3"/>
      <c r="F40" s="3"/>
      <c r="G40" s="3"/>
    </row>
    <row r="41" spans="3:59" x14ac:dyDescent="0.25">
      <c r="C41" s="90"/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0228FF-0274-4806-918E-3B8204D44318}">
          <x14:formula1>
            <xm:f>'estab aut municipio x tip y cat'!$B$8:$B$39</xm:f>
          </x14:formula1>
          <xm:sqref>D1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D93ACE-A869-4748-B988-C87A5E038CA9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14F80C7C-3AFA-4D56-996B-1E3D69CDF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496855-A14E-49ED-B9AE-E2B1EACF3E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Menú principal</vt:lpstr>
      <vt:lpstr>plazas aut munic cuota aloj</vt:lpstr>
      <vt:lpstr>plazas aut municipio x cat</vt:lpstr>
      <vt:lpstr>Evolucion anual plazas aloj</vt:lpstr>
      <vt:lpstr>plazas aut catg cuota</vt:lpstr>
      <vt:lpstr>estab aut munic cuota aloj</vt:lpstr>
      <vt:lpstr>estab aut municipio x tip y cat</vt:lpstr>
      <vt:lpstr>estab aut catg cuota aloj</vt:lpstr>
      <vt:lpstr>'estab aut catg cuota aloj'!Área_de_impresión</vt:lpstr>
      <vt:lpstr>'estab aut munic cuota aloj'!Área_de_impresión</vt:lpstr>
      <vt:lpstr>'Menú principal'!Área_de_impresión</vt:lpstr>
      <vt:lpstr>'plazas aut catg cuota'!Área_de_impresión</vt:lpstr>
      <vt:lpstr>'plazas aut munic cuota aloj'!Área_de_impresión</vt:lpstr>
      <vt:lpstr>'Menú principal'!Títulos_a_imprimir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2026-02-05T13:44:20Z</dcterms:created>
  <dcterms:modified xsi:type="dcterms:W3CDTF">2026-04-13T12:07:20Z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  <property fmtid="{D5CDD505-2E9C-101B-9397-08002B2CF9AE}" pid="3" name="MediaServiceImageTags">
    <vt:lpwstr/>
  </property>
</Properties>
</file>