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Plazas y Establecimientos Turísticos/Turismo en cifras-plazas/"/>
    </mc:Choice>
  </mc:AlternateContent>
  <xr:revisionPtr revIDLastSave="8" documentId="8_{5F0C98FD-A439-4D22-89B5-E5B10A5A5022}" xr6:coauthVersionLast="47" xr6:coauthVersionMax="47" xr10:uidLastSave="{0620634E-C233-4271-950A-1AB46471A585}"/>
  <bookViews>
    <workbookView xWindow="-93" yWindow="-93" windowWidth="19386" windowHeight="12266" firstSheet="4" activeTab="6" xr2:uid="{A1702986-5CA2-495B-8B20-12A9C33C1E30}"/>
  </bookViews>
  <sheets>
    <sheet name="Menú principal" sheetId="1" r:id="rId1"/>
    <sheet name="plazas aut munic cuota aloj" sheetId="2" r:id="rId2"/>
    <sheet name="plazas aut municipio x cat" sheetId="3" r:id="rId3"/>
    <sheet name="plazas aut catg cuota" sheetId="4" r:id="rId4"/>
    <sheet name="estab aut munic cuota aloj" sheetId="5" r:id="rId5"/>
    <sheet name="estab aut municipio x tip y cat" sheetId="6" r:id="rId6"/>
    <sheet name="estab aut catg cuota aloj" sheetId="7" r:id="rId7"/>
  </sheets>
  <definedNames>
    <definedName name="_xlnm.Print_Area" localSheetId="6">'estab aut catg cuota aloj'!$C$3:$E$32</definedName>
    <definedName name="_xlnm.Print_Area" localSheetId="4">'estab aut munic cuota aloj'!$B$3:$N$42</definedName>
    <definedName name="_xlnm.Print_Area" localSheetId="0">'Menú principal'!$B$2:$D$16</definedName>
    <definedName name="_xlnm.Print_Area" localSheetId="3">'plazas aut catg cuota'!$C$3:$E$32</definedName>
    <definedName name="_xlnm.Print_Area" localSheetId="1">'plazas aut munic cuota aloj'!$B$3:$N$46</definedName>
    <definedName name="españafuerteventura">#REF!</definedName>
    <definedName name="españafuerteventura0">#REF!</definedName>
    <definedName name="españagrancanaria">#REF!</definedName>
    <definedName name="españagrancanaria0">#REF!</definedName>
    <definedName name="españalanzarote">#REF!</definedName>
    <definedName name="españalanzarote0">#REF!</definedName>
    <definedName name="españalapalma">#REF!</definedName>
    <definedName name="españalapalma0">#REF!</definedName>
    <definedName name="españaTFN">#REF!</definedName>
    <definedName name="españaTFN0">#REF!</definedName>
    <definedName name="españaTFS">#REF!</definedName>
    <definedName name="españaTFS0">#REF!</definedName>
    <definedName name="_xlnm.Print_Titles" localSheetId="0">'Menú principal'!$2:$5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I38" i="5"/>
  <c r="I37" i="5"/>
  <c r="I34" i="5"/>
  <c r="I30" i="5"/>
  <c r="I26" i="5"/>
  <c r="I22" i="5"/>
  <c r="I18" i="5"/>
  <c r="I14" i="5"/>
  <c r="I10" i="5"/>
  <c r="H29" i="7"/>
  <c r="G29" i="7"/>
  <c r="I36" i="5"/>
  <c r="I35" i="5"/>
  <c r="I33" i="5"/>
  <c r="I32" i="5"/>
  <c r="I31" i="5"/>
  <c r="I28" i="5"/>
  <c r="I27" i="5"/>
  <c r="I25" i="5"/>
  <c r="I24" i="5"/>
  <c r="I23" i="5"/>
  <c r="I20" i="5"/>
  <c r="I19" i="5"/>
  <c r="I17" i="5"/>
  <c r="I16" i="5"/>
  <c r="I15" i="5"/>
  <c r="I13" i="5"/>
  <c r="I12" i="5"/>
  <c r="I11" i="5"/>
  <c r="I9" i="5"/>
  <c r="I8" i="5"/>
  <c r="M6" i="5"/>
  <c r="G6" i="5"/>
  <c r="K6" i="5" s="1"/>
  <c r="E6" i="5"/>
  <c r="C3" i="4"/>
  <c r="D29" i="4"/>
  <c r="H29" i="4"/>
  <c r="G29" i="4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J7" i="2" s="1"/>
  <c r="E6" i="2"/>
  <c r="G6" i="2" s="1"/>
  <c r="K6" i="2" s="1"/>
  <c r="M6" i="2" s="1"/>
  <c r="J9" i="2" l="1"/>
  <c r="J16" i="2"/>
  <c r="J32" i="2"/>
  <c r="J17" i="2"/>
  <c r="J8" i="2"/>
  <c r="J10" i="2"/>
  <c r="J18" i="2"/>
  <c r="J26" i="2"/>
  <c r="J19" i="2"/>
  <c r="J23" i="2"/>
  <c r="J12" i="2"/>
  <c r="J13" i="2"/>
  <c r="J11" i="2"/>
  <c r="J20" i="2"/>
  <c r="J14" i="2"/>
  <c r="J15" i="2"/>
  <c r="I21" i="5"/>
  <c r="I29" i="5"/>
  <c r="C24" i="2"/>
  <c r="H8" i="4"/>
  <c r="G45" i="2"/>
  <c r="L9" i="2"/>
  <c r="C10" i="2"/>
  <c r="L13" i="2"/>
  <c r="C14" i="2"/>
  <c r="N14" i="2"/>
  <c r="H15" i="2"/>
  <c r="C18" i="2"/>
  <c r="N18" i="2"/>
  <c r="H23" i="2"/>
  <c r="H24" i="2"/>
  <c r="N32" i="2"/>
  <c r="C36" i="2"/>
  <c r="G11" i="4"/>
  <c r="G26" i="4"/>
  <c r="H25" i="2"/>
  <c r="L21" i="2"/>
  <c r="K45" i="2"/>
  <c r="L25" i="2"/>
  <c r="N26" i="2"/>
  <c r="D14" i="4"/>
  <c r="D18" i="3"/>
  <c r="C23" i="3"/>
  <c r="C23" i="2"/>
  <c r="K43" i="2"/>
  <c r="K7" i="2"/>
  <c r="L7" i="2" s="1"/>
  <c r="L8" i="2"/>
  <c r="C9" i="2"/>
  <c r="H10" i="2"/>
  <c r="K44" i="2"/>
  <c r="L12" i="2"/>
  <c r="C13" i="2"/>
  <c r="N13" i="2"/>
  <c r="H14" i="2"/>
  <c r="L16" i="2"/>
  <c r="C17" i="2"/>
  <c r="N17" i="2"/>
  <c r="M45" i="2"/>
  <c r="N21" i="2"/>
  <c r="L22" i="2"/>
  <c r="L24" i="2"/>
  <c r="C28" i="2"/>
  <c r="H16" i="4"/>
  <c r="C20" i="2"/>
  <c r="L23" i="2"/>
  <c r="G19" i="4"/>
  <c r="D26" i="3"/>
  <c r="L27" i="2"/>
  <c r="C15" i="3"/>
  <c r="E43" i="2"/>
  <c r="C8" i="2"/>
  <c r="E7" i="2"/>
  <c r="F36" i="2" s="1"/>
  <c r="M43" i="2"/>
  <c r="N8" i="2"/>
  <c r="M7" i="2"/>
  <c r="N7" i="2" s="1"/>
  <c r="H9" i="2"/>
  <c r="L11" i="2"/>
  <c r="C12" i="2"/>
  <c r="E44" i="2"/>
  <c r="M44" i="2"/>
  <c r="N12" i="2"/>
  <c r="L15" i="2"/>
  <c r="C16" i="2"/>
  <c r="N16" i="2"/>
  <c r="H17" i="2"/>
  <c r="L19" i="2"/>
  <c r="N23" i="2"/>
  <c r="C27" i="2"/>
  <c r="L28" i="2"/>
  <c r="D22" i="4"/>
  <c r="H29" i="2"/>
  <c r="G46" i="2"/>
  <c r="H20" i="2"/>
  <c r="E45" i="2"/>
  <c r="C21" i="2"/>
  <c r="C26" i="2"/>
  <c r="H27" i="2"/>
  <c r="L31" i="2"/>
  <c r="H24" i="4"/>
  <c r="H22" i="2"/>
  <c r="L35" i="2"/>
  <c r="D10" i="3"/>
  <c r="G43" i="2"/>
  <c r="H8" i="2"/>
  <c r="G7" i="2"/>
  <c r="H11" i="2" s="1"/>
  <c r="L10" i="2"/>
  <c r="C11" i="2"/>
  <c r="G44" i="2"/>
  <c r="H12" i="2"/>
  <c r="L14" i="2"/>
  <c r="C15" i="2"/>
  <c r="N15" i="2"/>
  <c r="H16" i="2"/>
  <c r="L18" i="2"/>
  <c r="C19" i="2"/>
  <c r="N19" i="2"/>
  <c r="C22" i="2"/>
  <c r="C25" i="2"/>
  <c r="C32" i="2"/>
  <c r="D9" i="4"/>
  <c r="H11" i="4"/>
  <c r="G14" i="4"/>
  <c r="D17" i="4"/>
  <c r="H19" i="4"/>
  <c r="G22" i="4"/>
  <c r="D25" i="4"/>
  <c r="H26" i="4"/>
  <c r="C12" i="3"/>
  <c r="D15" i="3"/>
  <c r="C20" i="3"/>
  <c r="D23" i="3"/>
  <c r="C29" i="3"/>
  <c r="D38" i="3"/>
  <c r="N27" i="2"/>
  <c r="H28" i="2"/>
  <c r="L30" i="2"/>
  <c r="C31" i="2"/>
  <c r="N31" i="2"/>
  <c r="H32" i="2"/>
  <c r="L34" i="2"/>
  <c r="F35" i="2"/>
  <c r="C35" i="2"/>
  <c r="N35" i="2"/>
  <c r="H36" i="2"/>
  <c r="L38" i="2"/>
  <c r="G9" i="4"/>
  <c r="D12" i="4"/>
  <c r="H14" i="4"/>
  <c r="G17" i="4"/>
  <c r="D20" i="4"/>
  <c r="H22" i="4"/>
  <c r="G25" i="4"/>
  <c r="D27" i="4"/>
  <c r="C9" i="3"/>
  <c r="D12" i="3"/>
  <c r="C17" i="3"/>
  <c r="D20" i="3"/>
  <c r="C25" i="3"/>
  <c r="D7" i="4"/>
  <c r="C8" i="3"/>
  <c r="H9" i="4"/>
  <c r="G12" i="4"/>
  <c r="D15" i="4"/>
  <c r="H17" i="4"/>
  <c r="G20" i="4"/>
  <c r="D23" i="4"/>
  <c r="H25" i="4"/>
  <c r="G27" i="4"/>
  <c r="D9" i="3"/>
  <c r="C14" i="3"/>
  <c r="D17" i="3"/>
  <c r="C22" i="3"/>
  <c r="D25" i="3"/>
  <c r="G19" i="7"/>
  <c r="L29" i="2"/>
  <c r="K46" i="2"/>
  <c r="C30" i="2"/>
  <c r="N30" i="2"/>
  <c r="H31" i="2"/>
  <c r="L33" i="2"/>
  <c r="C34" i="2"/>
  <c r="N34" i="2"/>
  <c r="H35" i="2"/>
  <c r="L37" i="2"/>
  <c r="C38" i="2"/>
  <c r="N38" i="2"/>
  <c r="G7" i="4"/>
  <c r="D8" i="3"/>
  <c r="G30" i="4" s="1"/>
  <c r="D10" i="4"/>
  <c r="H12" i="4"/>
  <c r="G15" i="4"/>
  <c r="D18" i="4"/>
  <c r="H20" i="4"/>
  <c r="G23" i="4"/>
  <c r="H27" i="4"/>
  <c r="C11" i="3"/>
  <c r="D14" i="3"/>
  <c r="C19" i="3"/>
  <c r="D22" i="3"/>
  <c r="C27" i="3"/>
  <c r="C32" i="3"/>
  <c r="H7" i="4"/>
  <c r="H28" i="4" s="1"/>
  <c r="G10" i="4"/>
  <c r="D13" i="4"/>
  <c r="H15" i="4"/>
  <c r="G18" i="4"/>
  <c r="D21" i="4"/>
  <c r="H23" i="4"/>
  <c r="D11" i="3"/>
  <c r="C16" i="3"/>
  <c r="D19" i="3"/>
  <c r="C24" i="3"/>
  <c r="D27" i="3"/>
  <c r="D30" i="3"/>
  <c r="E46" i="2"/>
  <c r="C29" i="2"/>
  <c r="N29" i="2"/>
  <c r="M46" i="2"/>
  <c r="H30" i="2"/>
  <c r="L32" i="2"/>
  <c r="C33" i="2"/>
  <c r="N33" i="2"/>
  <c r="H34" i="2"/>
  <c r="L36" i="2"/>
  <c r="C37" i="2"/>
  <c r="N37" i="2"/>
  <c r="H38" i="2"/>
  <c r="D8" i="4"/>
  <c r="H10" i="4"/>
  <c r="G13" i="4"/>
  <c r="D16" i="4"/>
  <c r="H18" i="4"/>
  <c r="G21" i="4"/>
  <c r="D24" i="4"/>
  <c r="C13" i="3"/>
  <c r="D16" i="3"/>
  <c r="C21" i="3"/>
  <c r="D24" i="3"/>
  <c r="C35" i="3"/>
  <c r="G8" i="4"/>
  <c r="D11" i="4"/>
  <c r="H13" i="4"/>
  <c r="G16" i="4"/>
  <c r="D19" i="4"/>
  <c r="H21" i="4"/>
  <c r="G24" i="4"/>
  <c r="D26" i="4"/>
  <c r="C10" i="3"/>
  <c r="D13" i="3"/>
  <c r="C18" i="3"/>
  <c r="D21" i="3"/>
  <c r="C26" i="3"/>
  <c r="D35" i="3"/>
  <c r="D29" i="3"/>
  <c r="D32" i="3"/>
  <c r="C37" i="3"/>
  <c r="C34" i="3"/>
  <c r="D37" i="3"/>
  <c r="C28" i="3"/>
  <c r="C31" i="3"/>
  <c r="D34" i="3"/>
  <c r="C39" i="3"/>
  <c r="D28" i="3"/>
  <c r="D31" i="3"/>
  <c r="C36" i="3"/>
  <c r="D39" i="3"/>
  <c r="C33" i="3"/>
  <c r="D36" i="3"/>
  <c r="C30" i="3"/>
  <c r="D33" i="3"/>
  <c r="C38" i="3"/>
  <c r="E38" i="3" s="1"/>
  <c r="H8" i="5"/>
  <c r="C11" i="5"/>
  <c r="H12" i="5"/>
  <c r="C15" i="5"/>
  <c r="H16" i="5"/>
  <c r="C19" i="5"/>
  <c r="H20" i="5"/>
  <c r="L22" i="5"/>
  <c r="C23" i="5"/>
  <c r="H24" i="5"/>
  <c r="C27" i="5"/>
  <c r="N27" i="5"/>
  <c r="H28" i="5"/>
  <c r="C31" i="5"/>
  <c r="H32" i="5"/>
  <c r="D22" i="7"/>
  <c r="C34" i="5"/>
  <c r="H24" i="7"/>
  <c r="C10" i="5"/>
  <c r="N10" i="5"/>
  <c r="H11" i="5"/>
  <c r="C14" i="5"/>
  <c r="H15" i="5"/>
  <c r="C18" i="5"/>
  <c r="H19" i="5"/>
  <c r="C22" i="5"/>
  <c r="N22" i="5"/>
  <c r="H23" i="5"/>
  <c r="C26" i="5"/>
  <c r="H27" i="5"/>
  <c r="C30" i="5"/>
  <c r="H31" i="5"/>
  <c r="C15" i="6"/>
  <c r="H34" i="5"/>
  <c r="H8" i="7"/>
  <c r="G26" i="7"/>
  <c r="H7" i="5"/>
  <c r="K7" i="5"/>
  <c r="L7" i="5" s="1"/>
  <c r="C9" i="5"/>
  <c r="H10" i="5"/>
  <c r="C13" i="5"/>
  <c r="N13" i="5"/>
  <c r="H14" i="5"/>
  <c r="C17" i="5"/>
  <c r="H18" i="5"/>
  <c r="C21" i="5"/>
  <c r="H22" i="5"/>
  <c r="C25" i="5"/>
  <c r="H26" i="5"/>
  <c r="L28" i="5"/>
  <c r="C29" i="5"/>
  <c r="H30" i="5"/>
  <c r="C33" i="5"/>
  <c r="N33" i="5"/>
  <c r="C35" i="5"/>
  <c r="G11" i="7"/>
  <c r="H35" i="5"/>
  <c r="C36" i="5"/>
  <c r="H37" i="5"/>
  <c r="D14" i="7"/>
  <c r="C8" i="5"/>
  <c r="E7" i="5"/>
  <c r="F10" i="5" s="1"/>
  <c r="M7" i="5"/>
  <c r="N7" i="5" s="1"/>
  <c r="H9" i="5"/>
  <c r="C12" i="5"/>
  <c r="N12" i="5"/>
  <c r="H13" i="5"/>
  <c r="C16" i="5"/>
  <c r="H17" i="5"/>
  <c r="L19" i="5"/>
  <c r="C20" i="5"/>
  <c r="N20" i="5"/>
  <c r="H21" i="5"/>
  <c r="C24" i="5"/>
  <c r="N24" i="5"/>
  <c r="H25" i="5"/>
  <c r="C28" i="5"/>
  <c r="N28" i="5"/>
  <c r="H29" i="5"/>
  <c r="C32" i="5"/>
  <c r="F32" i="5"/>
  <c r="H33" i="5"/>
  <c r="H36" i="5"/>
  <c r="H16" i="7"/>
  <c r="D9" i="7"/>
  <c r="H11" i="7"/>
  <c r="G14" i="7"/>
  <c r="D17" i="7"/>
  <c r="H19" i="7"/>
  <c r="G22" i="7"/>
  <c r="D25" i="7"/>
  <c r="H26" i="7"/>
  <c r="C12" i="6"/>
  <c r="L38" i="5"/>
  <c r="G9" i="7"/>
  <c r="D12" i="7"/>
  <c r="H14" i="7"/>
  <c r="G17" i="7"/>
  <c r="D20" i="7"/>
  <c r="H22" i="7"/>
  <c r="D27" i="7"/>
  <c r="C9" i="6"/>
  <c r="C17" i="6"/>
  <c r="D7" i="7"/>
  <c r="C8" i="6"/>
  <c r="H9" i="7"/>
  <c r="G12" i="7"/>
  <c r="D15" i="7"/>
  <c r="H17" i="7"/>
  <c r="G20" i="7"/>
  <c r="D23" i="7"/>
  <c r="G27" i="7"/>
  <c r="C14" i="6"/>
  <c r="C38" i="5"/>
  <c r="N38" i="5"/>
  <c r="G7" i="7"/>
  <c r="D8" i="6"/>
  <c r="G30" i="7" s="1"/>
  <c r="D10" i="7"/>
  <c r="H12" i="7"/>
  <c r="D18" i="7"/>
  <c r="H20" i="7"/>
  <c r="G23" i="7"/>
  <c r="H27" i="7"/>
  <c r="C11" i="6"/>
  <c r="C19" i="6"/>
  <c r="G10" i="7"/>
  <c r="D13" i="7"/>
  <c r="G18" i="7"/>
  <c r="D21" i="7"/>
  <c r="H23" i="7"/>
  <c r="C16" i="6"/>
  <c r="C37" i="5"/>
  <c r="N37" i="5"/>
  <c r="H38" i="5"/>
  <c r="D8" i="7"/>
  <c r="H10" i="7"/>
  <c r="G13" i="7"/>
  <c r="D16" i="7"/>
  <c r="H18" i="7"/>
  <c r="G21" i="7"/>
  <c r="D24" i="7"/>
  <c r="C13" i="6"/>
  <c r="C23" i="6"/>
  <c r="G8" i="7"/>
  <c r="D11" i="7"/>
  <c r="H13" i="7"/>
  <c r="G16" i="7"/>
  <c r="D19" i="7"/>
  <c r="H21" i="7"/>
  <c r="G24" i="7"/>
  <c r="D26" i="7"/>
  <c r="C10" i="6"/>
  <c r="C18" i="6"/>
  <c r="C20" i="6"/>
  <c r="C28" i="6"/>
  <c r="C25" i="6"/>
  <c r="C22" i="6"/>
  <c r="C30" i="6"/>
  <c r="C27" i="6"/>
  <c r="C24" i="6"/>
  <c r="C21" i="6"/>
  <c r="C29" i="6"/>
  <c r="C26" i="6"/>
  <c r="C34" i="6"/>
  <c r="C37" i="6"/>
  <c r="C31" i="6"/>
  <c r="C39" i="6"/>
  <c r="C36" i="6"/>
  <c r="C33" i="6"/>
  <c r="C38" i="6"/>
  <c r="C35" i="6"/>
  <c r="C32" i="6"/>
  <c r="J21" i="2"/>
  <c r="J25" i="2"/>
  <c r="J29" i="2"/>
  <c r="J22" i="2"/>
  <c r="J24" i="2"/>
  <c r="J36" i="2"/>
  <c r="J30" i="2"/>
  <c r="J33" i="2"/>
  <c r="J28" i="2"/>
  <c r="J31" i="2"/>
  <c r="J34" i="2"/>
  <c r="J37" i="2"/>
  <c r="J27" i="2"/>
  <c r="J35" i="2"/>
  <c r="J38" i="2"/>
  <c r="I6" i="5"/>
  <c r="E10" i="3" l="1"/>
  <c r="E25" i="3"/>
  <c r="E26" i="3"/>
  <c r="E12" i="3"/>
  <c r="E32" i="3"/>
  <c r="E39" i="3"/>
  <c r="E16" i="3"/>
  <c r="E36" i="3"/>
  <c r="E31" i="3"/>
  <c r="E37" i="3"/>
  <c r="E21" i="3"/>
  <c r="E23" i="3"/>
  <c r="D29" i="7"/>
  <c r="I7" i="5"/>
  <c r="C7" i="5" s="1"/>
  <c r="G28" i="7"/>
  <c r="D37" i="6"/>
  <c r="D38" i="6"/>
  <c r="E38" i="6" s="1"/>
  <c r="D36" i="6"/>
  <c r="E36" i="6" s="1"/>
  <c r="D12" i="6"/>
  <c r="H25" i="7"/>
  <c r="D34" i="6"/>
  <c r="D29" i="6"/>
  <c r="E29" i="6" s="1"/>
  <c r="D30" i="6"/>
  <c r="E30" i="6" s="1"/>
  <c r="D28" i="6"/>
  <c r="D18" i="6"/>
  <c r="E18" i="6" s="1"/>
  <c r="D16" i="6"/>
  <c r="E16" i="6" s="1"/>
  <c r="H15" i="7"/>
  <c r="D33" i="6"/>
  <c r="E33" i="6" s="1"/>
  <c r="D23" i="6"/>
  <c r="D17" i="6"/>
  <c r="E17" i="6" s="1"/>
  <c r="D32" i="6"/>
  <c r="E32" i="6" s="1"/>
  <c r="D26" i="6"/>
  <c r="D10" i="6"/>
  <c r="E10" i="6" s="1"/>
  <c r="D13" i="6"/>
  <c r="E13" i="6" s="1"/>
  <c r="D19" i="6"/>
  <c r="E19" i="6" s="1"/>
  <c r="D31" i="6"/>
  <c r="E31" i="6" s="1"/>
  <c r="D39" i="6"/>
  <c r="D21" i="6"/>
  <c r="E21" i="6" s="1"/>
  <c r="D22" i="6"/>
  <c r="E22" i="6" s="1"/>
  <c r="D20" i="6"/>
  <c r="D14" i="6"/>
  <c r="E14" i="6" s="1"/>
  <c r="H7" i="7"/>
  <c r="D9" i="6"/>
  <c r="E9" i="6" s="1"/>
  <c r="G25" i="7"/>
  <c r="D35" i="6"/>
  <c r="E35" i="6" s="1"/>
  <c r="D24" i="6"/>
  <c r="E24" i="6" s="1"/>
  <c r="D27" i="6"/>
  <c r="D11" i="6"/>
  <c r="D25" i="6"/>
  <c r="E25" i="6" s="1"/>
  <c r="G15" i="7"/>
  <c r="D15" i="6"/>
  <c r="E15" i="6" s="1"/>
  <c r="E37" i="6"/>
  <c r="F37" i="5"/>
  <c r="L31" i="5"/>
  <c r="F24" i="5"/>
  <c r="F36" i="5"/>
  <c r="F33" i="5"/>
  <c r="N25" i="5"/>
  <c r="L20" i="5"/>
  <c r="L8" i="5"/>
  <c r="L29" i="5"/>
  <c r="N19" i="5"/>
  <c r="L14" i="5"/>
  <c r="E33" i="3"/>
  <c r="F33" i="2"/>
  <c r="N34" i="5"/>
  <c r="E27" i="3"/>
  <c r="E22" i="3"/>
  <c r="E9" i="3"/>
  <c r="E29" i="3"/>
  <c r="F26" i="2"/>
  <c r="F12" i="2"/>
  <c r="F8" i="2"/>
  <c r="H37" i="2"/>
  <c r="N36" i="2"/>
  <c r="N20" i="2"/>
  <c r="L20" i="2"/>
  <c r="F14" i="2"/>
  <c r="F7" i="5"/>
  <c r="F21" i="5"/>
  <c r="F27" i="5"/>
  <c r="E39" i="6"/>
  <c r="E23" i="6"/>
  <c r="F38" i="5"/>
  <c r="N16" i="5"/>
  <c r="L11" i="5"/>
  <c r="L32" i="5"/>
  <c r="F13" i="5"/>
  <c r="N36" i="5"/>
  <c r="F22" i="5"/>
  <c r="N14" i="5"/>
  <c r="L9" i="5"/>
  <c r="N31" i="5"/>
  <c r="L26" i="5"/>
  <c r="F19" i="5"/>
  <c r="E28" i="3"/>
  <c r="E11" i="3"/>
  <c r="F30" i="2"/>
  <c r="A28" i="4"/>
  <c r="D30" i="4"/>
  <c r="E12" i="4" s="1"/>
  <c r="E8" i="3"/>
  <c r="H30" i="4" s="1"/>
  <c r="E17" i="3"/>
  <c r="H26" i="2"/>
  <c r="N11" i="2"/>
  <c r="C45" i="2"/>
  <c r="F45" i="2" s="1"/>
  <c r="F16" i="2"/>
  <c r="N24" i="2"/>
  <c r="H18" i="2"/>
  <c r="F13" i="2"/>
  <c r="H33" i="2"/>
  <c r="H19" i="2"/>
  <c r="H21" i="2"/>
  <c r="F9" i="5"/>
  <c r="L17" i="5"/>
  <c r="F29" i="2"/>
  <c r="F38" i="2"/>
  <c r="F19" i="2"/>
  <c r="L36" i="5"/>
  <c r="D30" i="7"/>
  <c r="E16" i="7" s="1"/>
  <c r="E8" i="6"/>
  <c r="E12" i="6"/>
  <c r="L23" i="5"/>
  <c r="F16" i="5"/>
  <c r="F25" i="5"/>
  <c r="N17" i="5"/>
  <c r="L12" i="5"/>
  <c r="N35" i="5"/>
  <c r="N26" i="5"/>
  <c r="L21" i="5"/>
  <c r="F31" i="5"/>
  <c r="N11" i="5"/>
  <c r="D28" i="4"/>
  <c r="F21" i="2"/>
  <c r="E15" i="3"/>
  <c r="F28" i="2"/>
  <c r="F34" i="5"/>
  <c r="C7" i="2"/>
  <c r="D7" i="2" s="1"/>
  <c r="F7" i="2"/>
  <c r="C44" i="2"/>
  <c r="N44" i="2" s="1"/>
  <c r="E34" i="6"/>
  <c r="E27" i="6"/>
  <c r="E28" i="6"/>
  <c r="E11" i="6"/>
  <c r="L37" i="5"/>
  <c r="L34" i="5"/>
  <c r="F28" i="5"/>
  <c r="N8" i="5"/>
  <c r="N29" i="5"/>
  <c r="L24" i="5"/>
  <c r="L33" i="5"/>
  <c r="F14" i="5"/>
  <c r="N23" i="5"/>
  <c r="L18" i="5"/>
  <c r="F11" i="5"/>
  <c r="E30" i="3"/>
  <c r="E34" i="3"/>
  <c r="F26" i="4"/>
  <c r="E35" i="3"/>
  <c r="F37" i="2"/>
  <c r="E14" i="3"/>
  <c r="F31" i="2"/>
  <c r="F25" i="2"/>
  <c r="F11" i="2"/>
  <c r="F27" i="2"/>
  <c r="H13" i="2"/>
  <c r="N22" i="2"/>
  <c r="N25" i="2"/>
  <c r="F18" i="2"/>
  <c r="F15" i="5"/>
  <c r="F30" i="5"/>
  <c r="N45" i="2"/>
  <c r="F9" i="2"/>
  <c r="E26" i="6"/>
  <c r="D28" i="7"/>
  <c r="F26" i="7" s="1"/>
  <c r="L15" i="5"/>
  <c r="F17" i="5"/>
  <c r="N9" i="5"/>
  <c r="F26" i="5"/>
  <c r="N18" i="5"/>
  <c r="L13" i="5"/>
  <c r="L35" i="5"/>
  <c r="L30" i="5"/>
  <c r="F23" i="5"/>
  <c r="E18" i="3"/>
  <c r="E13" i="3"/>
  <c r="E24" i="3"/>
  <c r="E19" i="3"/>
  <c r="G28" i="4"/>
  <c r="F34" i="2"/>
  <c r="F15" i="2"/>
  <c r="F17" i="2"/>
  <c r="F23" i="2"/>
  <c r="N10" i="2"/>
  <c r="F18" i="5"/>
  <c r="D38" i="2"/>
  <c r="F12" i="5"/>
  <c r="F32" i="2"/>
  <c r="C43" i="2"/>
  <c r="F43" i="2" s="1"/>
  <c r="E20" i="6"/>
  <c r="N32" i="5"/>
  <c r="L27" i="5"/>
  <c r="F20" i="5"/>
  <c r="F8" i="5"/>
  <c r="F35" i="5"/>
  <c r="F29" i="5"/>
  <c r="N21" i="5"/>
  <c r="L16" i="5"/>
  <c r="N30" i="5"/>
  <c r="L25" i="5"/>
  <c r="N15" i="5"/>
  <c r="L10" i="5"/>
  <c r="C46" i="2"/>
  <c r="N46" i="2" s="1"/>
  <c r="E20" i="3"/>
  <c r="F22" i="2"/>
  <c r="H7" i="2"/>
  <c r="H1" i="2"/>
  <c r="N28" i="2"/>
  <c r="N43" i="2"/>
  <c r="F20" i="2"/>
  <c r="N9" i="2"/>
  <c r="L26" i="2"/>
  <c r="L17" i="2"/>
  <c r="F10" i="2"/>
  <c r="F24" i="2"/>
  <c r="D7" i="5" l="1"/>
  <c r="D25" i="5"/>
  <c r="D32" i="5"/>
  <c r="D18" i="5"/>
  <c r="D16" i="5"/>
  <c r="E20" i="4"/>
  <c r="E19" i="4"/>
  <c r="D29" i="2"/>
  <c r="E13" i="4"/>
  <c r="D23" i="2"/>
  <c r="E23" i="4"/>
  <c r="D12" i="2"/>
  <c r="D8" i="2"/>
  <c r="D15" i="2"/>
  <c r="E16" i="4"/>
  <c r="E18" i="4"/>
  <c r="E8" i="4"/>
  <c r="E17" i="4"/>
  <c r="D20" i="2"/>
  <c r="D36" i="2"/>
  <c r="E9" i="4"/>
  <c r="E15" i="4"/>
  <c r="E26" i="4"/>
  <c r="E25" i="4"/>
  <c r="H46" i="2"/>
  <c r="E27" i="4"/>
  <c r="F44" i="2"/>
  <c r="E10" i="4"/>
  <c r="D17" i="2"/>
  <c r="E7" i="4"/>
  <c r="E21" i="4"/>
  <c r="D32" i="2"/>
  <c r="D26" i="2"/>
  <c r="D24" i="2"/>
  <c r="D22" i="2"/>
  <c r="D33" i="2"/>
  <c r="H45" i="2"/>
  <c r="E11" i="4"/>
  <c r="D35" i="2"/>
  <c r="D18" i="2"/>
  <c r="D10" i="2"/>
  <c r="L45" i="2"/>
  <c r="D25" i="2"/>
  <c r="D30" i="2"/>
  <c r="E24" i="7"/>
  <c r="E26" i="7"/>
  <c r="F24" i="7"/>
  <c r="D11" i="5"/>
  <c r="E10" i="7"/>
  <c r="F10" i="7"/>
  <c r="E12" i="7"/>
  <c r="D21" i="5"/>
  <c r="E14" i="7"/>
  <c r="E23" i="7"/>
  <c r="D34" i="5"/>
  <c r="E21" i="7"/>
  <c r="E22" i="7"/>
  <c r="E7" i="7"/>
  <c r="D10" i="5"/>
  <c r="D31" i="5"/>
  <c r="E9" i="7"/>
  <c r="E17" i="7"/>
  <c r="E8" i="7"/>
  <c r="E11" i="7"/>
  <c r="E27" i="7"/>
  <c r="E15" i="7"/>
  <c r="E18" i="7"/>
  <c r="D9" i="5"/>
  <c r="F8" i="7"/>
  <c r="D30" i="5"/>
  <c r="D14" i="5"/>
  <c r="D35" i="5"/>
  <c r="D26" i="5"/>
  <c r="D28" i="5"/>
  <c r="D17" i="5"/>
  <c r="D20" i="5"/>
  <c r="D12" i="5"/>
  <c r="F11" i="7"/>
  <c r="F14" i="7"/>
  <c r="D8" i="5"/>
  <c r="D23" i="5"/>
  <c r="F27" i="7"/>
  <c r="D15" i="5"/>
  <c r="J32" i="5"/>
  <c r="J14" i="5"/>
  <c r="J19" i="5"/>
  <c r="J15" i="5"/>
  <c r="J28" i="5"/>
  <c r="J30" i="5"/>
  <c r="J7" i="5"/>
  <c r="J16" i="5"/>
  <c r="J35" i="5"/>
  <c r="J38" i="5"/>
  <c r="J31" i="5"/>
  <c r="J20" i="5"/>
  <c r="J22" i="5"/>
  <c r="J36" i="5"/>
  <c r="J11" i="5"/>
  <c r="J12" i="5"/>
  <c r="J8" i="5"/>
  <c r="J17" i="5"/>
  <c r="J34" i="5"/>
  <c r="J27" i="5"/>
  <c r="J23" i="5"/>
  <c r="J21" i="5"/>
  <c r="J37" i="5"/>
  <c r="J10" i="5"/>
  <c r="J18" i="5"/>
  <c r="J13" i="5"/>
  <c r="J24" i="5"/>
  <c r="J29" i="5"/>
  <c r="J25" i="5"/>
  <c r="J26" i="5"/>
  <c r="J9" i="5"/>
  <c r="J33" i="5"/>
  <c r="F21" i="7"/>
  <c r="D29" i="5"/>
  <c r="D33" i="5"/>
  <c r="D19" i="5"/>
  <c r="D38" i="5"/>
  <c r="E25" i="7"/>
  <c r="D22" i="5"/>
  <c r="F17" i="7"/>
  <c r="D36" i="5"/>
  <c r="E28" i="4"/>
  <c r="F28" i="4"/>
  <c r="F21" i="4"/>
  <c r="F22" i="7"/>
  <c r="F12" i="7"/>
  <c r="F15" i="7"/>
  <c r="F23" i="4"/>
  <c r="L46" i="2"/>
  <c r="D28" i="2"/>
  <c r="E24" i="4"/>
  <c r="F19" i="4"/>
  <c r="F13" i="4"/>
  <c r="L43" i="2"/>
  <c r="F17" i="4"/>
  <c r="F16" i="7"/>
  <c r="F25" i="4"/>
  <c r="F24" i="4"/>
  <c r="E14" i="4"/>
  <c r="D16" i="2"/>
  <c r="F7" i="7"/>
  <c r="F18" i="4"/>
  <c r="D34" i="2"/>
  <c r="D31" i="2"/>
  <c r="F10" i="4"/>
  <c r="E30" i="7"/>
  <c r="E29" i="7"/>
  <c r="E19" i="7"/>
  <c r="E30" i="4"/>
  <c r="E29" i="4"/>
  <c r="F11" i="4"/>
  <c r="D24" i="5"/>
  <c r="D37" i="5"/>
  <c r="E13" i="7"/>
  <c r="F14" i="4"/>
  <c r="E22" i="4"/>
  <c r="F12" i="4"/>
  <c r="D13" i="5"/>
  <c r="D9" i="2"/>
  <c r="F28" i="7"/>
  <c r="E28" i="7"/>
  <c r="F18" i="7"/>
  <c r="F27" i="4"/>
  <c r="D37" i="2"/>
  <c r="F19" i="7"/>
  <c r="D14" i="2"/>
  <c r="F13" i="7"/>
  <c r="D13" i="2"/>
  <c r="F22" i="4"/>
  <c r="F9" i="4"/>
  <c r="D43" i="2"/>
  <c r="J43" i="2"/>
  <c r="F16" i="4"/>
  <c r="D44" i="2"/>
  <c r="J44" i="2"/>
  <c r="D27" i="2"/>
  <c r="F23" i="7"/>
  <c r="J45" i="2"/>
  <c r="D45" i="2"/>
  <c r="F25" i="7"/>
  <c r="H30" i="7"/>
  <c r="H28" i="7"/>
  <c r="F20" i="4"/>
  <c r="F15" i="4"/>
  <c r="L44" i="2"/>
  <c r="H43" i="2"/>
  <c r="D21" i="2"/>
  <c r="E20" i="7"/>
  <c r="H44" i="2"/>
  <c r="D46" i="2"/>
  <c r="J46" i="2"/>
  <c r="F46" i="2"/>
  <c r="F8" i="4"/>
  <c r="D11" i="2"/>
  <c r="F7" i="4"/>
  <c r="F9" i="7"/>
  <c r="F20" i="7"/>
  <c r="D19" i="2"/>
  <c r="D27" i="5"/>
</calcChain>
</file>

<file path=xl/sharedStrings.xml><?xml version="1.0" encoding="utf-8"?>
<sst xmlns="http://schemas.openxmlformats.org/spreadsheetml/2006/main" count="1390" uniqueCount="125">
  <si>
    <t xml:space="preserve">TURISMO EN CIFRAS </t>
  </si>
  <si>
    <t>Plazas turísticas</t>
  </si>
  <si>
    <t>Plazas y número de establecimientos autorizados</t>
  </si>
  <si>
    <t>Alojativos</t>
  </si>
  <si>
    <t>Periodo actual</t>
  </si>
  <si>
    <t>Plazas turísticas autorizadas según tipología del establecimiento: distribución por municipios periodo actual</t>
  </si>
  <si>
    <t>Plazas turísticas autorizadas según municipio tipología y categoría del establecimiento: variación y diferencia respecto al cierre del año anterior</t>
  </si>
  <si>
    <t>Plazas turísticas autorizadas según tipología y categoría del establecimiento periodo actual</t>
  </si>
  <si>
    <t>Establecimientos turísticos autorizados según tipología del establecimiento periodo actual: distribución por municipios</t>
  </si>
  <si>
    <t>Establecimientos turísticos autorizadas según municipio tipología y categoría del establecimiento: variación y diferencia respecto al cierre del año anterior</t>
  </si>
  <si>
    <t>Establecimientos turísticos autorizados según tipología y categoría del establecimiento: distribución por categoría periodo actual</t>
  </si>
  <si>
    <t>Hoteles</t>
  </si>
  <si>
    <t>Apartamentos</t>
  </si>
  <si>
    <t>Hoteles rurales</t>
  </si>
  <si>
    <t>MUNICIPIO</t>
  </si>
  <si>
    <t>Total</t>
  </si>
  <si>
    <t>Vivienda vacacional</t>
  </si>
  <si>
    <t>Hoteles Rurales</t>
  </si>
  <si>
    <t>Casas Rurales</t>
  </si>
  <si>
    <t>Plazas</t>
  </si>
  <si>
    <t>cuota s/total insular</t>
  </si>
  <si>
    <t>Total Isla</t>
  </si>
  <si>
    <t>Adeje</t>
  </si>
  <si>
    <t>Arafo</t>
  </si>
  <si>
    <t>Arico</t>
  </si>
  <si>
    <t>Arona</t>
  </si>
  <si>
    <t>Buenavista del Norte</t>
  </si>
  <si>
    <t xml:space="preserve">Candelaria </t>
  </si>
  <si>
    <t>Fasnia</t>
  </si>
  <si>
    <t>Garachico</t>
  </si>
  <si>
    <t>Granadilla de Abona</t>
  </si>
  <si>
    <t>La Guancha</t>
  </si>
  <si>
    <t>Guía de Isora</t>
  </si>
  <si>
    <t>Güímar</t>
  </si>
  <si>
    <t>Icod de los Vinos</t>
  </si>
  <si>
    <t>La Laguna</t>
  </si>
  <si>
    <t>La Matanza de Acentejo</t>
  </si>
  <si>
    <t>La Orotava</t>
  </si>
  <si>
    <t>Puerto de la Cruz</t>
  </si>
  <si>
    <t>Los Realejos</t>
  </si>
  <si>
    <t>El Rosario</t>
  </si>
  <si>
    <t>San Juan de la Rambla</t>
  </si>
  <si>
    <t>San Miguel de Abona</t>
  </si>
  <si>
    <t>Santa Cruz De Tenerife</t>
  </si>
  <si>
    <t>Santa Ursula</t>
  </si>
  <si>
    <t>Santiago del Teide</t>
  </si>
  <si>
    <t>El Sauzal</t>
  </si>
  <si>
    <t>Los Silos</t>
  </si>
  <si>
    <t>Tacoronte</t>
  </si>
  <si>
    <t>El Tanque</t>
  </si>
  <si>
    <t>Tegueste</t>
  </si>
  <si>
    <t>La Victoria de Acentejo</t>
  </si>
  <si>
    <t>Vilaflor</t>
  </si>
  <si>
    <t xml:space="preserve">(*) Plazas Autorizadas conforme a Policía Turística.
FUENTE: Policía Turística. Cabildo Insular de Tenerife. ELABORACIÓN: Turismo de Tenerife </t>
  </si>
  <si>
    <t>Sur</t>
  </si>
  <si>
    <t>Norte</t>
  </si>
  <si>
    <t>Zona 2</t>
  </si>
  <si>
    <t>Santa Cruz</t>
  </si>
  <si>
    <t>HOTELES</t>
  </si>
  <si>
    <t>APARTAMENTOS</t>
  </si>
  <si>
    <t>Total hoteles</t>
  </si>
  <si>
    <t>1*</t>
  </si>
  <si>
    <t>2*</t>
  </si>
  <si>
    <t>3*</t>
  </si>
  <si>
    <t>4*</t>
  </si>
  <si>
    <t>5*</t>
  </si>
  <si>
    <t>5* lujo</t>
  </si>
  <si>
    <t>5* gran lujo</t>
  </si>
  <si>
    <t>Hotel emblemático</t>
  </si>
  <si>
    <t>Total apartamentos</t>
  </si>
  <si>
    <t>1LL</t>
  </si>
  <si>
    <t>2LL</t>
  </si>
  <si>
    <t>3LL</t>
  </si>
  <si>
    <t>5LL</t>
  </si>
  <si>
    <t>Casa emblemática</t>
  </si>
  <si>
    <t>categoría única/ sin dato</t>
  </si>
  <si>
    <t>dif. respecto cierre año anterior</t>
  </si>
  <si>
    <t>var respecto cierre año anterior</t>
  </si>
  <si>
    <t>establecimientos</t>
  </si>
  <si>
    <t>Total general</t>
  </si>
  <si>
    <t>Buenavista Del Norte</t>
  </si>
  <si>
    <t>Candelaria</t>
  </si>
  <si>
    <t>Granadilla De Abona</t>
  </si>
  <si>
    <t>Guia Isora</t>
  </si>
  <si>
    <t>Guimar</t>
  </si>
  <si>
    <t>Icod De Los Vinos</t>
  </si>
  <si>
    <t>San Cristobal De La Laguna</t>
  </si>
  <si>
    <t>La Matanza De Acentejo</t>
  </si>
  <si>
    <t>Puerto De La Cruz</t>
  </si>
  <si>
    <t>San Juan De La Rambla</t>
  </si>
  <si>
    <t>San Miguel De Abona</t>
  </si>
  <si>
    <t>Santa Cruz Tenerife</t>
  </si>
  <si>
    <t>Santiago Del Teide</t>
  </si>
  <si>
    <t>La Victoria De Acentejo</t>
  </si>
  <si>
    <t>Vilaflor De Chasna</t>
  </si>
  <si>
    <t>Vallehermoso</t>
  </si>
  <si>
    <t>_U</t>
  </si>
  <si>
    <t>Elegir un municipio</t>
  </si>
  <si>
    <t>cuota s/total insular sin Vivienda vacacional</t>
  </si>
  <si>
    <t>diferencia respecto al año anterior</t>
  </si>
  <si>
    <t>var respecto al año anterior</t>
  </si>
  <si>
    <t>Casas rurales</t>
  </si>
  <si>
    <t>Total plazas sin vivienda vacacional</t>
  </si>
  <si>
    <t xml:space="preserve">(*) Plazas inscritas en Policía Turística.
FUENTE: Policía Turística. Cabildo Insular de Tenerife. Datos abiertos Gobierno de Canarias para el dato Vivienda Vacacional.
 ELABORACIÓN: Turismo de Tenerife </t>
  </si>
  <si>
    <t>Establecimientos</t>
  </si>
  <si>
    <t>Etiquetas de fila</t>
  </si>
  <si>
    <t>Cuenta de establecimiento_id</t>
  </si>
  <si>
    <t>Suma de plazas</t>
  </si>
  <si>
    <t>Guia de Isora</t>
  </si>
  <si>
    <t>Güimar</t>
  </si>
  <si>
    <t>Tanque</t>
  </si>
  <si>
    <t>Zona Sur</t>
  </si>
  <si>
    <t>zona Norte</t>
  </si>
  <si>
    <t>Zona 1</t>
  </si>
  <si>
    <t>Total establecimientos sin vivienda vacacional</t>
  </si>
  <si>
    <t xml:space="preserve">(*) EStablecimientos inscritas en Policía Turística.
FUENTE: Policía Turística. Cabildo Insular de Tenerife. Datos abiertos Gobierno de Canarias para el dato Vivienda Vacacional. ELABORACIÓN: Turismo de Tenerife </t>
  </si>
  <si>
    <t>TENERIFE</t>
  </si>
  <si>
    <t>acumulado septiembre 2024</t>
  </si>
  <si>
    <t>Plazas turísticas registradas en Tenerife por tipología 
acumulado septiembre 2024</t>
  </si>
  <si>
    <t>Plazas turísticas autorizadas* según tipología del establecimiento
Distribución por Municipios
 septiembre 2024</t>
  </si>
  <si>
    <t>Plazas turísticas autorizadas* según tipología y categoría del establecimiento
Distribución por Municipios
 septiembre 2024</t>
  </si>
  <si>
    <t>-</t>
  </si>
  <si>
    <t>septiembre 2024</t>
  </si>
  <si>
    <t>Establecimientos turísticos autorizados* según tipología del establecimiento
Distribución por Municipios
 septiembre 2024</t>
  </si>
  <si>
    <t>Establecimientos turísticos autorizadas* según tipología y categoría del establecimiento
Distribución por Municipios
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</si>
</sst>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8"/>
      <color theme="1" tint="0.34998626667073579"/>
      <name val="Aptos Narrow"/>
      <family val="2"/>
      <scheme val="minor"/>
    </font>
    <font>
      <b/>
      <sz val="18"/>
      <color theme="1" tint="0.34998626667073579"/>
      <name val="Aptos Narrow"/>
      <family val="2"/>
      <scheme val="minor"/>
    </font>
    <font>
      <sz val="11"/>
      <color theme="1" tint="0.34998626667073579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b/>
      <sz val="14"/>
      <color theme="1" tint="0.34998626667073579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 tint="0.34998626667073579"/>
      <name val="Aptos Narrow"/>
      <family val="2"/>
      <scheme val="minor"/>
    </font>
    <font>
      <b/>
      <sz val="14"/>
      <color theme="9"/>
      <name val="Aptos Narrow"/>
      <family val="2"/>
      <scheme val="minor"/>
    </font>
    <font>
      <sz val="12"/>
      <color theme="1" tint="0.34998626667073579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0"/>
      <color theme="1" tint="0.34998626667073579"/>
      <name val="Aptos Narrow"/>
      <family val="2"/>
      <scheme val="minor"/>
    </font>
    <font>
      <sz val="10"/>
      <color indexed="8"/>
      <name val="MS Sans Serif"/>
      <family val="2"/>
    </font>
    <font>
      <b/>
      <sz val="12"/>
      <color theme="9"/>
      <name val="Aptos Narrow"/>
      <family val="2"/>
      <scheme val="minor"/>
    </font>
    <font>
      <sz val="12"/>
      <color theme="9"/>
      <name val="Aptos Narrow"/>
      <family val="2"/>
      <scheme val="minor"/>
    </font>
    <font>
      <sz val="10"/>
      <color theme="1" tint="0.34998626667073579"/>
      <name val="Aptos Narrow"/>
      <family val="2"/>
      <scheme val="minor"/>
    </font>
    <font>
      <sz val="9"/>
      <color theme="1" tint="0.34998626667073579"/>
      <name val="Aptos Narrow"/>
      <family val="2"/>
      <scheme val="minor"/>
    </font>
    <font>
      <b/>
      <sz val="10"/>
      <color theme="1"/>
      <name val="Arial"/>
      <family val="2"/>
    </font>
    <font>
      <sz val="14"/>
      <color theme="1" tint="0.499984740745262"/>
      <name val="Aptos Narrow"/>
      <family val="2"/>
      <scheme val="minor"/>
    </font>
    <font>
      <sz val="20"/>
      <color theme="9"/>
      <name val="Aptos Narrow"/>
      <family val="2"/>
      <scheme val="minor"/>
    </font>
    <font>
      <b/>
      <sz val="11"/>
      <color theme="1" tint="0.34998626667073579"/>
      <name val="Aptos Narrow"/>
      <family val="2"/>
      <scheme val="minor"/>
    </font>
    <font>
      <b/>
      <sz val="12"/>
      <color indexed="9"/>
      <name val="Aptos Narrow"/>
      <family val="2"/>
      <scheme val="minor"/>
    </font>
    <font>
      <b/>
      <sz val="11"/>
      <color theme="9" tint="0.39997558519241921"/>
      <name val="Aptos Narrow"/>
      <family val="2"/>
      <scheme val="minor"/>
    </font>
    <font>
      <b/>
      <sz val="11"/>
      <color theme="5" tint="0.3999755851924192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7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medium">
        <color theme="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theme="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" fontId="13" fillId="0" borderId="0">
      <alignment vertical="center"/>
    </xf>
    <xf numFmtId="0" fontId="15" fillId="0" borderId="0"/>
    <xf numFmtId="9" fontId="13" fillId="0" borderId="0" applyFont="0" applyFill="0" applyBorder="0" applyProtection="0">
      <alignment vertical="center"/>
    </xf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/>
    <xf numFmtId="0" fontId="7" fillId="0" borderId="2" xfId="0" applyFont="1" applyBorder="1"/>
    <xf numFmtId="0" fontId="9" fillId="2" borderId="0" xfId="2" applyFont="1" applyFill="1" applyAlignment="1">
      <alignment horizontal="left" indent="3"/>
    </xf>
    <xf numFmtId="0" fontId="10" fillId="0" borderId="0" xfId="2" applyFont="1" applyAlignment="1">
      <alignment horizontal="left" indent="1"/>
    </xf>
    <xf numFmtId="0" fontId="11" fillId="0" borderId="0" xfId="2" applyFont="1" applyAlignment="1">
      <alignment horizontal="left" indent="3"/>
    </xf>
    <xf numFmtId="0" fontId="8" fillId="0" borderId="0" xfId="2"/>
    <xf numFmtId="3" fontId="2" fillId="0" borderId="0" xfId="0" applyNumberFormat="1" applyFont="1"/>
    <xf numFmtId="1" fontId="9" fillId="0" borderId="0" xfId="3" applyFont="1" applyAlignment="1" applyProtection="1">
      <alignment horizontal="center" vertical="center" wrapText="1"/>
      <protection hidden="1"/>
    </xf>
    <xf numFmtId="1" fontId="14" fillId="2" borderId="0" xfId="3" applyFont="1" applyFill="1" applyAlignment="1" applyProtection="1">
      <alignment horizontal="center" vertical="center"/>
      <protection hidden="1"/>
    </xf>
    <xf numFmtId="17" fontId="14" fillId="2" borderId="6" xfId="3" applyNumberFormat="1" applyFont="1" applyFill="1" applyBorder="1" applyAlignment="1" applyProtection="1">
      <alignment horizontal="center" vertical="center" wrapText="1"/>
      <protection hidden="1"/>
    </xf>
    <xf numFmtId="1" fontId="14" fillId="2" borderId="7" xfId="3" applyFont="1" applyFill="1" applyBorder="1" applyAlignment="1" applyProtection="1">
      <alignment horizontal="center" vertical="center" wrapText="1"/>
      <protection hidden="1"/>
    </xf>
    <xf numFmtId="0" fontId="16" fillId="0" borderId="0" xfId="4" applyFont="1" applyAlignment="1" applyProtection="1">
      <alignment vertical="center"/>
      <protection hidden="1"/>
    </xf>
    <xf numFmtId="3" fontId="16" fillId="0" borderId="4" xfId="4" applyNumberFormat="1" applyFont="1" applyBorder="1" applyAlignment="1" applyProtection="1">
      <alignment horizontal="right" vertical="center" wrapText="1"/>
      <protection hidden="1"/>
    </xf>
    <xf numFmtId="164" fontId="16" fillId="0" borderId="5" xfId="5" applyNumberFormat="1" applyFont="1" applyBorder="1" applyProtection="1">
      <alignment vertical="center"/>
      <protection hidden="1"/>
    </xf>
    <xf numFmtId="0" fontId="17" fillId="0" borderId="0" xfId="0" applyFont="1"/>
    <xf numFmtId="0" fontId="14" fillId="0" borderId="0" xfId="4" applyFont="1" applyAlignment="1" applyProtection="1">
      <alignment vertical="center"/>
      <protection hidden="1"/>
    </xf>
    <xf numFmtId="3" fontId="14" fillId="0" borderId="4" xfId="4" applyNumberFormat="1" applyFont="1" applyBorder="1" applyAlignment="1" applyProtection="1">
      <alignment horizontal="right" vertical="center" wrapText="1"/>
      <protection hidden="1"/>
    </xf>
    <xf numFmtId="164" fontId="18" fillId="0" borderId="5" xfId="5" applyNumberFormat="1" applyFont="1" applyBorder="1" applyProtection="1">
      <alignment vertical="center"/>
      <protection hidden="1"/>
    </xf>
    <xf numFmtId="3" fontId="18" fillId="0" borderId="4" xfId="4" applyNumberFormat="1" applyFont="1" applyBorder="1" applyAlignment="1" applyProtection="1">
      <alignment horizontal="right" vertical="center" wrapText="1"/>
      <protection hidden="1"/>
    </xf>
    <xf numFmtId="3" fontId="5" fillId="0" borderId="0" xfId="0" applyNumberFormat="1" applyFont="1"/>
    <xf numFmtId="3" fontId="14" fillId="0" borderId="0" xfId="4" applyNumberFormat="1" applyFont="1" applyAlignment="1" applyProtection="1">
      <alignment horizontal="right" vertical="center" wrapText="1"/>
      <protection hidden="1"/>
    </xf>
    <xf numFmtId="164" fontId="18" fillId="0" borderId="0" xfId="5" applyNumberFormat="1" applyFont="1" applyBorder="1" applyProtection="1">
      <alignment vertical="center"/>
      <protection hidden="1"/>
    </xf>
    <xf numFmtId="3" fontId="18" fillId="0" borderId="0" xfId="4" applyNumberFormat="1" applyFont="1" applyAlignment="1" applyProtection="1">
      <alignment horizontal="right" vertical="center" wrapText="1"/>
      <protection hidden="1"/>
    </xf>
    <xf numFmtId="0" fontId="5" fillId="0" borderId="8" xfId="0" applyFont="1" applyBorder="1"/>
    <xf numFmtId="164" fontId="14" fillId="0" borderId="8" xfId="5" applyNumberFormat="1" applyFont="1" applyBorder="1" applyProtection="1">
      <alignment vertical="center"/>
      <protection hidden="1"/>
    </xf>
    <xf numFmtId="0" fontId="19" fillId="0" borderId="0" xfId="4" applyFont="1" applyAlignment="1" applyProtection="1">
      <alignment horizontal="left" vertical="center" wrapText="1"/>
      <protection hidden="1"/>
    </xf>
    <xf numFmtId="3" fontId="0" fillId="0" borderId="0" xfId="0" applyNumberFormat="1"/>
    <xf numFmtId="0" fontId="12" fillId="0" borderId="0" xfId="0" applyFont="1"/>
    <xf numFmtId="1" fontId="7" fillId="0" borderId="3" xfId="3" applyFont="1" applyBorder="1" applyAlignment="1" applyProtection="1">
      <alignment vertical="center" wrapText="1"/>
      <protection hidden="1"/>
    </xf>
    <xf numFmtId="164" fontId="7" fillId="0" borderId="3" xfId="1" applyNumberFormat="1" applyFont="1" applyBorder="1" applyAlignment="1" applyProtection="1">
      <alignment vertical="center" wrapText="1"/>
      <protection hidden="1"/>
    </xf>
    <xf numFmtId="1" fontId="9" fillId="0" borderId="9" xfId="3" applyFont="1" applyBorder="1" applyAlignment="1" applyProtection="1">
      <alignment horizontal="center" vertical="center" wrapText="1"/>
      <protection hidden="1"/>
    </xf>
    <xf numFmtId="3" fontId="14" fillId="0" borderId="9" xfId="4" applyNumberFormat="1" applyFont="1" applyBorder="1" applyAlignment="1" applyProtection="1">
      <alignment horizontal="right" vertical="center" wrapText="1"/>
      <protection hidden="1"/>
    </xf>
    <xf numFmtId="1" fontId="14" fillId="3" borderId="0" xfId="3" applyFont="1" applyFill="1" applyAlignment="1" applyProtection="1">
      <alignment horizontal="center" vertical="center"/>
      <protection hidden="1"/>
    </xf>
    <xf numFmtId="17" fontId="14" fillId="3" borderId="6" xfId="3" applyNumberFormat="1" applyFont="1" applyFill="1" applyBorder="1" applyAlignment="1" applyProtection="1">
      <alignment horizontal="center" vertical="center" wrapText="1"/>
      <protection hidden="1"/>
    </xf>
    <xf numFmtId="17" fontId="14" fillId="3" borderId="0" xfId="3" applyNumberFormat="1" applyFont="1" applyFill="1" applyAlignment="1" applyProtection="1">
      <alignment horizontal="center" vertical="center" wrapText="1"/>
      <protection hidden="1"/>
    </xf>
    <xf numFmtId="1" fontId="14" fillId="3" borderId="7" xfId="3" applyFont="1" applyFill="1" applyBorder="1" applyAlignment="1" applyProtection="1">
      <alignment horizontal="center" vertical="center" wrapText="1"/>
      <protection hidden="1"/>
    </xf>
    <xf numFmtId="17" fontId="14" fillId="2" borderId="0" xfId="3" applyNumberFormat="1" applyFont="1" applyFill="1" applyAlignment="1" applyProtection="1">
      <alignment horizontal="center" vertical="center" wrapText="1"/>
      <protection hidden="1"/>
    </xf>
    <xf numFmtId="1" fontId="14" fillId="2" borderId="22" xfId="3" applyFont="1" applyFill="1" applyBorder="1" applyAlignment="1" applyProtection="1">
      <alignment horizontal="center" vertical="center" wrapText="1"/>
      <protection hidden="1"/>
    </xf>
    <xf numFmtId="17" fontId="14" fillId="3" borderId="23" xfId="3" applyNumberFormat="1" applyFont="1" applyFill="1" applyBorder="1" applyAlignment="1" applyProtection="1">
      <alignment horizontal="center" vertical="center" wrapText="1"/>
      <protection hidden="1"/>
    </xf>
    <xf numFmtId="17" fontId="14" fillId="3" borderId="24" xfId="3" applyNumberFormat="1" applyFont="1" applyFill="1" applyBorder="1" applyAlignment="1" applyProtection="1">
      <alignment horizontal="center" vertical="center" wrapText="1"/>
      <protection hidden="1"/>
    </xf>
    <xf numFmtId="1" fontId="14" fillId="3" borderId="25" xfId="3" applyFont="1" applyFill="1" applyBorder="1" applyAlignment="1" applyProtection="1">
      <alignment horizontal="center" vertical="center" wrapText="1"/>
      <protection hidden="1"/>
    </xf>
    <xf numFmtId="1" fontId="14" fillId="3" borderId="24" xfId="3" applyFont="1" applyFill="1" applyBorder="1" applyAlignment="1" applyProtection="1">
      <alignment horizontal="center" vertical="center" wrapText="1"/>
      <protection hidden="1"/>
    </xf>
    <xf numFmtId="17" fontId="14" fillId="2" borderId="26" xfId="3" applyNumberFormat="1" applyFont="1" applyFill="1" applyBorder="1" applyAlignment="1" applyProtection="1">
      <alignment horizontal="center" vertical="center" wrapText="1"/>
      <protection hidden="1"/>
    </xf>
    <xf numFmtId="1" fontId="14" fillId="2" borderId="27" xfId="3" applyFont="1" applyFill="1" applyBorder="1" applyAlignment="1" applyProtection="1">
      <alignment horizontal="center" vertical="center" wrapText="1"/>
      <protection hidden="1"/>
    </xf>
    <xf numFmtId="17" fontId="14" fillId="3" borderId="28" xfId="3" applyNumberFormat="1" applyFont="1" applyFill="1" applyBorder="1" applyAlignment="1" applyProtection="1">
      <alignment horizontal="center" vertical="center" wrapText="1"/>
      <protection hidden="1"/>
    </xf>
    <xf numFmtId="3" fontId="17" fillId="0" borderId="0" xfId="0" applyNumberFormat="1" applyFont="1"/>
    <xf numFmtId="164" fontId="16" fillId="0" borderId="5" xfId="5" applyNumberFormat="1" applyFont="1" applyBorder="1" applyAlignment="1" applyProtection="1">
      <alignment horizontal="right" vertical="center"/>
      <protection hidden="1"/>
    </xf>
    <xf numFmtId="3" fontId="16" fillId="0" borderId="0" xfId="4" applyNumberFormat="1" applyFont="1" applyAlignment="1" applyProtection="1">
      <alignment horizontal="right" vertical="center" wrapText="1"/>
      <protection hidden="1"/>
    </xf>
    <xf numFmtId="0" fontId="20" fillId="4" borderId="29" xfId="0" applyFont="1" applyFill="1" applyBorder="1" applyAlignment="1">
      <alignment horizontal="left"/>
    </xf>
    <xf numFmtId="164" fontId="18" fillId="0" borderId="5" xfId="5" applyNumberFormat="1" applyFont="1" applyBorder="1" applyAlignment="1" applyProtection="1">
      <alignment horizontal="right" vertical="center"/>
      <protection hidden="1"/>
    </xf>
    <xf numFmtId="0" fontId="0" fillId="0" borderId="0" xfId="0" applyAlignment="1">
      <alignment horizontal="left"/>
    </xf>
    <xf numFmtId="164" fontId="5" fillId="0" borderId="0" xfId="1" applyNumberFormat="1" applyFont="1"/>
    <xf numFmtId="0" fontId="19" fillId="0" borderId="0" xfId="4" applyFont="1" applyAlignment="1" applyProtection="1">
      <alignment vertical="center" wrapText="1"/>
      <protection hidden="1"/>
    </xf>
    <xf numFmtId="0" fontId="21" fillId="0" borderId="0" xfId="0" applyFont="1"/>
    <xf numFmtId="0" fontId="22" fillId="0" borderId="0" xfId="0" applyFont="1"/>
    <xf numFmtId="1" fontId="7" fillId="0" borderId="0" xfId="3" applyFont="1" applyAlignment="1" applyProtection="1">
      <alignment vertical="center" wrapText="1"/>
      <protection hidden="1"/>
    </xf>
    <xf numFmtId="1" fontId="23" fillId="0" borderId="3" xfId="3" applyFont="1" applyBorder="1" applyAlignment="1" applyProtection="1">
      <alignment horizontal="left" vertical="center" wrapText="1"/>
      <protection hidden="1"/>
    </xf>
    <xf numFmtId="1" fontId="24" fillId="0" borderId="0" xfId="3" applyFont="1" applyAlignment="1" applyProtection="1">
      <alignment horizontal="center" vertical="center" wrapText="1"/>
      <protection hidden="1"/>
    </xf>
    <xf numFmtId="1" fontId="14" fillId="2" borderId="0" xfId="3" applyFont="1" applyFill="1" applyAlignment="1" applyProtection="1">
      <alignment horizontal="center" vertical="center" wrapText="1"/>
      <protection hidden="1"/>
    </xf>
    <xf numFmtId="0" fontId="23" fillId="0" borderId="0" xfId="4" applyFont="1" applyAlignment="1" applyProtection="1">
      <alignment horizontal="left" vertical="center" indent="1"/>
      <protection hidden="1"/>
    </xf>
    <xf numFmtId="3" fontId="23" fillId="0" borderId="4" xfId="4" applyNumberFormat="1" applyFont="1" applyBorder="1" applyAlignment="1" applyProtection="1">
      <alignment horizontal="right" vertical="center" wrapText="1"/>
      <protection hidden="1"/>
    </xf>
    <xf numFmtId="164" fontId="23" fillId="0" borderId="5" xfId="5" applyNumberFormat="1" applyFont="1" applyBorder="1" applyProtection="1">
      <alignment vertical="center"/>
      <protection hidden="1"/>
    </xf>
    <xf numFmtId="164" fontId="23" fillId="0" borderId="4" xfId="1" applyNumberFormat="1" applyFont="1" applyBorder="1" applyAlignment="1" applyProtection="1">
      <alignment horizontal="right" vertical="center" wrapText="1"/>
      <protection hidden="1"/>
    </xf>
    <xf numFmtId="0" fontId="18" fillId="0" borderId="0" xfId="4" applyFont="1" applyAlignment="1" applyProtection="1">
      <alignment horizontal="left" vertical="center" indent="4"/>
      <protection hidden="1"/>
    </xf>
    <xf numFmtId="164" fontId="18" fillId="0" borderId="4" xfId="1" applyNumberFormat="1" applyFont="1" applyBorder="1" applyAlignment="1" applyProtection="1">
      <alignment horizontal="right" vertical="center" wrapText="1"/>
      <protection hidden="1"/>
    </xf>
    <xf numFmtId="0" fontId="18" fillId="0" borderId="0" xfId="4" applyFont="1" applyAlignment="1" applyProtection="1">
      <alignment horizontal="left" vertical="center" wrapText="1" indent="4"/>
      <protection hidden="1"/>
    </xf>
    <xf numFmtId="0" fontId="25" fillId="0" borderId="0" xfId="4" applyFont="1" applyAlignment="1" applyProtection="1">
      <alignment horizontal="left" vertical="center" wrapText="1" indent="1"/>
      <protection hidden="1"/>
    </xf>
    <xf numFmtId="3" fontId="25" fillId="0" borderId="4" xfId="4" applyNumberFormat="1" applyFont="1" applyBorder="1" applyAlignment="1" applyProtection="1">
      <alignment horizontal="right" vertical="center" wrapText="1"/>
      <protection hidden="1"/>
    </xf>
    <xf numFmtId="164" fontId="25" fillId="0" borderId="5" xfId="5" applyNumberFormat="1" applyFont="1" applyBorder="1" applyProtection="1">
      <alignment vertical="center"/>
      <protection hidden="1"/>
    </xf>
    <xf numFmtId="164" fontId="25" fillId="0" borderId="4" xfId="1" applyNumberFormat="1" applyFont="1" applyBorder="1" applyAlignment="1" applyProtection="1">
      <alignment horizontal="right" vertical="center" wrapText="1"/>
      <protection hidden="1"/>
    </xf>
    <xf numFmtId="164" fontId="26" fillId="0" borderId="5" xfId="5" applyNumberFormat="1" applyFont="1" applyBorder="1" applyProtection="1">
      <alignment vertical="center"/>
      <protection hidden="1"/>
    </xf>
    <xf numFmtId="0" fontId="16" fillId="0" borderId="0" xfId="4" applyFont="1" applyAlignment="1" applyProtection="1">
      <alignment horizontal="left" vertical="center" indent="1"/>
      <protection hidden="1"/>
    </xf>
    <xf numFmtId="164" fontId="16" fillId="0" borderId="4" xfId="1" applyNumberFormat="1" applyFont="1" applyBorder="1" applyAlignment="1" applyProtection="1">
      <alignment horizontal="right" vertical="center" wrapText="1"/>
      <protection hidden="1"/>
    </xf>
    <xf numFmtId="0" fontId="0" fillId="0" borderId="0" xfId="0" applyAlignment="1">
      <alignment horizontal="left" indent="1"/>
    </xf>
    <xf numFmtId="0" fontId="27" fillId="0" borderId="0" xfId="0" applyFont="1" applyAlignment="1">
      <alignment horizontal="left" indent="1"/>
    </xf>
    <xf numFmtId="0" fontId="20" fillId="4" borderId="31" xfId="0" applyFont="1" applyFill="1" applyBorder="1"/>
    <xf numFmtId="0" fontId="20" fillId="4" borderId="29" xfId="0" applyFont="1" applyFill="1" applyBorder="1"/>
    <xf numFmtId="0" fontId="0" fillId="0" borderId="0" xfId="0" applyAlignment="1">
      <alignment horizontal="center" vertical="center"/>
    </xf>
    <xf numFmtId="1" fontId="23" fillId="0" borderId="3" xfId="3" applyFont="1" applyBorder="1" applyAlignment="1" applyProtection="1">
      <alignment vertical="center" wrapText="1"/>
      <protection hidden="1"/>
    </xf>
    <xf numFmtId="0" fontId="12" fillId="0" borderId="0" xfId="0" applyFont="1" applyAlignment="1">
      <alignment wrapText="1"/>
    </xf>
    <xf numFmtId="0" fontId="28" fillId="0" borderId="0" xfId="4" applyFont="1" applyAlignment="1" applyProtection="1">
      <alignment horizontal="left" vertical="center" indent="1"/>
      <protection hidden="1"/>
    </xf>
    <xf numFmtId="3" fontId="26" fillId="0" borderId="4" xfId="4" applyNumberFormat="1" applyFont="1" applyBorder="1" applyAlignment="1" applyProtection="1">
      <alignment horizontal="right" vertical="center" wrapText="1"/>
      <protection hidden="1"/>
    </xf>
    <xf numFmtId="164" fontId="26" fillId="0" borderId="4" xfId="1" applyNumberFormat="1" applyFont="1" applyBorder="1" applyAlignment="1" applyProtection="1">
      <alignment horizontal="right" vertical="center" wrapText="1"/>
      <protection hidden="1"/>
    </xf>
    <xf numFmtId="0" fontId="5" fillId="0" borderId="8" xfId="0" applyFont="1" applyBorder="1" applyAlignment="1">
      <alignment horizontal="left" indent="1"/>
    </xf>
    <xf numFmtId="0" fontId="19" fillId="0" borderId="0" xfId="4" applyFont="1" applyAlignment="1" applyProtection="1">
      <alignment horizontal="left" vertical="center" wrapText="1"/>
      <protection hidden="1"/>
    </xf>
    <xf numFmtId="0" fontId="12" fillId="0" borderId="0" xfId="0" applyFont="1" applyAlignment="1">
      <alignment horizontal="center"/>
    </xf>
    <xf numFmtId="1" fontId="7" fillId="0" borderId="3" xfId="3" applyFont="1" applyBorder="1" applyAlignment="1" applyProtection="1">
      <alignment horizontal="left" vertical="center" wrapText="1"/>
      <protection hidden="1"/>
    </xf>
    <xf numFmtId="1" fontId="14" fillId="2" borderId="0" xfId="3" applyFont="1" applyFill="1" applyAlignment="1" applyProtection="1">
      <alignment horizontal="center" vertical="center"/>
      <protection hidden="1"/>
    </xf>
    <xf numFmtId="1" fontId="14" fillId="2" borderId="4" xfId="3" applyFont="1" applyFill="1" applyBorder="1" applyAlignment="1" applyProtection="1">
      <alignment horizontal="center" vertical="center"/>
      <protection hidden="1"/>
    </xf>
    <xf numFmtId="1" fontId="14" fillId="2" borderId="5" xfId="3" applyFont="1" applyFill="1" applyBorder="1" applyAlignment="1" applyProtection="1">
      <alignment horizontal="center" vertical="center"/>
      <protection hidden="1"/>
    </xf>
    <xf numFmtId="1" fontId="14" fillId="2" borderId="14" xfId="3" applyFont="1" applyFill="1" applyBorder="1" applyAlignment="1" applyProtection="1">
      <alignment horizontal="center" vertical="center"/>
      <protection hidden="1"/>
    </xf>
    <xf numFmtId="1" fontId="14" fillId="2" borderId="15" xfId="3" applyFont="1" applyFill="1" applyBorder="1" applyAlignment="1" applyProtection="1">
      <alignment horizontal="center" vertical="center"/>
      <protection hidden="1"/>
    </xf>
    <xf numFmtId="1" fontId="14" fillId="2" borderId="19" xfId="3" applyFont="1" applyFill="1" applyBorder="1" applyAlignment="1" applyProtection="1">
      <alignment horizontal="center" vertical="center"/>
      <protection hidden="1"/>
    </xf>
    <xf numFmtId="1" fontId="14" fillId="3" borderId="16" xfId="3" applyFont="1" applyFill="1" applyBorder="1" applyAlignment="1" applyProtection="1">
      <alignment horizontal="center" vertical="center"/>
      <protection hidden="1"/>
    </xf>
    <xf numFmtId="1" fontId="14" fillId="3" borderId="17" xfId="3" applyFont="1" applyFill="1" applyBorder="1" applyAlignment="1" applyProtection="1">
      <alignment horizontal="center" vertical="center"/>
      <protection hidden="1"/>
    </xf>
    <xf numFmtId="1" fontId="14" fillId="3" borderId="18" xfId="3" applyFont="1" applyFill="1" applyBorder="1" applyAlignment="1" applyProtection="1">
      <alignment horizontal="center" vertical="center"/>
      <protection hidden="1"/>
    </xf>
    <xf numFmtId="1" fontId="14" fillId="3" borderId="20" xfId="3" applyFont="1" applyFill="1" applyBorder="1" applyAlignment="1" applyProtection="1">
      <alignment horizontal="center" vertical="center"/>
      <protection hidden="1"/>
    </xf>
    <xf numFmtId="1" fontId="14" fillId="3" borderId="0" xfId="3" applyFont="1" applyFill="1" applyAlignment="1" applyProtection="1">
      <alignment horizontal="center" vertical="center"/>
      <protection hidden="1"/>
    </xf>
    <xf numFmtId="1" fontId="14" fillId="3" borderId="21" xfId="3" applyFont="1" applyFill="1" applyBorder="1" applyAlignment="1" applyProtection="1">
      <alignment horizontal="center" vertical="center"/>
      <protection hidden="1"/>
    </xf>
    <xf numFmtId="1" fontId="14" fillId="2" borderId="10" xfId="3" applyFont="1" applyFill="1" applyBorder="1" applyAlignment="1" applyProtection="1">
      <alignment horizontal="center" vertical="center"/>
      <protection hidden="1"/>
    </xf>
    <xf numFmtId="1" fontId="14" fillId="2" borderId="11" xfId="3" applyFont="1" applyFill="1" applyBorder="1" applyAlignment="1" applyProtection="1">
      <alignment horizontal="center" vertical="center"/>
      <protection hidden="1"/>
    </xf>
    <xf numFmtId="1" fontId="14" fillId="3" borderId="12" xfId="3" applyFont="1" applyFill="1" applyBorder="1" applyAlignment="1" applyProtection="1">
      <alignment horizontal="center" vertical="center"/>
      <protection hidden="1"/>
    </xf>
    <xf numFmtId="1" fontId="14" fillId="3" borderId="13" xfId="3" applyFont="1" applyFill="1" applyBorder="1" applyAlignment="1" applyProtection="1">
      <alignment horizontal="center" vertical="center"/>
      <protection hidden="1"/>
    </xf>
    <xf numFmtId="0" fontId="19" fillId="0" borderId="30" xfId="4" applyFont="1" applyBorder="1" applyAlignment="1" applyProtection="1">
      <alignment horizontal="left" vertical="center" wrapText="1"/>
      <protection hidden="1"/>
    </xf>
    <xf numFmtId="1" fontId="14" fillId="3" borderId="4" xfId="3" applyFont="1" applyFill="1" applyBorder="1" applyAlignment="1" applyProtection="1">
      <alignment horizontal="center" vertical="center"/>
      <protection hidden="1"/>
    </xf>
    <xf numFmtId="1" fontId="14" fillId="3" borderId="5" xfId="3" applyFont="1" applyFill="1" applyBorder="1" applyAlignment="1" applyProtection="1">
      <alignment horizontal="center" vertical="center"/>
      <protection hidden="1"/>
    </xf>
    <xf numFmtId="1" fontId="7" fillId="0" borderId="0" xfId="3" applyFont="1" applyAlignment="1" applyProtection="1">
      <alignment horizontal="left" vertical="center" wrapText="1"/>
      <protection hidden="1"/>
    </xf>
    <xf numFmtId="1" fontId="23" fillId="0" borderId="3" xfId="3" applyFont="1" applyBorder="1" applyAlignment="1" applyProtection="1">
      <alignment horizontal="left" vertical="center" wrapText="1"/>
      <protection hidden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Hipervínculo" xfId="2" builtinId="8"/>
    <cellStyle name="Normal" xfId="0" builtinId="0"/>
    <cellStyle name="Normal 2" xfId="3" xr:uid="{5F62D214-0E7F-4EC3-B95F-FE6B74187AEE}"/>
    <cellStyle name="Normal_PlazasEstablecimientosMunicipioAutAños" xfId="4" xr:uid="{542ED811-57DF-48C9-A5E8-233ED6A47096}"/>
    <cellStyle name="Porcentaje" xfId="1" builtinId="5"/>
    <cellStyle name="Porcentual 2" xfId="5" xr:uid="{DA7DDA1D-2BBC-4E24-BBCA-B692FD541440}"/>
  </cellStyles>
  <dxfs count="0"/>
  <tableStyles count="1" defaultTableStyle="TableStyleMedium2" defaultPivotStyle="PivotStyleLight16">
    <tableStyle name="Invisible" pivot="0" table="0" count="0" xr9:uid="{C3894360-A97B-4F7B-883D-E77CE27AF2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8463642319058"/>
          <c:y val="0.27045275590551182"/>
          <c:w val="0.45519569782425451"/>
          <c:h val="0.61957203266258387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F5-4D1C-97FC-F16026FED586}"/>
              </c:ext>
            </c:extLst>
          </c:dPt>
          <c:dPt>
            <c:idx val="1"/>
            <c:bubble3D val="0"/>
            <c:spPr>
              <a:solidFill>
                <a:schemeClr val="accent6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F5-4D1C-97FC-F16026FED586}"/>
              </c:ext>
            </c:extLst>
          </c:dPt>
          <c:dPt>
            <c:idx val="2"/>
            <c:bubble3D val="0"/>
            <c:spPr>
              <a:solidFill>
                <a:schemeClr val="accent6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F5-4D1C-97FC-F16026FED586}"/>
              </c:ext>
            </c:extLst>
          </c:dPt>
          <c:dPt>
            <c:idx val="3"/>
            <c:bubble3D val="0"/>
            <c:spPr>
              <a:solidFill>
                <a:schemeClr val="accent6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F5-4D1C-97FC-F16026FED586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F5-4D1C-97FC-F16026FED586}"/>
              </c:ext>
            </c:extLst>
          </c:dPt>
          <c:dLbls>
            <c:dLbl>
              <c:idx val="0"/>
              <c:layout>
                <c:manualLayout>
                  <c:x val="-0.25963714185063619"/>
                  <c:y val="2.638548653640517E-2"/>
                </c:manualLayout>
              </c:layout>
              <c:tx>
                <c:rich>
                  <a:bodyPr/>
                  <a:lstStyle/>
                  <a:p>
                    <a:fld id="{2DC7828A-65F7-4F0A-B018-79C6FE8E10E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44995874-6158-4D30-88BC-B9E79A47C25D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fld id="{00E83CF0-E472-4DFB-BE0B-657B80FF7628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CF5-4D1C-97FC-F16026FED586}"/>
                </c:ext>
              </c:extLst>
            </c:dLbl>
            <c:dLbl>
              <c:idx val="1"/>
              <c:layout>
                <c:manualLayout>
                  <c:x val="-0.18395706180351351"/>
                  <c:y val="-0.12037037037037036"/>
                </c:manualLayout>
              </c:layout>
              <c:tx>
                <c:rich>
                  <a:bodyPr/>
                  <a:lstStyle/>
                  <a:p>
                    <a:fld id="{AA73D047-D73A-4D7D-AD86-E7EC8AB3730E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48D5433-8906-4D5F-AC19-80173D11E6E9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fld id="{D16C2AD2-915C-454E-A405-B28964845CC6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314046402405694"/>
                      <c:h val="0.2699196619451852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CF5-4D1C-97FC-F16026FED586}"/>
                </c:ext>
              </c:extLst>
            </c:dLbl>
            <c:dLbl>
              <c:idx val="2"/>
              <c:layout>
                <c:manualLayout>
                  <c:x val="0.17103153694510742"/>
                  <c:y val="-0.3157270098182171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91E7C5-6512-4764-8EF4-E72B5F8CD64C}" type="CATEGORYNAME">
                      <a:rPr lang="en-US"/>
                      <a:pPr>
                        <a:defRPr b="1"/>
                      </a:pPr>
                      <a:t>[NOMBRE DE CATEGORÍA]</a:t>
                    </a:fld>
                    <a:endParaRPr lang="en-US" baseline="0"/>
                  </a:p>
                  <a:p>
                    <a:pPr>
                      <a:defRPr b="1"/>
                    </a:pPr>
                    <a:fld id="{9484C588-55B2-4A93-AE03-E5375194BF12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pPr>
                      <a:defRPr b="1"/>
                    </a:pPr>
                    <a:fld id="{2312508B-589D-426C-8722-737BA7FC961C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[PORCENTAJE]</a:t>
                    </a:fld>
                    <a:endParaRPr lang="es-E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911559999364359"/>
                      <c:h val="0.3303703699291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CF5-4D1C-97FC-F16026FED586}"/>
                </c:ext>
              </c:extLst>
            </c:dLbl>
            <c:dLbl>
              <c:idx val="3"/>
              <c:layout>
                <c:manualLayout>
                  <c:x val="0.19829928432173044"/>
                  <c:y val="-6.831340526878595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6CC90B-DD90-4B91-BDD6-23D3DACAD489}" type="CATEGORYNAME">
                      <a:rPr lang="en-US"/>
                      <a:pPr>
                        <a:defRPr b="1"/>
                      </a:pPr>
                      <a:t>[NOMBRE DE CATEGORÍA]</a:t>
                    </a:fld>
                    <a:endParaRPr lang="en-US" baseline="0"/>
                  </a:p>
                  <a:p>
                    <a:pPr>
                      <a:defRPr b="1"/>
                    </a:pPr>
                    <a:fld id="{65FF16E5-06AC-4C22-8594-E56852A0B9E8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pPr>
                      <a:defRPr b="1"/>
                    </a:pPr>
                    <a:fld id="{27D6B57C-C1CD-44A0-9058-DB0D78DE3BFC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[PORCENTAJE]</a:t>
                    </a:fld>
                    <a:endParaRPr lang="es-E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CF5-4D1C-97FC-F16026FED586}"/>
                </c:ext>
              </c:extLst>
            </c:dLbl>
            <c:dLbl>
              <c:idx val="4"/>
              <c:layout>
                <c:manualLayout>
                  <c:x val="0.19351881130594187"/>
                  <c:y val="0.11981870321765324"/>
                </c:manualLayout>
              </c:layout>
              <c:tx>
                <c:rich>
                  <a:bodyPr/>
                  <a:lstStyle/>
                  <a:p>
                    <a:fld id="{D6EA037B-DDCA-49E4-AA3E-D18263678D2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1CD1A88-07FC-48AB-88E0-9470D8D2D422}" type="VALU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r>
                      <a:rPr lang="en-US" baseline="0"/>
                      <a:t>
</a:t>
                    </a:r>
                    <a:fld id="{59B275F1-BB39-461C-B481-A19BCA3A3DAA}" type="PERCENTAG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CF5-4D1C-97FC-F16026FED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('plazas aut munic cuota aloj'!$E$1:$H$1,'plazas aut munic cuota aloj'!$I$5:$J$5)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Hoteles rurales</c:v>
                </c:pt>
                <c:pt idx="3">
                  <c:v>155.536</c:v>
                </c:pt>
                <c:pt idx="4">
                  <c:v>Vivienda vacacional</c:v>
                </c:pt>
              </c:strCache>
            </c:strRef>
          </c:cat>
          <c:val>
            <c:numRef>
              <c:f>('plazas aut munic cuota aloj'!$E$7,'plazas aut munic cuota aloj'!$G$7,'plazas aut munic cuota aloj'!$K$7,'plazas aut munic cuota aloj'!$M$7,'plazas aut munic cuota aloj'!$I$7)</c:f>
              <c:numCache>
                <c:formatCode>#,##0</c:formatCode>
                <c:ptCount val="5"/>
                <c:pt idx="0">
                  <c:v>87933</c:v>
                </c:pt>
                <c:pt idx="1">
                  <c:v>44872</c:v>
                </c:pt>
                <c:pt idx="2">
                  <c:v>527</c:v>
                </c:pt>
                <c:pt idx="3">
                  <c:v>1062</c:v>
                </c:pt>
                <c:pt idx="4">
                  <c:v>109075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F5-4D1C-97FC-F16026FE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  <c:holeSize val="4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accent6">
              <a:lumMod val="75000"/>
            </a:schemeClr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 catg cuota'!$C$3:$E$3</c:f>
          <c:strCache>
            <c:ptCount val="3"/>
            <c:pt idx="0">
              <c:v>Plazas turísticas inscritas* en Total Isla según tipología y categoría del establecimiento
Distribución por categoría</c:v>
            </c:pt>
          </c:strCache>
        </c:strRef>
      </c:tx>
      <c:layout>
        <c:manualLayout>
          <c:xMode val="edge"/>
          <c:yMode val="edge"/>
          <c:x val="9.1959308006207253E-7"/>
          <c:y val="1.383239417347713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l"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757178948575265E-2"/>
          <c:y val="0.28086520910774476"/>
          <c:w val="0.97760879170679205"/>
          <c:h val="0.51201919612989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'plazas aut catg cuota'!$C$4:$E$4</c:f>
              <c:strCache>
                <c:ptCount val="1"/>
                <c:pt idx="0">
                  <c:v>septiembre 2024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362263149246423E-3"/>
                  <c:y val="1.1881595713399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73-477C-8FDD-48B59FB2D4D0}"/>
                </c:ext>
              </c:extLst>
            </c:dLbl>
            <c:dLbl>
              <c:idx val="1"/>
              <c:layout>
                <c:manualLayout>
                  <c:x val="-4.1179054449789225E-3"/>
                  <c:y val="-1.4803585236493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73-477C-8FDD-48B59FB2D4D0}"/>
                </c:ext>
              </c:extLst>
            </c:dLbl>
            <c:dLbl>
              <c:idx val="2"/>
              <c:layout>
                <c:manualLayout>
                  <c:x val="-8.7475461406770604E-3"/>
                  <c:y val="5.1493667026062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73-477C-8FDD-48B59FB2D4D0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73-477C-8FDD-48B59FB2D4D0}"/>
                </c:ext>
              </c:extLst>
            </c:dLbl>
            <c:dLbl>
              <c:idx val="4"/>
              <c:layout>
                <c:manualLayout>
                  <c:x val="3.1566642404993496E-4"/>
                  <c:y val="1.457350812678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73-477C-8FDD-48B59FB2D4D0}"/>
                </c:ext>
              </c:extLst>
            </c:dLbl>
            <c:dLbl>
              <c:idx val="5"/>
              <c:layout>
                <c:manualLayout>
                  <c:x val="-5.0925835308417841E-3"/>
                  <c:y val="1.3550494984807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73-477C-8FDD-48B59FB2D4D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('plazas aut catg cuota'!$C$30,'plazas aut catg cuota'!$C$7,'plazas aut catg cuota'!$C$16,'plazas aut catg cuota'!$C$29,'plazas aut catg cuota'!$C$26,'plazas aut catg cuota'!$C$27)</c:f>
              <c:strCache>
                <c:ptCount val="6"/>
                <c:pt idx="0">
                  <c:v>Total</c:v>
                </c:pt>
                <c:pt idx="1">
                  <c:v>Hoteles</c:v>
                </c:pt>
                <c:pt idx="2">
                  <c:v>Apartamentos</c:v>
                </c:pt>
                <c:pt idx="3">
                  <c:v>Vivienda vacacional</c:v>
                </c:pt>
                <c:pt idx="4">
                  <c:v>Hoteles rurales</c:v>
                </c:pt>
                <c:pt idx="5">
                  <c:v>Casas rurales</c:v>
                </c:pt>
              </c:strCache>
            </c:strRef>
          </c:cat>
          <c:val>
            <c:numRef>
              <c:f>('plazas aut catg cuota'!$D$30,'plazas aut catg cuota'!$D$7,'plazas aut catg cuota'!$D$16,'plazas aut catg cuota'!$D$29,'plazas aut catg cuota'!$D$26,'plazas aut catg cuota'!$D$27)</c:f>
              <c:numCache>
                <c:formatCode>#,##0</c:formatCode>
                <c:ptCount val="6"/>
                <c:pt idx="0">
                  <c:v>243469</c:v>
                </c:pt>
                <c:pt idx="1">
                  <c:v>87933</c:v>
                </c:pt>
                <c:pt idx="2">
                  <c:v>44872</c:v>
                </c:pt>
                <c:pt idx="3">
                  <c:v>109075</c:v>
                </c:pt>
                <c:pt idx="4">
                  <c:v>527</c:v>
                </c:pt>
                <c:pt idx="5">
                  <c:v>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73-477C-8FDD-48B59FB2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82352"/>
        <c:axId val="128997584"/>
      </c:barChart>
      <c:catAx>
        <c:axId val="1289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Policía Turística. Cabildo Insular de Tenerife. ELABORACIÓN: Turismo de Tenerife   (*) Plazas Autorizadas conforme a Policía Turística.</a:t>
                </a:r>
              </a:p>
            </c:rich>
          </c:tx>
          <c:layout>
            <c:manualLayout>
              <c:xMode val="edge"/>
              <c:yMode val="edge"/>
              <c:x val="1.2971857456975445E-2"/>
              <c:y val="0.92037225042301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97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2898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8046494188226496E-4"/>
          <c:y val="0.20027699207501976"/>
          <c:w val="0.21101395866858297"/>
          <c:h val="5.3912253859262856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3344936407563221E-2"/>
          <c:y val="0.15771970811340891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75149891824237"/>
          <c:y val="0.37312076375068504"/>
          <c:w val="0.66612275733341031"/>
          <c:h val="0.55478670935363861"/>
        </c:manualLayout>
      </c:layout>
      <c:pie3DChart>
        <c:varyColors val="1"/>
        <c:ser>
          <c:idx val="0"/>
          <c:order val="0"/>
          <c:tx>
            <c:strRef>
              <c:f>'plazas aut catg cuota'!$C$4:$E$4</c:f>
              <c:strCache>
                <c:ptCount val="1"/>
                <c:pt idx="0">
                  <c:v>septiembre 2024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Lbls>
            <c:dLbl>
              <c:idx val="0"/>
              <c:layout>
                <c:manualLayout>
                  <c:x val="5.8293569595510915E-2"/>
                  <c:y val="-3.34420697412823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5D-427D-B23B-350B618158BA}"/>
                </c:ext>
              </c:extLst>
            </c:dLbl>
            <c:dLbl>
              <c:idx val="1"/>
              <c:layout>
                <c:manualLayout>
                  <c:x val="-0.11672401501942668"/>
                  <c:y val="1.429869343255170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5D-427D-B23B-350B618158BA}"/>
                </c:ext>
              </c:extLst>
            </c:dLbl>
            <c:dLbl>
              <c:idx val="2"/>
              <c:layout>
                <c:manualLayout>
                  <c:x val="-0.2121887833822145"/>
                  <c:y val="-4.344356955380577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5D-427D-B23B-350B618158BA}"/>
                </c:ext>
              </c:extLst>
            </c:dLbl>
            <c:dLbl>
              <c:idx val="3"/>
              <c:layout>
                <c:manualLayout>
                  <c:x val="-2.913883540051165E-2"/>
                  <c:y val="-8.065751781027374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5D-427D-B23B-350B618158BA}"/>
                </c:ext>
              </c:extLst>
            </c:dLbl>
            <c:dLbl>
              <c:idx val="4"/>
              <c:layout>
                <c:manualLayout>
                  <c:x val="0.2942676805102527"/>
                  <c:y val="6.937786622825992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5D-427D-B23B-350B618158BA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5D-427D-B23B-350B618158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('plazas aut catg cuota'!$C$7,'plazas aut catg cuota'!$C$16,'plazas aut catg cuota'!$C$29,'plazas aut catg cuota'!$C$26,'plazas aut catg cuota'!$C$27)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Vivienda vacacional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('plazas aut catg cuota'!$D$7,'plazas aut catg cuota'!$D$16,'plazas aut catg cuota'!$D$29,'plazas aut catg cuota'!$D$26,'plazas aut catg cuota'!$D$27)</c:f>
              <c:numCache>
                <c:formatCode>#,##0</c:formatCode>
                <c:ptCount val="5"/>
                <c:pt idx="0">
                  <c:v>87933</c:v>
                </c:pt>
                <c:pt idx="1">
                  <c:v>44872</c:v>
                </c:pt>
                <c:pt idx="2">
                  <c:v>109075</c:v>
                </c:pt>
                <c:pt idx="3">
                  <c:v>527</c:v>
                </c:pt>
                <c:pt idx="4">
                  <c:v>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5D-427D-B23B-350B61815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 aut catg cuota aloj'!$C$3:$E$3</c:f>
          <c:strCache>
            <c:ptCount val="3"/>
            <c:pt idx="0">
              <c:v>Establecimientos turísticos inscritos* en Total Isla según tipología y categoría del establecimiento
Distribución por categoría</c:v>
            </c:pt>
          </c:strCache>
        </c:strRef>
      </c:tx>
      <c:layout>
        <c:manualLayout>
          <c:xMode val="edge"/>
          <c:yMode val="edge"/>
          <c:x val="9.1959308006207253E-7"/>
          <c:y val="1.383239417347713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l"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965965252783343E-3"/>
          <c:y val="0.28763342082239712"/>
          <c:w val="0.97760879170679205"/>
          <c:h val="0.51201919612989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'estab aut catg cuota aloj'!$C$4:$E$4</c:f>
              <c:strCache>
                <c:ptCount val="1"/>
                <c:pt idx="0">
                  <c:v>septiembre 2024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362263149246423E-3"/>
                  <c:y val="1.1881595713399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CB-4CF5-BD6C-FAFE6D8CC4F7}"/>
                </c:ext>
              </c:extLst>
            </c:dLbl>
            <c:dLbl>
              <c:idx val="1"/>
              <c:layout>
                <c:manualLayout>
                  <c:x val="-4.1179054449789225E-3"/>
                  <c:y val="-1.4803585236493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CB-4CF5-BD6C-FAFE6D8CC4F7}"/>
                </c:ext>
              </c:extLst>
            </c:dLbl>
            <c:dLbl>
              <c:idx val="2"/>
              <c:layout>
                <c:manualLayout>
                  <c:x val="-8.7475461406770604E-3"/>
                  <c:y val="5.1493667026062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CB-4CF5-BD6C-FAFE6D8CC4F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CB-4CF5-BD6C-FAFE6D8CC4F7}"/>
                </c:ext>
              </c:extLst>
            </c:dLbl>
            <c:dLbl>
              <c:idx val="4"/>
              <c:layout>
                <c:manualLayout>
                  <c:x val="3.1566642404993496E-4"/>
                  <c:y val="1.457350812678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CB-4CF5-BD6C-FAFE6D8CC4F7}"/>
                </c:ext>
              </c:extLst>
            </c:dLbl>
            <c:dLbl>
              <c:idx val="5"/>
              <c:layout>
                <c:manualLayout>
                  <c:x val="-5.0925835308417841E-3"/>
                  <c:y val="1.3550494984807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CB-4CF5-BD6C-FAFE6D8CC4F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('estab aut catg cuota aloj'!$C$30,'estab aut catg cuota aloj'!$C$7,'estab aut catg cuota aloj'!$C$16,'estab aut catg cuota aloj'!$C$29,'estab aut catg cuota aloj'!$C$26,'estab aut catg cuota aloj'!$C$27)</c:f>
              <c:strCache>
                <c:ptCount val="6"/>
                <c:pt idx="0">
                  <c:v>Total</c:v>
                </c:pt>
                <c:pt idx="1">
                  <c:v>Hoteles</c:v>
                </c:pt>
                <c:pt idx="2">
                  <c:v>Apartamentos</c:v>
                </c:pt>
                <c:pt idx="3">
                  <c:v>Vivienda vacacional</c:v>
                </c:pt>
                <c:pt idx="4">
                  <c:v>Hoteles rurales</c:v>
                </c:pt>
                <c:pt idx="5">
                  <c:v>Casas rurales</c:v>
                </c:pt>
              </c:strCache>
            </c:strRef>
          </c:cat>
          <c:val>
            <c:numRef>
              <c:f>('estab aut catg cuota aloj'!$D$30,'estab aut catg cuota aloj'!$D$7,'estab aut catg cuota aloj'!$D$16,'estab aut catg cuota aloj'!$D$29,'estab aut catg cuota aloj'!$D$26,'estab aut catg cuota aloj'!$D$27)</c:f>
              <c:numCache>
                <c:formatCode>#,##0</c:formatCode>
                <c:ptCount val="6"/>
                <c:pt idx="0">
                  <c:v>26992</c:v>
                </c:pt>
                <c:pt idx="1">
                  <c:v>283</c:v>
                </c:pt>
                <c:pt idx="2">
                  <c:v>230</c:v>
                </c:pt>
                <c:pt idx="3">
                  <c:v>26291</c:v>
                </c:pt>
                <c:pt idx="4">
                  <c:v>23</c:v>
                </c:pt>
                <c:pt idx="5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CB-4CF5-BD6C-FAFE6D8CC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82352"/>
        <c:axId val="128997584"/>
      </c:barChart>
      <c:catAx>
        <c:axId val="1289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Policía Turística. Cabildo Insular de Tenerife. ELABORACIÓN: Turismo de Tenerife   (*) Plazas Autorizadas conforme a Policía Turística.</a:t>
                </a:r>
              </a:p>
            </c:rich>
          </c:tx>
          <c:layout>
            <c:manualLayout>
              <c:xMode val="edge"/>
              <c:yMode val="edge"/>
              <c:x val="1.2971857456975445E-2"/>
              <c:y val="0.92037225042301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97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28982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8046494188226496E-4"/>
          <c:y val="0.20027699207501976"/>
          <c:w val="0.21101395866858297"/>
          <c:h val="5.3912253859262856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3344936407563221E-2"/>
          <c:y val="0.15771970811340891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75149891824237"/>
          <c:y val="0.37312076375068504"/>
          <c:w val="0.66612275733341031"/>
          <c:h val="0.55478670935363861"/>
        </c:manualLayout>
      </c:layout>
      <c:pie3DChart>
        <c:varyColors val="1"/>
        <c:ser>
          <c:idx val="0"/>
          <c:order val="0"/>
          <c:tx>
            <c:strRef>
              <c:f>'estab aut catg cuota aloj'!$C$4:$E$4</c:f>
              <c:strCache>
                <c:ptCount val="1"/>
                <c:pt idx="0">
                  <c:v>septiembre 2024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Lbls>
            <c:dLbl>
              <c:idx val="0"/>
              <c:layout>
                <c:manualLayout>
                  <c:x val="2.5801550516226547E-2"/>
                  <c:y val="-0.1020133483314585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58-4ECF-9618-F761C308E857}"/>
                </c:ext>
              </c:extLst>
            </c:dLbl>
            <c:dLbl>
              <c:idx val="1"/>
              <c:layout>
                <c:manualLayout>
                  <c:x val="0.16177900566015357"/>
                  <c:y val="-5.04632920884889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58-4ECF-9618-F761C308E857}"/>
                </c:ext>
              </c:extLst>
            </c:dLbl>
            <c:dLbl>
              <c:idx val="2"/>
              <c:layout>
                <c:manualLayout>
                  <c:x val="-0.25396423648415162"/>
                  <c:y val="-0.2862491188601424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58-4ECF-9618-F761C308E857}"/>
                </c:ext>
              </c:extLst>
            </c:dLbl>
            <c:dLbl>
              <c:idx val="3"/>
              <c:layout>
                <c:manualLayout>
                  <c:x val="-6.6272571491122353E-2"/>
                  <c:y val="-2.35146606674165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58-4ECF-9618-F761C308E857}"/>
                </c:ext>
              </c:extLst>
            </c:dLbl>
            <c:dLbl>
              <c:idx val="4"/>
              <c:layout>
                <c:manualLayout>
                  <c:x val="6.4812258080195959E-3"/>
                  <c:y val="-0.1073478815148106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58-4ECF-9618-F761C308E857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58-4ECF-9618-F761C308E8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('estab aut catg cuota aloj'!$C$7,'estab aut catg cuota aloj'!$C$16,'estab aut catg cuota aloj'!$C$29,'estab aut catg cuota aloj'!$C$26,'estab aut catg cuota aloj'!$C$27)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Vivienda vacacional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('estab aut catg cuota aloj'!$D$7,'estab aut catg cuota aloj'!$D$16,'estab aut catg cuota aloj'!$D$29,'estab aut catg cuota aloj'!$D$26,'estab aut catg cuota aloj'!$D$27)</c:f>
              <c:numCache>
                <c:formatCode>#,##0</c:formatCode>
                <c:ptCount val="5"/>
                <c:pt idx="0">
                  <c:v>283</c:v>
                </c:pt>
                <c:pt idx="1">
                  <c:v>230</c:v>
                </c:pt>
                <c:pt idx="2">
                  <c:v>26291</c:v>
                </c:pt>
                <c:pt idx="3">
                  <c:v>23</c:v>
                </c:pt>
                <c:pt idx="4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58-4ECF-9618-F761C308E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Men&#250; principal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en&#250; principal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6696074</xdr:colOff>
      <xdr:row>0</xdr:row>
      <xdr:rowOff>104775</xdr:rowOff>
    </xdr:from>
    <xdr:to>
      <xdr:col>2</xdr:col>
      <xdr:colOff>17540</xdr:colOff>
      <xdr:row>2</xdr:row>
      <xdr:rowOff>335176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63477B53-9E76-4D03-953E-C7A3FF99F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4" y="104775"/>
          <a:ext cx="3217941" cy="87810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0.18681</cdr:y>
    </cdr:to>
    <cdr:sp macro="" textlink="'estab aut catg cuota aloj'!$I$2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E02FAD24-C82A-4993-81B6-146A2CA00A3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86F4B1A7-6DFE-45E9-BC4B-DBFD8F1B6DA8}" type="TxLink">
            <a:rPr lang="en-U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l"/>
            <a:t> 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0.93407</cdr:y>
    </cdr:from>
    <cdr:to>
      <cdr:x>1</cdr:x>
      <cdr:y>1</cdr:y>
    </cdr:to>
    <cdr:sp macro="" textlink="">
      <cdr:nvSpPr>
        <cdr:cNvPr id="5" name="4 CuadroTexto">
          <a:extLst xmlns:a="http://schemas.openxmlformats.org/drawingml/2006/main">
            <a:ext uri="{FF2B5EF4-FFF2-40B4-BE49-F238E27FC236}">
              <a16:creationId xmlns:a16="http://schemas.microsoft.com/office/drawing/2014/main" id="{D57FAF6C-FC67-438E-972A-B60A16D500BC}"/>
            </a:ext>
          </a:extLst>
        </cdr:cNvPr>
        <cdr:cNvSpPr txBox="1"/>
      </cdr:nvSpPr>
      <cdr:spPr>
        <a:xfrm xmlns:a="http://schemas.openxmlformats.org/drawingml/2006/main">
          <a:off x="0" y="3238501"/>
          <a:ext cx="5472113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2BCEF525-9626-440E-8B79-0EE48C575EA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00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Distribución de los establecimientos alojativos de Tenerife por</a:t>
          </a:r>
          <a:r>
            <a:rPr lang="es-ES" sz="1600" b="1" baseline="0">
              <a:solidFill>
                <a:schemeClr val="tx1">
                  <a:lumMod val="75000"/>
                  <a:lumOff val="25000"/>
                </a:schemeClr>
              </a:solidFill>
            </a:rPr>
            <a:t> tipología de alojamiento</a:t>
          </a:r>
          <a:endParaRPr lang="es-ES" sz="12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0</xdr:row>
      <xdr:rowOff>9525</xdr:rowOff>
    </xdr:from>
    <xdr:to>
      <xdr:col>14</xdr:col>
      <xdr:colOff>685800</xdr:colOff>
      <xdr:row>1</xdr:row>
      <xdr:rowOff>123825</xdr:rowOff>
    </xdr:to>
    <xdr:pic>
      <xdr:nvPicPr>
        <xdr:cNvPr id="2" name="2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AAB0F133-8DB7-4595-B344-D53B72E99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190500</xdr:colOff>
      <xdr:row>0</xdr:row>
      <xdr:rowOff>9525</xdr:rowOff>
    </xdr:from>
    <xdr:to>
      <xdr:col>14</xdr:col>
      <xdr:colOff>685800</xdr:colOff>
      <xdr:row>1</xdr:row>
      <xdr:rowOff>123825</xdr:rowOff>
    </xdr:to>
    <xdr:pic>
      <xdr:nvPicPr>
        <xdr:cNvPr id="3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AC606D1D-7F4B-4C71-AF14-400AC817E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542923</xdr:colOff>
      <xdr:row>2</xdr:row>
      <xdr:rowOff>76200</xdr:rowOff>
    </xdr:from>
    <xdr:to>
      <xdr:col>22</xdr:col>
      <xdr:colOff>47624</xdr:colOff>
      <xdr:row>21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99D4EC7-0947-4D5D-A0B4-FC5FD2439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5" name="Imagen 4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417466B0-0A33-45F9-B675-C7F12082D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0.94658</cdr:y>
    </cdr:from>
    <cdr:to>
      <cdr:x>0.97704</cdr:x>
      <cdr:y>1</cdr:y>
    </cdr:to>
    <cdr:sp macro="" textlink="">
      <cdr:nvSpPr>
        <cdr:cNvPr id="3" name="4 CuadroTexto">
          <a:extLst xmlns:a="http://schemas.openxmlformats.org/drawingml/2006/main">
            <a:ext uri="{FF2B5EF4-FFF2-40B4-BE49-F238E27FC236}">
              <a16:creationId xmlns:a16="http://schemas.microsoft.com/office/drawing/2014/main" id="{80C57082-7B49-4943-8346-F35EB3825B89}"/>
            </a:ext>
          </a:extLst>
        </cdr:cNvPr>
        <cdr:cNvSpPr txBox="1"/>
      </cdr:nvSpPr>
      <cdr:spPr>
        <a:xfrm xmlns:a="http://schemas.openxmlformats.org/drawingml/2006/main">
          <a:off x="0" y="3895006"/>
          <a:ext cx="5472113" cy="219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0.00907</cdr:x>
      <cdr:y>0.01235</cdr:y>
    </cdr:from>
    <cdr:to>
      <cdr:x>0.98611</cdr:x>
      <cdr:y>0.1637</cdr:y>
    </cdr:to>
    <cdr:sp macro="" textlink="'plazas aut munic cuota aloj'!$P$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67C8AA62-8B18-44AE-8003-ED76DA2172B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72113" cy="622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7331B23F-EAD3-4076-8E05-ACE72074B259}" type="TxLink">
            <a:rPr lang="en-US" sz="18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Calibri"/>
              <a:cs typeface="Calibri"/>
            </a:rPr>
            <a:pPr algn="l"/>
            <a:t>Plazas turísticas registradas en Tenerife por tipología 
acumulado septiembre 2024</a:t>
          </a:fld>
          <a:endParaRPr lang="es-ES" sz="2800" b="1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C4EC5319-254D-40EA-B7B7-2F9BB12D9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1005094</xdr:colOff>
      <xdr:row>2</xdr:row>
      <xdr:rowOff>75372</xdr:rowOff>
    </xdr:from>
    <xdr:to>
      <xdr:col>14</xdr:col>
      <xdr:colOff>106663</xdr:colOff>
      <xdr:row>19</xdr:row>
      <xdr:rowOff>152217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4A6149AE-6E47-4624-98AD-932F4D866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524703</xdr:colOff>
      <xdr:row>21</xdr:row>
      <xdr:rowOff>144258</xdr:rowOff>
    </xdr:from>
    <xdr:to>
      <xdr:col>13</xdr:col>
      <xdr:colOff>695094</xdr:colOff>
      <xdr:row>34</xdr:row>
      <xdr:rowOff>106249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B354780E-EFE9-4BC5-81CD-AE920F822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123825</xdr:colOff>
      <xdr:row>0</xdr:row>
      <xdr:rowOff>0</xdr:rowOff>
    </xdr:from>
    <xdr:to>
      <xdr:col>9</xdr:col>
      <xdr:colOff>618065</xdr:colOff>
      <xdr:row>1</xdr:row>
      <xdr:rowOff>114300</xdr:rowOff>
    </xdr:to>
    <xdr:pic>
      <xdr:nvPicPr>
        <xdr:cNvPr id="4" name="4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B31310E7-E329-4FFD-96A6-2998ECA10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0</xdr:rowOff>
    </xdr:from>
    <xdr:to>
      <xdr:col>9</xdr:col>
      <xdr:colOff>618065</xdr:colOff>
      <xdr:row>1</xdr:row>
      <xdr:rowOff>114300</xdr:rowOff>
    </xdr:to>
    <xdr:pic>
      <xdr:nvPicPr>
        <xdr:cNvPr id="5" name="7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CD9C0335-4175-428F-9265-582128AF5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33131</xdr:rowOff>
    </xdr:from>
    <xdr:to>
      <xdr:col>1</xdr:col>
      <xdr:colOff>1018017</xdr:colOff>
      <xdr:row>1</xdr:row>
      <xdr:rowOff>143199</xdr:rowOff>
    </xdr:to>
    <xdr:pic>
      <xdr:nvPicPr>
        <xdr:cNvPr id="6" name="Imagen 5">
          <a:hlinkClick xmlns:r="http://schemas.openxmlformats.org/officeDocument/2006/relationships" r:id="rId3" tooltip="Volver al menú principal"/>
          <a:extLst>
            <a:ext uri="{FF2B5EF4-FFF2-40B4-BE49-F238E27FC236}">
              <a16:creationId xmlns:a16="http://schemas.microsoft.com/office/drawing/2014/main" id="{2A74FAC4-DB4D-43EB-842D-B297A7265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131"/>
          <a:ext cx="1778957" cy="48577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0.18681</cdr:y>
    </cdr:to>
    <cdr:sp macro="" textlink="'plazas aut catg cuota'!$J$2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E02FAD24-C82A-4993-81B6-146A2CA00A3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86F4B1A7-6DFE-45E9-BC4B-DBFD8F1B6DA8}" type="TxLink">
            <a:rPr lang="en-U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l"/>
            <a:t> 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0.93407</cdr:y>
    </cdr:from>
    <cdr:to>
      <cdr:x>1</cdr:x>
      <cdr:y>1</cdr:y>
    </cdr:to>
    <cdr:sp macro="" textlink="">
      <cdr:nvSpPr>
        <cdr:cNvPr id="5" name="4 CuadroTexto">
          <a:extLst xmlns:a="http://schemas.openxmlformats.org/drawingml/2006/main">
            <a:ext uri="{FF2B5EF4-FFF2-40B4-BE49-F238E27FC236}">
              <a16:creationId xmlns:a16="http://schemas.microsoft.com/office/drawing/2014/main" id="{D57FAF6C-FC67-438E-972A-B60A16D500BC}"/>
            </a:ext>
          </a:extLst>
        </cdr:cNvPr>
        <cdr:cNvSpPr txBox="1"/>
      </cdr:nvSpPr>
      <cdr:spPr>
        <a:xfrm xmlns:a="http://schemas.openxmlformats.org/drawingml/2006/main">
          <a:off x="0" y="3238501"/>
          <a:ext cx="5472113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2BCEF525-9626-440E-8B79-0EE48C575EA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00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Distribución de las plazas alojativas de Tenerife por</a:t>
          </a:r>
          <a:r>
            <a:rPr lang="es-ES" sz="1600" b="1" baseline="0">
              <a:solidFill>
                <a:schemeClr val="tx1">
                  <a:lumMod val="75000"/>
                  <a:lumOff val="25000"/>
                </a:schemeClr>
              </a:solidFill>
            </a:rPr>
            <a:t> tipología de alojamiento</a:t>
          </a:r>
          <a:endParaRPr lang="es-ES" sz="12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0</xdr:row>
      <xdr:rowOff>266700</xdr:rowOff>
    </xdr:from>
    <xdr:to>
      <xdr:col>14</xdr:col>
      <xdr:colOff>600075</xdr:colOff>
      <xdr:row>2</xdr:row>
      <xdr:rowOff>190500</xdr:rowOff>
    </xdr:to>
    <xdr:pic>
      <xdr:nvPicPr>
        <xdr:cNvPr id="2" name="2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7706950F-34AC-4A65-872E-66786D54C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26670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104775</xdr:colOff>
      <xdr:row>0</xdr:row>
      <xdr:rowOff>266700</xdr:rowOff>
    </xdr:from>
    <xdr:to>
      <xdr:col>14</xdr:col>
      <xdr:colOff>600075</xdr:colOff>
      <xdr:row>2</xdr:row>
      <xdr:rowOff>190500</xdr:rowOff>
    </xdr:to>
    <xdr:pic>
      <xdr:nvPicPr>
        <xdr:cNvPr id="3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A41465A8-E535-4A71-B9CE-0C4877394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26670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4" name="Imagen 3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FCA023D5-C4D8-4130-9285-40FCBBA4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12C06B1E-A590-4B58-A71F-CD6987348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742950</xdr:colOff>
      <xdr:row>2</xdr:row>
      <xdr:rowOff>428625</xdr:rowOff>
    </xdr:from>
    <xdr:to>
      <xdr:col>11</xdr:col>
      <xdr:colOff>1552575</xdr:colOff>
      <xdr:row>21</xdr:row>
      <xdr:rowOff>28574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C178047-F91E-4491-81BA-FE0F1D371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1114425</xdr:colOff>
      <xdr:row>22</xdr:row>
      <xdr:rowOff>66674</xdr:rowOff>
    </xdr:from>
    <xdr:to>
      <xdr:col>11</xdr:col>
      <xdr:colOff>1295400</xdr:colOff>
      <xdr:row>35</xdr:row>
      <xdr:rowOff>171449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686FAE83-24D1-40F3-B4DD-E1DE41E0B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123825</xdr:colOff>
      <xdr:row>0</xdr:row>
      <xdr:rowOff>0</xdr:rowOff>
    </xdr:from>
    <xdr:to>
      <xdr:col>7</xdr:col>
      <xdr:colOff>619125</xdr:colOff>
      <xdr:row>1</xdr:row>
      <xdr:rowOff>114300</xdr:rowOff>
    </xdr:to>
    <xdr:pic>
      <xdr:nvPicPr>
        <xdr:cNvPr id="4" name="4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73016717-E8EB-46D4-A98C-7D41F2B49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0</xdr:row>
      <xdr:rowOff>0</xdr:rowOff>
    </xdr:from>
    <xdr:to>
      <xdr:col>7</xdr:col>
      <xdr:colOff>619125</xdr:colOff>
      <xdr:row>1</xdr:row>
      <xdr:rowOff>114300</xdr:rowOff>
    </xdr:to>
    <xdr:pic>
      <xdr:nvPicPr>
        <xdr:cNvPr id="5" name="7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FC5F2DE0-14F8-475A-8F4E-32E56FF4E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1018200</xdr:colOff>
      <xdr:row>1</xdr:row>
      <xdr:rowOff>152400</xdr:rowOff>
    </xdr:to>
    <xdr:pic>
      <xdr:nvPicPr>
        <xdr:cNvPr id="6" name="Imagen 5">
          <a:hlinkClick xmlns:r="http://schemas.openxmlformats.org/officeDocument/2006/relationships" r:id="rId3" tooltip="Volver al menú principal"/>
          <a:extLst>
            <a:ext uri="{FF2B5EF4-FFF2-40B4-BE49-F238E27FC236}">
              <a16:creationId xmlns:a16="http://schemas.microsoft.com/office/drawing/2014/main" id="{41B65BB1-51F6-40EF-A2BE-49CE25782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7802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1152E-7707-43B0-9941-6CB402BA9B61}">
  <dimension ref="B1:B24"/>
  <sheetViews>
    <sheetView showGridLines="0" zoomScaleNormal="100" workbookViewId="0">
      <selection activeCell="B19" sqref="B19"/>
    </sheetView>
  </sheetViews>
  <sheetFormatPr baseColWidth="10" defaultRowHeight="14.35" x14ac:dyDescent="0.5"/>
  <cols>
    <col min="2" max="2" width="148.41015625" customWidth="1"/>
  </cols>
  <sheetData>
    <row r="1" spans="2:2" x14ac:dyDescent="0.5">
      <c r="B1" s="1" t="s">
        <v>15</v>
      </c>
    </row>
    <row r="2" spans="2:2" ht="36.700000000000003" x14ac:dyDescent="1.25">
      <c r="B2" s="2" t="s">
        <v>0</v>
      </c>
    </row>
    <row r="3" spans="2:2" ht="36.700000000000003" x14ac:dyDescent="1.25">
      <c r="B3" s="2" t="s">
        <v>116</v>
      </c>
    </row>
    <row r="4" spans="2:2" ht="24" x14ac:dyDescent="0.85">
      <c r="B4" s="3" t="s">
        <v>117</v>
      </c>
    </row>
    <row r="5" spans="2:2" x14ac:dyDescent="0.5">
      <c r="B5" s="4"/>
    </row>
    <row r="6" spans="2:2" ht="21" thickBot="1" x14ac:dyDescent="0.75">
      <c r="B6" s="5" t="s">
        <v>1</v>
      </c>
    </row>
    <row r="7" spans="2:2" ht="14.7" thickTop="1" x14ac:dyDescent="0.5"/>
    <row r="8" spans="2:2" ht="18.7" thickBot="1" x14ac:dyDescent="0.7">
      <c r="B8" s="6" t="s">
        <v>2</v>
      </c>
    </row>
    <row r="9" spans="2:2" ht="15.7" x14ac:dyDescent="0.55000000000000004">
      <c r="B9" s="7" t="s">
        <v>3</v>
      </c>
    </row>
    <row r="10" spans="2:2" ht="18.350000000000001" x14ac:dyDescent="0.65">
      <c r="B10" s="8" t="s">
        <v>4</v>
      </c>
    </row>
    <row r="11" spans="2:2" ht="15.7" x14ac:dyDescent="0.55000000000000004">
      <c r="B11" s="9" t="s">
        <v>5</v>
      </c>
    </row>
    <row r="12" spans="2:2" ht="15.7" x14ac:dyDescent="0.55000000000000004">
      <c r="B12" s="9" t="s">
        <v>6</v>
      </c>
    </row>
    <row r="13" spans="2:2" ht="15.7" x14ac:dyDescent="0.55000000000000004">
      <c r="B13" s="9" t="s">
        <v>7</v>
      </c>
    </row>
    <row r="14" spans="2:2" ht="15.7" x14ac:dyDescent="0.55000000000000004">
      <c r="B14" s="9" t="s">
        <v>8</v>
      </c>
    </row>
    <row r="15" spans="2:2" ht="15.7" x14ac:dyDescent="0.55000000000000004">
      <c r="B15" s="9" t="s">
        <v>9</v>
      </c>
    </row>
    <row r="16" spans="2:2" ht="15.7" x14ac:dyDescent="0.55000000000000004">
      <c r="B16" s="9" t="s">
        <v>10</v>
      </c>
    </row>
    <row r="17" spans="2:2" x14ac:dyDescent="0.5">
      <c r="B17" s="10"/>
    </row>
    <row r="18" spans="2:2" x14ac:dyDescent="0.5">
      <c r="B18" s="10"/>
    </row>
    <row r="19" spans="2:2" x14ac:dyDescent="0.5">
      <c r="B19" s="10"/>
    </row>
    <row r="20" spans="2:2" x14ac:dyDescent="0.5">
      <c r="B20" s="10"/>
    </row>
    <row r="21" spans="2:2" x14ac:dyDescent="0.5">
      <c r="B21" s="10"/>
    </row>
    <row r="22" spans="2:2" x14ac:dyDescent="0.5">
      <c r="B22" s="10"/>
    </row>
    <row r="23" spans="2:2" x14ac:dyDescent="0.5">
      <c r="B23" s="10"/>
    </row>
    <row r="24" spans="2:2" x14ac:dyDescent="0.5">
      <c r="B24" s="10"/>
    </row>
  </sheetData>
  <hyperlinks>
    <hyperlink ref="B11" location="'plazas aut munic cuota aloj'!A1" tooltip="Plazas turísticas autorizadas según tipología del establecimiento: distribución por Municipios" display="Plazas turísticas autorizadas según tipología del establecimiento: distribución por Municipios" xr:uid="{E14EE504-A042-4AE7-8E6F-02B4149627EC}"/>
    <hyperlink ref="B13" location="'plazas aut catg cuota'!A1" tooltip="Plazas turísticas autorizadas según tipología y categoría del establecimiento periodo actual" display="Plazas turísticas autorizadas según tipología y categoría del establecimiento periodo actual" xr:uid="{76475C81-1536-4960-AC50-9310377FE3E4}"/>
    <hyperlink ref="B14" location="'estab aut munic cuota aloj'!A1" tooltip="Establecimientos turísticos autorizados según tipología del establecimiento periodo actual: distribución por municipios" display="Establecimientos turísticos autorizados según tipología del establecimiento periodo actual: distribución por municipios" xr:uid="{7CBFF6A0-EAF0-4654-817E-13B19918833E}"/>
    <hyperlink ref="B16" location="'estab aut catg cuota aloj'!A1" tooltip="Establecimientos turísticos autorizados según tipología y categoría del establecimiento: distribución por categoría periodo actual" display="Establecimientos turísticos autorizados según tipología y categoría del establecimiento: distribución por categoría periodo actual" xr:uid="{7051EA4F-5BC6-4276-A5DF-0B7C68998809}"/>
    <hyperlink ref="B12" location="'plazas aut municipio x cat'!A1" tooltip="Plazas turísticas autorizadas según tipología y categoría del establecimiento" display="Plazas turísticas autorizadas según tipología y categoría del establecimiento: variación y diferencia respecto al cierre del año anterior" xr:uid="{A0156455-18A7-4445-8EC6-70A146BF26B0}"/>
    <hyperlink ref="B15" location="'estab aut municipio x tip y cat'!A1" display="Establecimientos turísticos autorizadas según municipio tipología y categoría del establecimiento: variación y diferencia respecto al cierre del año anterior" xr:uid="{1750DCE6-DD5A-4045-B055-41C80D34D9D5}"/>
  </hyperlinks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7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8CF0F-2437-48AC-8F7C-EA2F1286D2BE}">
  <sheetPr>
    <tabColor rgb="FF92D050"/>
  </sheetPr>
  <dimension ref="A1:BJ46"/>
  <sheetViews>
    <sheetView showGridLines="0" zoomScaleNormal="100" workbookViewId="0"/>
  </sheetViews>
  <sheetFormatPr baseColWidth="10" defaultRowHeight="14.35" x14ac:dyDescent="0.5"/>
  <cols>
    <col min="1" max="1" width="17.703125" customWidth="1"/>
    <col min="2" max="2" width="23" customWidth="1"/>
    <col min="6" max="6" width="12.41015625" bestFit="1" customWidth="1"/>
  </cols>
  <sheetData>
    <row r="1" spans="1:62" ht="30" customHeight="1" x14ac:dyDescent="0.5">
      <c r="E1" s="1" t="s">
        <v>11</v>
      </c>
      <c r="F1" s="1" t="s">
        <v>12</v>
      </c>
      <c r="G1" s="1" t="s">
        <v>13</v>
      </c>
      <c r="H1" s="11">
        <f>G7+I7+K7+M7</f>
        <v>155536</v>
      </c>
      <c r="I1" s="1"/>
      <c r="J1" s="1"/>
      <c r="K1" s="1"/>
      <c r="P1" s="1" t="s">
        <v>118</v>
      </c>
    </row>
    <row r="2" spans="1:62" x14ac:dyDescent="0.5">
      <c r="I2" s="90"/>
      <c r="J2" s="90"/>
    </row>
    <row r="3" spans="1:62" s="4" customFormat="1" ht="56.25" customHeight="1" thickBot="1" x14ac:dyDescent="0.55000000000000004">
      <c r="B3" s="91" t="s">
        <v>119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62" s="4" customFormat="1" ht="6" customHeight="1" x14ac:dyDescent="0.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62" s="4" customFormat="1" x14ac:dyDescent="0.5">
      <c r="B5" s="92" t="s">
        <v>14</v>
      </c>
      <c r="C5" s="93" t="s">
        <v>15</v>
      </c>
      <c r="D5" s="94"/>
      <c r="E5" s="93" t="s">
        <v>11</v>
      </c>
      <c r="F5" s="94"/>
      <c r="G5" s="93" t="s">
        <v>12</v>
      </c>
      <c r="H5" s="94"/>
      <c r="I5" s="93" t="s">
        <v>16</v>
      </c>
      <c r="J5" s="94"/>
      <c r="K5" s="93" t="s">
        <v>17</v>
      </c>
      <c r="L5" s="94"/>
      <c r="M5" s="93" t="s">
        <v>18</v>
      </c>
      <c r="N5" s="94"/>
    </row>
    <row r="6" spans="1:62" s="4" customFormat="1" ht="26" x14ac:dyDescent="0.5">
      <c r="B6" s="92"/>
      <c r="C6" s="14" t="s">
        <v>19</v>
      </c>
      <c r="D6" s="15" t="s">
        <v>20</v>
      </c>
      <c r="E6" s="14" t="str">
        <f>C6</f>
        <v>Plazas</v>
      </c>
      <c r="F6" s="15" t="s">
        <v>20</v>
      </c>
      <c r="G6" s="14" t="str">
        <f>E6</f>
        <v>Plazas</v>
      </c>
      <c r="H6" s="15" t="s">
        <v>20</v>
      </c>
      <c r="I6" s="14" t="s">
        <v>19</v>
      </c>
      <c r="J6" s="15" t="s">
        <v>20</v>
      </c>
      <c r="K6" s="14" t="str">
        <f>G6</f>
        <v>Plazas</v>
      </c>
      <c r="L6" s="15" t="s">
        <v>20</v>
      </c>
      <c r="M6" s="14" t="str">
        <f>K6</f>
        <v>Plazas</v>
      </c>
      <c r="N6" s="15" t="s">
        <v>20</v>
      </c>
    </row>
    <row r="7" spans="1:62" s="19" customFormat="1" ht="15.7" x14ac:dyDescent="0.55000000000000004">
      <c r="A7" s="16"/>
      <c r="B7" s="16" t="s">
        <v>21</v>
      </c>
      <c r="C7" s="17">
        <f>E7+G7+K7+M7+I7</f>
        <v>243469</v>
      </c>
      <c r="D7" s="18">
        <f>C7/$C$7</f>
        <v>1</v>
      </c>
      <c r="E7" s="17">
        <f>SUM(E8:E38)</f>
        <v>87933</v>
      </c>
      <c r="F7" s="18">
        <f>E7/$E$7</f>
        <v>1</v>
      </c>
      <c r="G7" s="17">
        <f>SUM(G8:G38)</f>
        <v>44872</v>
      </c>
      <c r="H7" s="18">
        <f>G7/$G$7</f>
        <v>1</v>
      </c>
      <c r="I7" s="17">
        <f>'plazas aut municipio x cat'!BK8</f>
        <v>109075</v>
      </c>
      <c r="J7" s="18">
        <f>I7/$I$7</f>
        <v>1</v>
      </c>
      <c r="K7" s="17">
        <f>SUM(K8:K38)</f>
        <v>527</v>
      </c>
      <c r="L7" s="18">
        <f>K7/$K$7</f>
        <v>1</v>
      </c>
      <c r="M7" s="17">
        <f>SUM(M8:M38)</f>
        <v>1062</v>
      </c>
      <c r="N7" s="18">
        <f>M7/$M$7</f>
        <v>1</v>
      </c>
    </row>
    <row r="8" spans="1:62" s="4" customFormat="1" x14ac:dyDescent="0.5">
      <c r="A8" s="20"/>
      <c r="B8" s="20" t="s">
        <v>22</v>
      </c>
      <c r="C8" s="21">
        <f>E8+G8+K8+M8+I8</f>
        <v>67467</v>
      </c>
      <c r="D8" s="22">
        <f>C8/$C$7</f>
        <v>0.27710714711113121</v>
      </c>
      <c r="E8" s="23">
        <v>35103</v>
      </c>
      <c r="F8" s="22">
        <f>E8/$E$7</f>
        <v>0.39920166490396097</v>
      </c>
      <c r="G8" s="23">
        <v>11767</v>
      </c>
      <c r="H8" s="22">
        <f t="shared" ref="H8:H38" si="0">G8/$G$7</f>
        <v>0.26223480121233733</v>
      </c>
      <c r="I8" s="23">
        <f>'plazas aut municipio x cat'!BK9</f>
        <v>20561</v>
      </c>
      <c r="J8" s="22">
        <f>I8/$I$7</f>
        <v>0.18850332340132936</v>
      </c>
      <c r="K8" s="23">
        <v>22</v>
      </c>
      <c r="L8" s="22">
        <f>K8/$K$7</f>
        <v>4.1745730550284632E-2</v>
      </c>
      <c r="M8" s="23">
        <v>14</v>
      </c>
      <c r="N8" s="22">
        <f>M8/$M$7</f>
        <v>1.3182674199623353E-2</v>
      </c>
      <c r="AI8" s="4">
        <v>44792</v>
      </c>
      <c r="BJ8" s="4">
        <v>98</v>
      </c>
    </row>
    <row r="9" spans="1:62" s="4" customFormat="1" x14ac:dyDescent="0.5">
      <c r="A9" s="20"/>
      <c r="B9" s="20" t="s">
        <v>23</v>
      </c>
      <c r="C9" s="21">
        <f t="shared" ref="C9:C38" si="1">E9+G9+K9+M9+I9</f>
        <v>343</v>
      </c>
      <c r="D9" s="22">
        <f t="shared" ref="D9:D38" si="2">C9/$C$7</f>
        <v>1.4088035848506381E-3</v>
      </c>
      <c r="E9" s="23">
        <v>0</v>
      </c>
      <c r="F9" s="22">
        <f t="shared" ref="F9:F38" si="3">E9/$E$7</f>
        <v>0</v>
      </c>
      <c r="G9" s="23">
        <v>0</v>
      </c>
      <c r="H9" s="22">
        <f t="shared" si="0"/>
        <v>0</v>
      </c>
      <c r="I9" s="23">
        <f>'plazas aut municipio x cat'!BK10</f>
        <v>326</v>
      </c>
      <c r="J9" s="22">
        <f t="shared" ref="J9:J38" si="4">I9/$I$7</f>
        <v>2.9887691955076783E-3</v>
      </c>
      <c r="K9" s="23">
        <v>0</v>
      </c>
      <c r="L9" s="22">
        <f t="shared" ref="L9:L38" si="5">K9/$K$7</f>
        <v>0</v>
      </c>
      <c r="M9" s="23">
        <v>17</v>
      </c>
      <c r="N9" s="22">
        <f t="shared" ref="N9:N38" si="6">M9/$M$7</f>
        <v>1.60075329566855E-2</v>
      </c>
      <c r="AI9" s="4">
        <v>0</v>
      </c>
      <c r="BJ9" s="4">
        <v>0</v>
      </c>
    </row>
    <row r="10" spans="1:62" s="4" customFormat="1" x14ac:dyDescent="0.5">
      <c r="A10" s="20"/>
      <c r="B10" s="20" t="s">
        <v>24</v>
      </c>
      <c r="C10" s="21">
        <f t="shared" si="1"/>
        <v>3201</v>
      </c>
      <c r="D10" s="22">
        <f t="shared" si="2"/>
        <v>1.3147464358912222E-2</v>
      </c>
      <c r="E10" s="23">
        <v>18</v>
      </c>
      <c r="F10" s="22">
        <f t="shared" si="3"/>
        <v>2.0470130667667429E-4</v>
      </c>
      <c r="G10" s="23">
        <v>24</v>
      </c>
      <c r="H10" s="22">
        <f t="shared" si="0"/>
        <v>5.3485469780709572E-4</v>
      </c>
      <c r="I10" s="23">
        <f>'plazas aut municipio x cat'!BK11</f>
        <v>3087</v>
      </c>
      <c r="J10" s="22">
        <f t="shared" si="4"/>
        <v>2.8301627320650929E-2</v>
      </c>
      <c r="K10" s="23">
        <v>0</v>
      </c>
      <c r="L10" s="22">
        <f t="shared" si="5"/>
        <v>0</v>
      </c>
      <c r="M10" s="23">
        <v>72</v>
      </c>
      <c r="N10" s="22">
        <f t="shared" si="6"/>
        <v>6.7796610169491525E-2</v>
      </c>
      <c r="AI10" s="4">
        <v>24</v>
      </c>
      <c r="BJ10" s="4">
        <v>20</v>
      </c>
    </row>
    <row r="11" spans="1:62" s="4" customFormat="1" x14ac:dyDescent="0.5">
      <c r="A11" s="20"/>
      <c r="B11" s="20" t="s">
        <v>25</v>
      </c>
      <c r="C11" s="21">
        <f t="shared" si="1"/>
        <v>60154</v>
      </c>
      <c r="D11" s="22">
        <f t="shared" si="2"/>
        <v>0.2470704689303361</v>
      </c>
      <c r="E11" s="23">
        <v>17936</v>
      </c>
      <c r="F11" s="22">
        <f t="shared" si="3"/>
        <v>0.20397347980849057</v>
      </c>
      <c r="G11" s="23">
        <v>20391</v>
      </c>
      <c r="H11" s="22">
        <f t="shared" si="0"/>
        <v>0.45442592262435372</v>
      </c>
      <c r="I11" s="23">
        <f>'plazas aut municipio x cat'!BK12</f>
        <v>21771</v>
      </c>
      <c r="J11" s="22">
        <f t="shared" si="4"/>
        <v>0.19959660783864314</v>
      </c>
      <c r="K11" s="23">
        <v>12</v>
      </c>
      <c r="L11" s="22">
        <f t="shared" si="5"/>
        <v>2.2770398481973434E-2</v>
      </c>
      <c r="M11" s="23">
        <v>44</v>
      </c>
      <c r="N11" s="22">
        <f t="shared" si="6"/>
        <v>4.1431261770244823E-2</v>
      </c>
      <c r="AI11" s="4">
        <v>20391</v>
      </c>
      <c r="BJ11" s="4">
        <v>0</v>
      </c>
    </row>
    <row r="12" spans="1:62" s="4" customFormat="1" x14ac:dyDescent="0.5">
      <c r="A12" s="20"/>
      <c r="B12" s="20" t="s">
        <v>26</v>
      </c>
      <c r="C12" s="21">
        <f t="shared" si="1"/>
        <v>652</v>
      </c>
      <c r="D12" s="22">
        <f t="shared" si="2"/>
        <v>2.6779590009405716E-3</v>
      </c>
      <c r="E12" s="23">
        <v>234</v>
      </c>
      <c r="F12" s="22">
        <f t="shared" si="3"/>
        <v>2.6611169867967657E-3</v>
      </c>
      <c r="G12" s="23">
        <v>0</v>
      </c>
      <c r="H12" s="22">
        <f t="shared" si="0"/>
        <v>0</v>
      </c>
      <c r="I12" s="23">
        <f>'plazas aut municipio x cat'!BK13</f>
        <v>374</v>
      </c>
      <c r="J12" s="22">
        <f t="shared" si="4"/>
        <v>3.4288333715333484E-3</v>
      </c>
      <c r="K12" s="23">
        <v>0</v>
      </c>
      <c r="L12" s="22">
        <f t="shared" si="5"/>
        <v>0</v>
      </c>
      <c r="M12" s="23">
        <v>44</v>
      </c>
      <c r="N12" s="22">
        <f t="shared" si="6"/>
        <v>4.1431261770244823E-2</v>
      </c>
      <c r="AI12" s="4">
        <v>0</v>
      </c>
      <c r="BJ12" s="4">
        <v>0</v>
      </c>
    </row>
    <row r="13" spans="1:62" s="4" customFormat="1" x14ac:dyDescent="0.5">
      <c r="A13" s="20"/>
      <c r="B13" s="20" t="s">
        <v>27</v>
      </c>
      <c r="C13" s="21">
        <f t="shared" si="1"/>
        <v>3367</v>
      </c>
      <c r="D13" s="22">
        <f t="shared" si="2"/>
        <v>1.3829276006390957E-2</v>
      </c>
      <c r="E13" s="23">
        <v>986</v>
      </c>
      <c r="F13" s="22">
        <f t="shared" si="3"/>
        <v>1.1213082687955603E-2</v>
      </c>
      <c r="G13" s="23">
        <v>35</v>
      </c>
      <c r="H13" s="22">
        <f t="shared" si="0"/>
        <v>7.7999643430201463E-4</v>
      </c>
      <c r="I13" s="23">
        <f>'plazas aut municipio x cat'!BK14</f>
        <v>2343</v>
      </c>
      <c r="J13" s="22">
        <f t="shared" si="4"/>
        <v>2.1480632592253038E-2</v>
      </c>
      <c r="K13" s="23">
        <v>0</v>
      </c>
      <c r="L13" s="22">
        <f t="shared" si="5"/>
        <v>0</v>
      </c>
      <c r="M13" s="23">
        <v>3</v>
      </c>
      <c r="N13" s="22">
        <f t="shared" si="6"/>
        <v>2.8248587570621469E-3</v>
      </c>
      <c r="AI13" s="4">
        <v>35</v>
      </c>
      <c r="BJ13" s="4">
        <v>0</v>
      </c>
    </row>
    <row r="14" spans="1:62" s="4" customFormat="1" x14ac:dyDescent="0.5">
      <c r="A14" s="20"/>
      <c r="B14" s="20" t="s">
        <v>28</v>
      </c>
      <c r="C14" s="21">
        <f>E14+G14+K14+M14+I14</f>
        <v>418</v>
      </c>
      <c r="D14" s="22">
        <f t="shared" si="2"/>
        <v>1.7168510159404277E-3</v>
      </c>
      <c r="E14" s="23">
        <v>0</v>
      </c>
      <c r="F14" s="22">
        <f t="shared" si="3"/>
        <v>0</v>
      </c>
      <c r="G14" s="23">
        <v>4</v>
      </c>
      <c r="H14" s="22">
        <f t="shared" si="0"/>
        <v>8.9142449634515962E-5</v>
      </c>
      <c r="I14" s="23">
        <f>'plazas aut municipio x cat'!BK15</f>
        <v>367</v>
      </c>
      <c r="J14" s="22">
        <f>I14/$I$7</f>
        <v>3.3646573458629382E-3</v>
      </c>
      <c r="K14" s="23">
        <v>0</v>
      </c>
      <c r="L14" s="22">
        <f t="shared" si="5"/>
        <v>0</v>
      </c>
      <c r="M14" s="23">
        <v>47</v>
      </c>
      <c r="N14" s="22">
        <f t="shared" si="6"/>
        <v>4.4256120527306965E-2</v>
      </c>
      <c r="AI14" s="4">
        <v>4</v>
      </c>
      <c r="BJ14" s="4">
        <v>0</v>
      </c>
    </row>
    <row r="15" spans="1:62" s="4" customFormat="1" x14ac:dyDescent="0.5">
      <c r="A15" s="20"/>
      <c r="B15" s="20" t="s">
        <v>29</v>
      </c>
      <c r="C15" s="21">
        <f t="shared" si="1"/>
        <v>1078</v>
      </c>
      <c r="D15" s="22">
        <f t="shared" si="2"/>
        <v>4.427668409530577E-3</v>
      </c>
      <c r="E15" s="23">
        <v>76</v>
      </c>
      <c r="F15" s="22">
        <f t="shared" si="3"/>
        <v>8.6429440596818034E-4</v>
      </c>
      <c r="G15" s="23">
        <v>30</v>
      </c>
      <c r="H15" s="22">
        <f t="shared" si="0"/>
        <v>6.685683722588697E-4</v>
      </c>
      <c r="I15" s="23">
        <f>'plazas aut municipio x cat'!BK16</f>
        <v>857</v>
      </c>
      <c r="J15" s="22">
        <f t="shared" si="4"/>
        <v>7.856979142791657E-3</v>
      </c>
      <c r="K15" s="23">
        <v>78</v>
      </c>
      <c r="L15" s="22">
        <f t="shared" si="5"/>
        <v>0.14800759013282733</v>
      </c>
      <c r="M15" s="23">
        <v>37</v>
      </c>
      <c r="N15" s="22">
        <f t="shared" si="6"/>
        <v>3.4839924670433148E-2</v>
      </c>
      <c r="AI15" s="4">
        <v>30</v>
      </c>
      <c r="BJ15" s="4">
        <v>4</v>
      </c>
    </row>
    <row r="16" spans="1:62" s="4" customFormat="1" x14ac:dyDescent="0.5">
      <c r="A16" s="20"/>
      <c r="B16" s="20" t="s">
        <v>30</v>
      </c>
      <c r="C16" s="21">
        <f t="shared" si="1"/>
        <v>9637</v>
      </c>
      <c r="D16" s="22">
        <f t="shared" si="2"/>
        <v>3.9582041245497371E-2</v>
      </c>
      <c r="E16" s="23">
        <v>930</v>
      </c>
      <c r="F16" s="22">
        <f t="shared" si="3"/>
        <v>1.0576234178294838E-2</v>
      </c>
      <c r="G16" s="23">
        <v>460</v>
      </c>
      <c r="H16" s="22">
        <f t="shared" si="0"/>
        <v>1.0251381707969335E-2</v>
      </c>
      <c r="I16" s="23">
        <f>'plazas aut municipio x cat'!BK17</f>
        <v>8138</v>
      </c>
      <c r="J16" s="22">
        <f t="shared" si="4"/>
        <v>7.4609213843685532E-2</v>
      </c>
      <c r="K16" s="23">
        <v>42</v>
      </c>
      <c r="L16" s="22">
        <f t="shared" si="5"/>
        <v>7.9696394686907021E-2</v>
      </c>
      <c r="M16" s="23">
        <v>67</v>
      </c>
      <c r="N16" s="22">
        <f t="shared" si="6"/>
        <v>6.308851224105462E-2</v>
      </c>
      <c r="AI16" s="4">
        <v>460</v>
      </c>
      <c r="BJ16" s="4">
        <v>6</v>
      </c>
    </row>
    <row r="17" spans="1:62" s="4" customFormat="1" x14ac:dyDescent="0.5">
      <c r="A17" s="20"/>
      <c r="B17" s="20" t="s">
        <v>31</v>
      </c>
      <c r="C17" s="21">
        <f t="shared" si="1"/>
        <v>399</v>
      </c>
      <c r="D17" s="22">
        <f t="shared" si="2"/>
        <v>1.6388123333976811E-3</v>
      </c>
      <c r="E17" s="23">
        <v>0</v>
      </c>
      <c r="F17" s="22">
        <f t="shared" si="3"/>
        <v>0</v>
      </c>
      <c r="G17" s="23">
        <v>0</v>
      </c>
      <c r="H17" s="22">
        <f t="shared" si="0"/>
        <v>0</v>
      </c>
      <c r="I17" s="23">
        <f>'plazas aut municipio x cat'!BK18</f>
        <v>395</v>
      </c>
      <c r="J17" s="22">
        <f t="shared" si="4"/>
        <v>3.6213614485445795E-3</v>
      </c>
      <c r="K17" s="23">
        <v>0</v>
      </c>
      <c r="L17" s="22">
        <f t="shared" si="5"/>
        <v>0</v>
      </c>
      <c r="M17" s="23">
        <v>4</v>
      </c>
      <c r="N17" s="22">
        <f t="shared" si="6"/>
        <v>3.766478342749529E-3</v>
      </c>
      <c r="AI17" s="4">
        <v>0</v>
      </c>
      <c r="BJ17" s="4">
        <v>0</v>
      </c>
    </row>
    <row r="18" spans="1:62" s="4" customFormat="1" x14ac:dyDescent="0.5">
      <c r="A18" s="20"/>
      <c r="B18" s="20" t="s">
        <v>32</v>
      </c>
      <c r="C18" s="21">
        <f t="shared" si="1"/>
        <v>6968</v>
      </c>
      <c r="D18" s="22">
        <f t="shared" si="2"/>
        <v>2.8619659997782057E-2</v>
      </c>
      <c r="E18" s="23">
        <v>2891</v>
      </c>
      <c r="F18" s="22">
        <f t="shared" si="3"/>
        <v>3.2877304311236963E-2</v>
      </c>
      <c r="G18" s="23">
        <v>700</v>
      </c>
      <c r="H18" s="22">
        <f t="shared" si="0"/>
        <v>1.5599928686040293E-2</v>
      </c>
      <c r="I18" s="23">
        <f>'plazas aut municipio x cat'!BK19</f>
        <v>3295</v>
      </c>
      <c r="J18" s="22">
        <f t="shared" si="4"/>
        <v>3.0208572083428833E-2</v>
      </c>
      <c r="K18" s="23">
        <v>15</v>
      </c>
      <c r="L18" s="22">
        <f t="shared" si="5"/>
        <v>2.8462998102466792E-2</v>
      </c>
      <c r="M18" s="23">
        <v>67</v>
      </c>
      <c r="N18" s="22">
        <f t="shared" si="6"/>
        <v>6.308851224105462E-2</v>
      </c>
      <c r="AI18" s="4">
        <v>0</v>
      </c>
      <c r="BJ18" s="4">
        <v>0</v>
      </c>
    </row>
    <row r="19" spans="1:62" s="4" customFormat="1" x14ac:dyDescent="0.5">
      <c r="A19" s="20"/>
      <c r="B19" s="20" t="s">
        <v>33</v>
      </c>
      <c r="C19" s="21">
        <f t="shared" si="1"/>
        <v>2138</v>
      </c>
      <c r="D19" s="22">
        <f t="shared" si="2"/>
        <v>8.7814054355996041E-3</v>
      </c>
      <c r="E19" s="23">
        <v>8</v>
      </c>
      <c r="F19" s="22">
        <f t="shared" si="3"/>
        <v>9.0978358522966356E-5</v>
      </c>
      <c r="G19" s="23">
        <v>0</v>
      </c>
      <c r="H19" s="22">
        <f t="shared" si="0"/>
        <v>0</v>
      </c>
      <c r="I19" s="23">
        <f>'plazas aut municipio x cat'!BK20</f>
        <v>2034</v>
      </c>
      <c r="J19" s="22">
        <f t="shared" si="4"/>
        <v>1.8647719459087785E-2</v>
      </c>
      <c r="K19" s="23">
        <v>81</v>
      </c>
      <c r="L19" s="22">
        <f t="shared" si="5"/>
        <v>0.15370018975332067</v>
      </c>
      <c r="M19" s="23">
        <v>15</v>
      </c>
      <c r="N19" s="22">
        <f t="shared" si="6"/>
        <v>1.4124293785310734E-2</v>
      </c>
      <c r="AI19" s="4">
        <v>0</v>
      </c>
      <c r="BJ19" s="4">
        <v>0</v>
      </c>
    </row>
    <row r="20" spans="1:62" s="4" customFormat="1" x14ac:dyDescent="0.5">
      <c r="A20" s="20"/>
      <c r="B20" s="20" t="s">
        <v>34</v>
      </c>
      <c r="C20" s="21">
        <f t="shared" si="1"/>
        <v>3304</v>
      </c>
      <c r="D20" s="22">
        <f t="shared" si="2"/>
        <v>1.3570516164275534E-2</v>
      </c>
      <c r="E20" s="23">
        <v>36</v>
      </c>
      <c r="F20" s="22">
        <f t="shared" si="3"/>
        <v>4.0940261335334859E-4</v>
      </c>
      <c r="G20" s="23">
        <v>19</v>
      </c>
      <c r="H20" s="22">
        <f t="shared" si="0"/>
        <v>4.2342663576395078E-4</v>
      </c>
      <c r="I20" s="23">
        <f>'plazas aut municipio x cat'!BK21</f>
        <v>3135</v>
      </c>
      <c r="J20" s="22">
        <f t="shared" si="4"/>
        <v>2.8741691496676599E-2</v>
      </c>
      <c r="K20" s="23">
        <v>0</v>
      </c>
      <c r="L20" s="22">
        <f t="shared" si="5"/>
        <v>0</v>
      </c>
      <c r="M20" s="23">
        <v>114</v>
      </c>
      <c r="N20" s="22">
        <f t="shared" si="6"/>
        <v>0.10734463276836158</v>
      </c>
      <c r="AI20" s="4">
        <v>19</v>
      </c>
      <c r="BJ20" s="4">
        <v>0</v>
      </c>
    </row>
    <row r="21" spans="1:62" s="4" customFormat="1" x14ac:dyDescent="0.5">
      <c r="A21" s="20"/>
      <c r="B21" s="20" t="s">
        <v>35</v>
      </c>
      <c r="C21" s="21">
        <f t="shared" si="1"/>
        <v>5978</v>
      </c>
      <c r="D21" s="22">
        <f t="shared" si="2"/>
        <v>2.4553433907396834E-2</v>
      </c>
      <c r="E21" s="23">
        <v>1144</v>
      </c>
      <c r="F21" s="22">
        <f t="shared" si="3"/>
        <v>1.3009905268784188E-2</v>
      </c>
      <c r="G21" s="23">
        <v>241</v>
      </c>
      <c r="H21" s="22">
        <f t="shared" si="0"/>
        <v>5.3708325904795861E-3</v>
      </c>
      <c r="I21" s="23">
        <f>'plazas aut municipio x cat'!BK22</f>
        <v>4489</v>
      </c>
      <c r="J21" s="22">
        <f t="shared" si="4"/>
        <v>4.1155168462067383E-2</v>
      </c>
      <c r="K21" s="23">
        <v>22</v>
      </c>
      <c r="L21" s="22">
        <f t="shared" si="5"/>
        <v>4.1745730550284632E-2</v>
      </c>
      <c r="M21" s="23">
        <v>82</v>
      </c>
      <c r="N21" s="22">
        <f t="shared" si="6"/>
        <v>7.7212806026365349E-2</v>
      </c>
      <c r="AI21" s="4">
        <v>241</v>
      </c>
      <c r="BJ21" s="4">
        <v>6</v>
      </c>
    </row>
    <row r="22" spans="1:62" s="4" customFormat="1" x14ac:dyDescent="0.5">
      <c r="A22" s="20"/>
      <c r="B22" s="20" t="s">
        <v>36</v>
      </c>
      <c r="C22" s="21">
        <f t="shared" si="1"/>
        <v>909</v>
      </c>
      <c r="D22" s="22">
        <f t="shared" si="2"/>
        <v>3.7335348648082508E-3</v>
      </c>
      <c r="E22" s="23">
        <v>0</v>
      </c>
      <c r="F22" s="22">
        <f t="shared" si="3"/>
        <v>0</v>
      </c>
      <c r="G22" s="23">
        <v>0</v>
      </c>
      <c r="H22" s="22">
        <f t="shared" si="0"/>
        <v>0</v>
      </c>
      <c r="I22" s="23">
        <f>'plazas aut municipio x cat'!BK23</f>
        <v>883</v>
      </c>
      <c r="J22" s="22">
        <f t="shared" si="4"/>
        <v>8.095347238138895E-3</v>
      </c>
      <c r="K22" s="23">
        <v>0</v>
      </c>
      <c r="L22" s="22">
        <f t="shared" si="5"/>
        <v>0</v>
      </c>
      <c r="M22" s="23">
        <v>26</v>
      </c>
      <c r="N22" s="22">
        <f t="shared" si="6"/>
        <v>2.4482109227871938E-2</v>
      </c>
      <c r="AI22" s="4">
        <v>0</v>
      </c>
      <c r="BJ22" s="4">
        <v>0</v>
      </c>
    </row>
    <row r="23" spans="1:62" s="4" customFormat="1" x14ac:dyDescent="0.5">
      <c r="A23" s="20"/>
      <c r="B23" s="20" t="s">
        <v>37</v>
      </c>
      <c r="C23" s="21">
        <f t="shared" si="1"/>
        <v>1932</v>
      </c>
      <c r="D23" s="22">
        <f t="shared" si="2"/>
        <v>7.9353018248729812E-3</v>
      </c>
      <c r="E23" s="23">
        <v>111</v>
      </c>
      <c r="F23" s="22">
        <f t="shared" si="3"/>
        <v>1.2623247245061582E-3</v>
      </c>
      <c r="G23" s="23">
        <v>48</v>
      </c>
      <c r="H23" s="22">
        <f t="shared" si="0"/>
        <v>1.0697093956141914E-3</v>
      </c>
      <c r="I23" s="23">
        <f>'plazas aut municipio x cat'!BK24</f>
        <v>1679</v>
      </c>
      <c r="J23" s="22">
        <f t="shared" si="4"/>
        <v>1.5393078157231264E-2</v>
      </c>
      <c r="K23" s="23">
        <v>28</v>
      </c>
      <c r="L23" s="22">
        <f t="shared" si="5"/>
        <v>5.3130929791271347E-2</v>
      </c>
      <c r="M23" s="23">
        <v>66</v>
      </c>
      <c r="N23" s="22">
        <f t="shared" si="6"/>
        <v>6.2146892655367235E-2</v>
      </c>
      <c r="AI23" s="4">
        <v>48</v>
      </c>
      <c r="BJ23" s="4">
        <v>4</v>
      </c>
    </row>
    <row r="24" spans="1:62" s="4" customFormat="1" x14ac:dyDescent="0.5">
      <c r="A24" s="20"/>
      <c r="B24" s="20" t="s">
        <v>38</v>
      </c>
      <c r="C24" s="21">
        <f t="shared" si="1"/>
        <v>26615</v>
      </c>
      <c r="D24" s="22">
        <f t="shared" si="2"/>
        <v>0.10931576504606336</v>
      </c>
      <c r="E24" s="23">
        <v>15945</v>
      </c>
      <c r="F24" s="22">
        <f t="shared" si="3"/>
        <v>0.18133124083108731</v>
      </c>
      <c r="G24" s="23">
        <v>4419</v>
      </c>
      <c r="H24" s="22">
        <f t="shared" si="0"/>
        <v>9.8480121233731496E-2</v>
      </c>
      <c r="I24" s="23">
        <f>'plazas aut municipio x cat'!BK25</f>
        <v>6251</v>
      </c>
      <c r="J24" s="22">
        <f t="shared" si="4"/>
        <v>5.7309190923676367E-2</v>
      </c>
      <c r="K24" s="23">
        <v>0</v>
      </c>
      <c r="L24" s="22">
        <f t="shared" si="5"/>
        <v>0</v>
      </c>
      <c r="M24" s="23">
        <v>0</v>
      </c>
      <c r="N24" s="22">
        <f t="shared" si="6"/>
        <v>0</v>
      </c>
      <c r="AI24" s="4">
        <v>4419</v>
      </c>
      <c r="BJ24" s="4">
        <v>0</v>
      </c>
    </row>
    <row r="25" spans="1:62" s="4" customFormat="1" x14ac:dyDescent="0.5">
      <c r="A25" s="20"/>
      <c r="B25" s="20" t="s">
        <v>39</v>
      </c>
      <c r="C25" s="21">
        <f t="shared" si="1"/>
        <v>3185</v>
      </c>
      <c r="D25" s="22">
        <f t="shared" si="2"/>
        <v>1.3081747573613068E-2</v>
      </c>
      <c r="E25" s="23">
        <v>1355</v>
      </c>
      <c r="F25" s="22">
        <f t="shared" si="3"/>
        <v>1.5409459474827426E-2</v>
      </c>
      <c r="G25" s="23">
        <v>355</v>
      </c>
      <c r="H25" s="22">
        <f t="shared" si="0"/>
        <v>7.9113924050632917E-3</v>
      </c>
      <c r="I25" s="23">
        <f>'plazas aut municipio x cat'!BK26</f>
        <v>1230</v>
      </c>
      <c r="J25" s="22">
        <f t="shared" si="4"/>
        <v>1.1276644510657805E-2</v>
      </c>
      <c r="K25" s="23">
        <v>90</v>
      </c>
      <c r="L25" s="22">
        <f t="shared" si="5"/>
        <v>0.17077798861480076</v>
      </c>
      <c r="M25" s="23">
        <v>155</v>
      </c>
      <c r="N25" s="22">
        <f t="shared" si="6"/>
        <v>0.14595103578154425</v>
      </c>
      <c r="AI25" s="4">
        <v>355</v>
      </c>
      <c r="BJ25" s="4">
        <v>0</v>
      </c>
    </row>
    <row r="26" spans="1:62" s="4" customFormat="1" x14ac:dyDescent="0.5">
      <c r="A26" s="20"/>
      <c r="B26" s="20" t="s">
        <v>40</v>
      </c>
      <c r="C26" s="21">
        <f>E26+G26+K26+M26+I26</f>
        <v>2068</v>
      </c>
      <c r="D26" s="22">
        <f t="shared" si="2"/>
        <v>8.4938944999157998E-3</v>
      </c>
      <c r="E26" s="23">
        <v>21</v>
      </c>
      <c r="F26" s="22">
        <f t="shared" si="3"/>
        <v>2.3881819112278667E-4</v>
      </c>
      <c r="G26" s="23">
        <v>7</v>
      </c>
      <c r="H26" s="22">
        <f t="shared" si="0"/>
        <v>1.5599928686040293E-4</v>
      </c>
      <c r="I26" s="23">
        <f>'plazas aut municipio x cat'!BK27</f>
        <v>1991</v>
      </c>
      <c r="J26" s="22">
        <f>I26/$I$7</f>
        <v>1.825349530139812E-2</v>
      </c>
      <c r="K26" s="23">
        <v>20</v>
      </c>
      <c r="L26" s="22">
        <f t="shared" si="5"/>
        <v>3.7950664136622389E-2</v>
      </c>
      <c r="M26" s="23">
        <v>29</v>
      </c>
      <c r="N26" s="22">
        <f t="shared" si="6"/>
        <v>2.7306967984934087E-2</v>
      </c>
      <c r="AI26" s="4">
        <v>7</v>
      </c>
      <c r="BJ26" s="4">
        <v>7</v>
      </c>
    </row>
    <row r="27" spans="1:62" s="4" customFormat="1" x14ac:dyDescent="0.5">
      <c r="A27" s="20"/>
      <c r="B27" s="20" t="s">
        <v>41</v>
      </c>
      <c r="C27" s="21">
        <f t="shared" si="1"/>
        <v>260</v>
      </c>
      <c r="D27" s="22">
        <f t="shared" si="2"/>
        <v>1.0678977611112707E-3</v>
      </c>
      <c r="E27" s="23">
        <v>0</v>
      </c>
      <c r="F27" s="22">
        <f t="shared" si="3"/>
        <v>0</v>
      </c>
      <c r="G27" s="23">
        <v>11</v>
      </c>
      <c r="H27" s="22">
        <f t="shared" si="0"/>
        <v>2.4514173649491886E-4</v>
      </c>
      <c r="I27" s="23">
        <f>'plazas aut municipio x cat'!BK28</f>
        <v>236</v>
      </c>
      <c r="J27" s="22">
        <f t="shared" si="4"/>
        <v>2.1636488654595463E-3</v>
      </c>
      <c r="K27" s="23">
        <v>0</v>
      </c>
      <c r="L27" s="22">
        <f t="shared" si="5"/>
        <v>0</v>
      </c>
      <c r="M27" s="23">
        <v>13</v>
      </c>
      <c r="N27" s="22">
        <f t="shared" si="6"/>
        <v>1.2241054613935969E-2</v>
      </c>
      <c r="AI27" s="4">
        <v>11</v>
      </c>
      <c r="BJ27" s="4">
        <v>0</v>
      </c>
    </row>
    <row r="28" spans="1:62" s="4" customFormat="1" x14ac:dyDescent="0.5">
      <c r="A28" s="20"/>
      <c r="B28" s="20" t="s">
        <v>42</v>
      </c>
      <c r="C28" s="21">
        <f t="shared" si="1"/>
        <v>11700</v>
      </c>
      <c r="D28" s="22">
        <f t="shared" si="2"/>
        <v>4.8055399250007187E-2</v>
      </c>
      <c r="E28" s="23">
        <v>3368</v>
      </c>
      <c r="F28" s="22">
        <f t="shared" si="3"/>
        <v>3.8301888938168833E-2</v>
      </c>
      <c r="G28" s="23">
        <v>2978</v>
      </c>
      <c r="H28" s="22">
        <f t="shared" si="0"/>
        <v>6.6366553752897128E-2</v>
      </c>
      <c r="I28" s="23">
        <f>'plazas aut municipio x cat'!BK29</f>
        <v>5294</v>
      </c>
      <c r="J28" s="22">
        <f t="shared" si="4"/>
        <v>4.8535411414164564E-2</v>
      </c>
      <c r="K28" s="23">
        <v>32</v>
      </c>
      <c r="L28" s="22">
        <f t="shared" si="5"/>
        <v>6.0721062618595827E-2</v>
      </c>
      <c r="M28" s="23">
        <v>28</v>
      </c>
      <c r="N28" s="22">
        <f t="shared" si="6"/>
        <v>2.6365348399246705E-2</v>
      </c>
      <c r="AI28" s="4">
        <v>2978</v>
      </c>
      <c r="BJ28" s="4">
        <v>0</v>
      </c>
    </row>
    <row r="29" spans="1:62" s="4" customFormat="1" x14ac:dyDescent="0.5">
      <c r="A29" s="20"/>
      <c r="B29" s="20" t="s">
        <v>43</v>
      </c>
      <c r="C29" s="21">
        <f t="shared" si="1"/>
        <v>12061</v>
      </c>
      <c r="D29" s="22">
        <f t="shared" si="2"/>
        <v>4.9538134218319374E-2</v>
      </c>
      <c r="E29" s="23">
        <v>3059</v>
      </c>
      <c r="F29" s="22">
        <f t="shared" si="3"/>
        <v>3.4787849840219258E-2</v>
      </c>
      <c r="G29" s="23">
        <v>50</v>
      </c>
      <c r="H29" s="22">
        <f t="shared" si="0"/>
        <v>1.1142806204314495E-3</v>
      </c>
      <c r="I29" s="23">
        <f>'plazas aut municipio x cat'!BK30</f>
        <v>8937</v>
      </c>
      <c r="J29" s="22">
        <f t="shared" si="4"/>
        <v>8.1934448773779506E-2</v>
      </c>
      <c r="K29" s="23">
        <v>0</v>
      </c>
      <c r="L29" s="22">
        <f t="shared" si="5"/>
        <v>0</v>
      </c>
      <c r="M29" s="23">
        <v>15</v>
      </c>
      <c r="N29" s="22">
        <f t="shared" si="6"/>
        <v>1.4124293785310734E-2</v>
      </c>
      <c r="AI29" s="4">
        <v>50</v>
      </c>
      <c r="BJ29" s="4">
        <v>6</v>
      </c>
    </row>
    <row r="30" spans="1:62" s="4" customFormat="1" x14ac:dyDescent="0.5">
      <c r="A30" s="20"/>
      <c r="B30" s="20" t="s">
        <v>44</v>
      </c>
      <c r="C30" s="21">
        <f t="shared" si="1"/>
        <v>1726</v>
      </c>
      <c r="D30" s="22">
        <f t="shared" si="2"/>
        <v>7.0891982141463592E-3</v>
      </c>
      <c r="E30" s="23">
        <v>0</v>
      </c>
      <c r="F30" s="22">
        <f t="shared" si="3"/>
        <v>0</v>
      </c>
      <c r="G30" s="23">
        <v>0</v>
      </c>
      <c r="H30" s="22">
        <f t="shared" si="0"/>
        <v>0</v>
      </c>
      <c r="I30" s="23">
        <f>'plazas aut municipio x cat'!BK31</f>
        <v>1726</v>
      </c>
      <c r="J30" s="22">
        <f t="shared" si="4"/>
        <v>1.5823974329589732E-2</v>
      </c>
      <c r="K30" s="23">
        <v>0</v>
      </c>
      <c r="L30" s="22">
        <f t="shared" si="5"/>
        <v>0</v>
      </c>
      <c r="M30" s="23">
        <v>0</v>
      </c>
      <c r="N30" s="22">
        <f t="shared" si="6"/>
        <v>0</v>
      </c>
      <c r="AI30" s="4">
        <v>0</v>
      </c>
      <c r="BJ30" s="4">
        <v>0</v>
      </c>
    </row>
    <row r="31" spans="1:62" s="4" customFormat="1" x14ac:dyDescent="0.5">
      <c r="A31" s="20"/>
      <c r="B31" s="20" t="s">
        <v>45</v>
      </c>
      <c r="C31" s="21">
        <f t="shared" si="1"/>
        <v>12739</v>
      </c>
      <c r="D31" s="22">
        <f t="shared" si="2"/>
        <v>5.2322882995371071E-2</v>
      </c>
      <c r="E31" s="23">
        <v>4459</v>
      </c>
      <c r="F31" s="22">
        <f t="shared" si="3"/>
        <v>5.0709062581738372E-2</v>
      </c>
      <c r="G31" s="23">
        <v>3010</v>
      </c>
      <c r="H31" s="22">
        <f t="shared" si="0"/>
        <v>6.7079693349973255E-2</v>
      </c>
      <c r="I31" s="23">
        <f>'plazas aut municipio x cat'!BK32</f>
        <v>5270</v>
      </c>
      <c r="J31" s="22">
        <f t="shared" si="4"/>
        <v>4.8315379326151729E-2</v>
      </c>
      <c r="K31" s="23">
        <v>0</v>
      </c>
      <c r="L31" s="22">
        <f t="shared" si="5"/>
        <v>0</v>
      </c>
      <c r="M31" s="23">
        <v>0</v>
      </c>
      <c r="N31" s="22">
        <f t="shared" si="6"/>
        <v>0</v>
      </c>
      <c r="AI31" s="4">
        <v>3010</v>
      </c>
      <c r="BJ31" s="4">
        <v>0</v>
      </c>
    </row>
    <row r="32" spans="1:62" s="4" customFormat="1" x14ac:dyDescent="0.5">
      <c r="A32" s="20"/>
      <c r="B32" s="20" t="s">
        <v>46</v>
      </c>
      <c r="C32" s="21">
        <f t="shared" si="1"/>
        <v>720</v>
      </c>
      <c r="D32" s="22">
        <f t="shared" si="2"/>
        <v>2.9572553384619809E-3</v>
      </c>
      <c r="E32" s="23">
        <v>14</v>
      </c>
      <c r="F32" s="22">
        <f t="shared" si="3"/>
        <v>1.592121274151911E-4</v>
      </c>
      <c r="G32" s="23">
        <v>0</v>
      </c>
      <c r="H32" s="22">
        <f t="shared" si="0"/>
        <v>0</v>
      </c>
      <c r="I32" s="23">
        <f>'plazas aut municipio x cat'!BK33</f>
        <v>702</v>
      </c>
      <c r="J32" s="22">
        <f t="shared" si="4"/>
        <v>6.4359385743754296E-3</v>
      </c>
      <c r="K32" s="23">
        <v>0</v>
      </c>
      <c r="L32" s="22">
        <f t="shared" si="5"/>
        <v>0</v>
      </c>
      <c r="M32" s="23">
        <v>4</v>
      </c>
      <c r="N32" s="22">
        <f t="shared" si="6"/>
        <v>3.766478342749529E-3</v>
      </c>
      <c r="AI32" s="4">
        <v>0</v>
      </c>
      <c r="BJ32" s="4">
        <v>0</v>
      </c>
    </row>
    <row r="33" spans="1:62" s="4" customFormat="1" x14ac:dyDescent="0.5">
      <c r="A33" s="20"/>
      <c r="B33" s="20" t="s">
        <v>47</v>
      </c>
      <c r="C33" s="21">
        <f t="shared" si="1"/>
        <v>701</v>
      </c>
      <c r="D33" s="22">
        <f t="shared" si="2"/>
        <v>2.8792166559192343E-3</v>
      </c>
      <c r="E33" s="23">
        <v>98</v>
      </c>
      <c r="F33" s="22">
        <f t="shared" si="3"/>
        <v>1.1144848919063379E-3</v>
      </c>
      <c r="G33" s="23">
        <v>14</v>
      </c>
      <c r="H33" s="22">
        <f t="shared" si="0"/>
        <v>3.1199857372080585E-4</v>
      </c>
      <c r="I33" s="23">
        <f>'plazas aut municipio x cat'!BK34</f>
        <v>544</v>
      </c>
      <c r="J33" s="22">
        <f t="shared" si="4"/>
        <v>4.9873939949575978E-3</v>
      </c>
      <c r="K33" s="23">
        <v>24</v>
      </c>
      <c r="L33" s="22">
        <f t="shared" si="5"/>
        <v>4.5540796963946868E-2</v>
      </c>
      <c r="M33" s="23">
        <v>21</v>
      </c>
      <c r="N33" s="22">
        <f t="shared" si="6"/>
        <v>1.977401129943503E-2</v>
      </c>
      <c r="AI33" s="4">
        <v>14</v>
      </c>
      <c r="BJ33" s="4">
        <v>10</v>
      </c>
    </row>
    <row r="34" spans="1:62" s="4" customFormat="1" x14ac:dyDescent="0.5">
      <c r="A34" s="20"/>
      <c r="B34" s="20" t="s">
        <v>48</v>
      </c>
      <c r="C34" s="21">
        <f t="shared" si="1"/>
        <v>2086</v>
      </c>
      <c r="D34" s="22">
        <f t="shared" si="2"/>
        <v>8.5678258833773498E-3</v>
      </c>
      <c r="E34" s="23">
        <v>12</v>
      </c>
      <c r="F34" s="22">
        <f t="shared" si="3"/>
        <v>1.3646753778444952E-4</v>
      </c>
      <c r="G34" s="23">
        <v>272</v>
      </c>
      <c r="H34" s="22">
        <f t="shared" si="0"/>
        <v>6.0616865751470846E-3</v>
      </c>
      <c r="I34" s="23">
        <f>'plazas aut municipio x cat'!BK35</f>
        <v>1767</v>
      </c>
      <c r="J34" s="22">
        <f t="shared" si="4"/>
        <v>1.6199862479944992E-2</v>
      </c>
      <c r="K34" s="23">
        <v>0</v>
      </c>
      <c r="L34" s="22">
        <f t="shared" si="5"/>
        <v>0</v>
      </c>
      <c r="M34" s="23">
        <v>35</v>
      </c>
      <c r="N34" s="22">
        <f t="shared" si="6"/>
        <v>3.2956685499058377E-2</v>
      </c>
      <c r="AI34" s="4">
        <v>272</v>
      </c>
      <c r="BJ34" s="4">
        <v>0</v>
      </c>
    </row>
    <row r="35" spans="1:62" s="4" customFormat="1" x14ac:dyDescent="0.5">
      <c r="A35" s="20"/>
      <c r="B35" s="20" t="s">
        <v>49</v>
      </c>
      <c r="C35" s="21">
        <f t="shared" si="1"/>
        <v>309</v>
      </c>
      <c r="D35" s="22">
        <f t="shared" si="2"/>
        <v>1.2691554160899335E-3</v>
      </c>
      <c r="E35" s="23">
        <v>0</v>
      </c>
      <c r="F35" s="22">
        <f t="shared" si="3"/>
        <v>0</v>
      </c>
      <c r="G35" s="23">
        <v>14</v>
      </c>
      <c r="H35" s="22">
        <f t="shared" si="0"/>
        <v>3.1199857372080585E-4</v>
      </c>
      <c r="I35" s="23">
        <f>'plazas aut municipio x cat'!BK36</f>
        <v>262</v>
      </c>
      <c r="J35" s="22">
        <f t="shared" si="4"/>
        <v>2.4020169608067843E-3</v>
      </c>
      <c r="K35" s="23">
        <v>21</v>
      </c>
      <c r="L35" s="22">
        <f t="shared" si="5"/>
        <v>3.9848197343453511E-2</v>
      </c>
      <c r="M35" s="23">
        <v>12</v>
      </c>
      <c r="N35" s="22">
        <f t="shared" si="6"/>
        <v>1.1299435028248588E-2</v>
      </c>
      <c r="AI35" s="4">
        <v>0</v>
      </c>
      <c r="BJ35" s="4">
        <v>0</v>
      </c>
    </row>
    <row r="36" spans="1:62" s="4" customFormat="1" x14ac:dyDescent="0.5">
      <c r="A36" s="20"/>
      <c r="B36" s="20" t="s">
        <v>50</v>
      </c>
      <c r="C36" s="21">
        <f t="shared" si="1"/>
        <v>380</v>
      </c>
      <c r="D36" s="22">
        <f t="shared" si="2"/>
        <v>1.5607736508549343E-3</v>
      </c>
      <c r="E36" s="23">
        <v>10</v>
      </c>
      <c r="F36" s="22">
        <f t="shared" si="3"/>
        <v>1.1372294815370794E-4</v>
      </c>
      <c r="G36" s="23">
        <v>17</v>
      </c>
      <c r="H36" s="22">
        <f t="shared" si="0"/>
        <v>3.7885541094669279E-4</v>
      </c>
      <c r="I36" s="23">
        <f>'plazas aut municipio x cat'!BK37</f>
        <v>340</v>
      </c>
      <c r="J36" s="22">
        <f t="shared" si="4"/>
        <v>3.1171212468484987E-3</v>
      </c>
      <c r="K36" s="23">
        <v>0</v>
      </c>
      <c r="L36" s="22">
        <f t="shared" si="5"/>
        <v>0</v>
      </c>
      <c r="M36" s="23">
        <v>13</v>
      </c>
      <c r="N36" s="22">
        <f t="shared" si="6"/>
        <v>1.2241054613935969E-2</v>
      </c>
      <c r="P36" s="24"/>
      <c r="AI36" s="4">
        <v>17</v>
      </c>
      <c r="BJ36" s="4">
        <v>7</v>
      </c>
    </row>
    <row r="37" spans="1:62" s="4" customFormat="1" x14ac:dyDescent="0.5">
      <c r="A37" s="20"/>
      <c r="B37" s="20" t="s">
        <v>51</v>
      </c>
      <c r="C37" s="21">
        <f t="shared" si="1"/>
        <v>350</v>
      </c>
      <c r="D37" s="22">
        <f t="shared" si="2"/>
        <v>1.4375546784190184E-3</v>
      </c>
      <c r="E37" s="23">
        <v>0</v>
      </c>
      <c r="F37" s="22">
        <f t="shared" si="3"/>
        <v>0</v>
      </c>
      <c r="G37" s="23">
        <v>0</v>
      </c>
      <c r="H37" s="22">
        <f t="shared" si="0"/>
        <v>0</v>
      </c>
      <c r="I37" s="23">
        <f>'plazas aut municipio x cat'!BK38</f>
        <v>338</v>
      </c>
      <c r="J37" s="22">
        <f t="shared" si="4"/>
        <v>3.0987852395140958E-3</v>
      </c>
      <c r="K37" s="23">
        <v>0</v>
      </c>
      <c r="L37" s="22">
        <f t="shared" si="5"/>
        <v>0</v>
      </c>
      <c r="M37" s="23">
        <v>12</v>
      </c>
      <c r="N37" s="22">
        <f t="shared" si="6"/>
        <v>1.1299435028248588E-2</v>
      </c>
      <c r="AI37" s="4">
        <v>0</v>
      </c>
      <c r="BJ37" s="4">
        <v>0</v>
      </c>
    </row>
    <row r="38" spans="1:62" s="4" customFormat="1" x14ac:dyDescent="0.5">
      <c r="A38" s="20"/>
      <c r="B38" s="20" t="s">
        <v>52</v>
      </c>
      <c r="C38" s="21">
        <f t="shared" si="1"/>
        <v>624</v>
      </c>
      <c r="D38" s="22">
        <f t="shared" si="2"/>
        <v>2.5629546266670499E-3</v>
      </c>
      <c r="E38" s="23">
        <v>119</v>
      </c>
      <c r="F38" s="22">
        <f t="shared" si="3"/>
        <v>1.3533030830291245E-3</v>
      </c>
      <c r="G38" s="23">
        <v>6</v>
      </c>
      <c r="H38" s="22">
        <f t="shared" si="0"/>
        <v>1.3371367445177393E-4</v>
      </c>
      <c r="I38" s="23">
        <f>'plazas aut municipio x cat'!BK39</f>
        <v>453</v>
      </c>
      <c r="J38" s="22">
        <f t="shared" si="4"/>
        <v>4.1531056612422648E-3</v>
      </c>
      <c r="K38" s="23">
        <v>40</v>
      </c>
      <c r="L38" s="22">
        <f t="shared" si="5"/>
        <v>7.5901328273244778E-2</v>
      </c>
      <c r="M38" s="23">
        <v>6</v>
      </c>
      <c r="N38" s="22">
        <f t="shared" si="6"/>
        <v>5.6497175141242938E-3</v>
      </c>
      <c r="AI38" s="4">
        <v>6</v>
      </c>
      <c r="BJ38" s="4">
        <v>6</v>
      </c>
    </row>
    <row r="39" spans="1:62" s="4" customFormat="1" x14ac:dyDescent="0.5">
      <c r="B39" s="20"/>
      <c r="C39" s="25"/>
      <c r="D39" s="26"/>
      <c r="E39" s="27"/>
      <c r="F39" s="26"/>
      <c r="G39" s="27"/>
      <c r="H39" s="26"/>
      <c r="I39" s="23"/>
      <c r="J39" s="26"/>
      <c r="K39" s="27"/>
      <c r="L39" s="26"/>
      <c r="M39" s="27"/>
      <c r="N39" s="26"/>
      <c r="AI39" s="4">
        <v>0</v>
      </c>
      <c r="BJ39" s="4">
        <v>0</v>
      </c>
    </row>
    <row r="40" spans="1:62" s="4" customFormat="1" ht="6" customHeight="1" x14ac:dyDescent="0.5">
      <c r="A40" s="4">
        <v>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62" s="4" customFormat="1" ht="29.25" customHeight="1" x14ac:dyDescent="0.5">
      <c r="B41" s="89" t="s">
        <v>53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62" s="4" customFormat="1" x14ac:dyDescent="0.5"/>
    <row r="43" spans="1:62" hidden="1" x14ac:dyDescent="0.5">
      <c r="B43" t="s">
        <v>54</v>
      </c>
      <c r="C43" s="31">
        <f>SUM(C8:C11,C13:C14,C16,C18,C19,C26,C28,C31,C38)</f>
        <v>180824</v>
      </c>
      <c r="D43" s="22">
        <f>C43/$C43</f>
        <v>1</v>
      </c>
      <c r="E43" s="31">
        <f>SUM(E8:E11,E13:E14,E16,E18,E19,E26,E28,E31,E38)</f>
        <v>65839</v>
      </c>
      <c r="F43" s="22">
        <f>E43/$C43</f>
        <v>0.36410542848294475</v>
      </c>
      <c r="G43" s="31">
        <f>SUM(G8:G11,G13:G14,G16,G18,G19,G26,G28,G31,G38)</f>
        <v>39382</v>
      </c>
      <c r="H43" s="22">
        <f>G43/$C43</f>
        <v>0.21779188603282751</v>
      </c>
      <c r="I43" s="31">
        <v>69501</v>
      </c>
      <c r="J43" s="22">
        <f>I43/$C43</f>
        <v>0.38435716497810024</v>
      </c>
      <c r="K43" s="31">
        <f>SUM(K8:K11,K13:K14,K16,K18,K19,K26,K28,K31,K38)</f>
        <v>264</v>
      </c>
      <c r="L43" s="22">
        <f>K43/$C43</f>
        <v>1.4599831880723797E-3</v>
      </c>
      <c r="M43" s="31">
        <f>SUM(M8:M11,M13:M14,M16,M18,M19,M26,M28,M31,M38)</f>
        <v>409</v>
      </c>
      <c r="N43" s="22">
        <f>M43/$C43</f>
        <v>2.2618678936424368E-3</v>
      </c>
    </row>
    <row r="44" spans="1:62" hidden="1" x14ac:dyDescent="0.5">
      <c r="B44" t="s">
        <v>55</v>
      </c>
      <c r="C44" s="31">
        <f>SUM(C12,C15,C17,C20,C22,C23:C25,C27,C30,C32,C33,C35,C37)</f>
        <v>42140</v>
      </c>
      <c r="D44" s="22">
        <f t="shared" ref="D44:F46" si="7">C44/$C44</f>
        <v>1</v>
      </c>
      <c r="E44" s="31">
        <f>SUM(E12,E15,E17,E20,E22,E23:E25,E27,E30,E32,E33,E35,E37)</f>
        <v>17869</v>
      </c>
      <c r="F44" s="22">
        <f t="shared" si="7"/>
        <v>0.42403891789273851</v>
      </c>
      <c r="G44" s="31">
        <f>SUM(G12,G15,G17,G20,G22,G23:G25,G27,G30,G32,G33,G35,G37)</f>
        <v>4910</v>
      </c>
      <c r="H44" s="22">
        <f t="shared" ref="H44:H46" si="8">G44/$C44</f>
        <v>0.11651637399145705</v>
      </c>
      <c r="I44" s="31">
        <v>17463</v>
      </c>
      <c r="J44" s="22">
        <f t="shared" ref="J44:J46" si="9">I44/$C44</f>
        <v>0.41440436639772188</v>
      </c>
      <c r="K44" s="31">
        <f>SUM(K12,K15,K17,K20,K22,K23:K25,K27,K30,K32,K33,K35,K37)</f>
        <v>241</v>
      </c>
      <c r="L44" s="22">
        <f t="shared" ref="L44:L46" si="10">K44/$C44</f>
        <v>5.719031798766018E-3</v>
      </c>
      <c r="M44" s="31">
        <f>SUM(M12,M15,M17,M20,M22,M23:M25,M27,M30,M32,M33,M35,M37)</f>
        <v>508</v>
      </c>
      <c r="N44" s="22">
        <f t="shared" ref="N44:N46" si="11">M44/$C44</f>
        <v>1.2055054579971523E-2</v>
      </c>
    </row>
    <row r="45" spans="1:62" hidden="1" x14ac:dyDescent="0.5">
      <c r="B45" t="s">
        <v>56</v>
      </c>
      <c r="C45" s="31">
        <f>SUM(C21,C34,C36)</f>
        <v>8444</v>
      </c>
      <c r="D45" s="22">
        <f t="shared" si="7"/>
        <v>1</v>
      </c>
      <c r="E45" s="31">
        <f>SUM(E21,E34,E36)</f>
        <v>1166</v>
      </c>
      <c r="F45" s="22">
        <f t="shared" si="7"/>
        <v>0.13808621506395075</v>
      </c>
      <c r="G45" s="31">
        <f>SUM(G21,G34,G36)</f>
        <v>530</v>
      </c>
      <c r="H45" s="22">
        <f t="shared" si="8"/>
        <v>6.2766461392704878E-2</v>
      </c>
      <c r="I45" s="31">
        <v>6245</v>
      </c>
      <c r="J45" s="22">
        <f t="shared" si="9"/>
        <v>0.73957839886309806</v>
      </c>
      <c r="K45" s="31">
        <f>SUM(K21,K34,K36)</f>
        <v>22</v>
      </c>
      <c r="L45" s="22">
        <f t="shared" si="10"/>
        <v>2.6054002842254855E-3</v>
      </c>
      <c r="M45" s="31">
        <f>SUM(M21,M34,M36)</f>
        <v>130</v>
      </c>
      <c r="N45" s="22">
        <f t="shared" si="11"/>
        <v>1.5395547134059688E-2</v>
      </c>
    </row>
    <row r="46" spans="1:62" hidden="1" x14ac:dyDescent="0.5">
      <c r="B46" t="s">
        <v>57</v>
      </c>
      <c r="C46" s="31">
        <f>C29</f>
        <v>12061</v>
      </c>
      <c r="D46" s="22">
        <f t="shared" si="7"/>
        <v>1</v>
      </c>
      <c r="E46" s="31">
        <f>E29</f>
        <v>3059</v>
      </c>
      <c r="F46" s="22">
        <f t="shared" si="7"/>
        <v>0.25362739408009288</v>
      </c>
      <c r="G46" s="31">
        <f>G29</f>
        <v>50</v>
      </c>
      <c r="H46" s="22">
        <f t="shared" si="8"/>
        <v>4.1455932343918414E-3</v>
      </c>
      <c r="I46" s="31">
        <v>8407</v>
      </c>
      <c r="J46" s="22">
        <f t="shared" si="9"/>
        <v>0.69704004643064421</v>
      </c>
      <c r="K46" s="31">
        <f>K29</f>
        <v>0</v>
      </c>
      <c r="L46" s="22">
        <f t="shared" si="10"/>
        <v>0</v>
      </c>
      <c r="M46" s="31">
        <f>M29</f>
        <v>15</v>
      </c>
      <c r="N46" s="22">
        <f t="shared" si="11"/>
        <v>1.2436779703175525E-3</v>
      </c>
    </row>
  </sheetData>
  <mergeCells count="10">
    <mergeCell ref="B41:N41"/>
    <mergeCell ref="I2:J2"/>
    <mergeCell ref="B3:N3"/>
    <mergeCell ref="B5:B6"/>
    <mergeCell ref="C5:D5"/>
    <mergeCell ref="E5:F5"/>
    <mergeCell ref="G5:H5"/>
    <mergeCell ref="I5:J5"/>
    <mergeCell ref="K5:L5"/>
    <mergeCell ref="M5:N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23FA8-2E01-4CB0-B2DC-AB8EE1850DC7}">
  <sheetPr>
    <tabColor rgb="FF92D050"/>
  </sheetPr>
  <dimension ref="A1:BS67"/>
  <sheetViews>
    <sheetView showGridLines="0" workbookViewId="0"/>
  </sheetViews>
  <sheetFormatPr baseColWidth="10" defaultRowHeight="14.35" x14ac:dyDescent="0.5"/>
  <cols>
    <col min="1" max="1" width="17.703125" customWidth="1"/>
    <col min="2" max="2" width="23" customWidth="1"/>
    <col min="3" max="71" width="9.5859375" customWidth="1"/>
    <col min="72" max="72" width="11.87890625" bestFit="1" customWidth="1"/>
  </cols>
  <sheetData>
    <row r="1" spans="1:71" ht="30" customHeight="1" x14ac:dyDescent="0.5">
      <c r="F1" s="1" t="s">
        <v>11</v>
      </c>
      <c r="H1" s="1" t="s">
        <v>12</v>
      </c>
      <c r="I1" s="1"/>
      <c r="K1" s="1"/>
      <c r="L1" s="1"/>
      <c r="N1" s="32"/>
      <c r="O1" s="32"/>
      <c r="Q1" s="1"/>
      <c r="R1" s="1"/>
      <c r="T1" s="1"/>
      <c r="U1" s="1"/>
      <c r="W1" s="1"/>
      <c r="X1" s="1"/>
      <c r="Z1" s="1"/>
      <c r="AA1" s="1"/>
      <c r="AC1" s="1"/>
      <c r="AD1" s="1"/>
      <c r="AF1" s="1"/>
      <c r="AG1" s="1"/>
      <c r="AI1" s="1"/>
      <c r="AJ1" s="1"/>
      <c r="AL1" s="1"/>
      <c r="AM1" s="1"/>
      <c r="AO1" s="1"/>
      <c r="AP1" s="1"/>
      <c r="AR1" s="1"/>
      <c r="AS1" s="1"/>
      <c r="AU1" s="1"/>
      <c r="AV1" s="1"/>
      <c r="AX1" s="1"/>
      <c r="AY1" s="1"/>
      <c r="BA1" s="1"/>
      <c r="BB1" s="1"/>
      <c r="BD1" s="1"/>
      <c r="BE1" s="1"/>
      <c r="BG1" s="1"/>
      <c r="BH1" s="1"/>
      <c r="BJ1" s="1"/>
      <c r="BK1" s="1"/>
      <c r="BM1" s="1"/>
      <c r="BN1" s="1"/>
      <c r="BP1" s="1"/>
      <c r="BQ1" s="1"/>
      <c r="BS1" s="1"/>
    </row>
    <row r="3" spans="1:71" s="4" customFormat="1" ht="56.25" customHeight="1" thickBot="1" x14ac:dyDescent="0.55000000000000004">
      <c r="B3" s="91" t="s">
        <v>120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4"/>
      <c r="BL3" s="33"/>
      <c r="BM3" s="33"/>
      <c r="BN3" s="33"/>
      <c r="BO3" s="33"/>
      <c r="BP3" s="33"/>
      <c r="BQ3" s="33"/>
      <c r="BR3" s="33"/>
      <c r="BS3" s="33"/>
    </row>
    <row r="4" spans="1:71" s="4" customFormat="1" ht="9.75" customHeight="1" x14ac:dyDescent="0.5">
      <c r="B4" s="35"/>
      <c r="C4" s="36"/>
      <c r="D4" s="35"/>
      <c r="E4" s="35"/>
      <c r="F4" s="3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6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6"/>
      <c r="BL4" s="35"/>
      <c r="BM4" s="35"/>
      <c r="BN4" s="36"/>
      <c r="BO4" s="35"/>
      <c r="BP4" s="35"/>
      <c r="BQ4" s="36"/>
      <c r="BR4" s="35"/>
      <c r="BS4" s="35"/>
    </row>
    <row r="5" spans="1:71" s="4" customFormat="1" x14ac:dyDescent="0.5">
      <c r="B5" s="13"/>
      <c r="C5" s="37"/>
      <c r="D5" s="37"/>
      <c r="E5" s="37"/>
      <c r="F5" s="104" t="s">
        <v>58</v>
      </c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6" t="s">
        <v>59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95" t="s">
        <v>16</v>
      </c>
      <c r="BL5" s="96"/>
      <c r="BM5" s="96"/>
      <c r="BN5" s="98" t="s">
        <v>17</v>
      </c>
      <c r="BO5" s="99"/>
      <c r="BP5" s="100"/>
      <c r="BQ5" s="95" t="s">
        <v>18</v>
      </c>
      <c r="BR5" s="96"/>
      <c r="BS5" s="96"/>
    </row>
    <row r="6" spans="1:71" s="4" customFormat="1" x14ac:dyDescent="0.5">
      <c r="B6" s="92" t="s">
        <v>14</v>
      </c>
      <c r="C6" s="109" t="s">
        <v>15</v>
      </c>
      <c r="D6" s="102"/>
      <c r="E6" s="110"/>
      <c r="F6" s="93" t="s">
        <v>60</v>
      </c>
      <c r="G6" s="92"/>
      <c r="H6" s="94"/>
      <c r="I6" s="93" t="s">
        <v>61</v>
      </c>
      <c r="J6" s="92"/>
      <c r="K6" s="94"/>
      <c r="L6" s="93" t="s">
        <v>62</v>
      </c>
      <c r="M6" s="92"/>
      <c r="N6" s="94"/>
      <c r="O6" s="93" t="s">
        <v>63</v>
      </c>
      <c r="P6" s="92"/>
      <c r="Q6" s="94"/>
      <c r="R6" s="93" t="s">
        <v>64</v>
      </c>
      <c r="S6" s="92"/>
      <c r="T6" s="94"/>
      <c r="U6" s="93" t="s">
        <v>65</v>
      </c>
      <c r="V6" s="92"/>
      <c r="W6" s="94"/>
      <c r="X6" s="93" t="s">
        <v>66</v>
      </c>
      <c r="Y6" s="92"/>
      <c r="Z6" s="94"/>
      <c r="AA6" s="93" t="s">
        <v>67</v>
      </c>
      <c r="AB6" s="92"/>
      <c r="AC6" s="94"/>
      <c r="AD6" s="93" t="s">
        <v>68</v>
      </c>
      <c r="AE6" s="92"/>
      <c r="AF6" s="92"/>
      <c r="AG6" s="98" t="s">
        <v>69</v>
      </c>
      <c r="AH6" s="99"/>
      <c r="AI6" s="100"/>
      <c r="AJ6" s="98" t="s">
        <v>70</v>
      </c>
      <c r="AK6" s="99"/>
      <c r="AL6" s="100"/>
      <c r="AM6" s="98" t="s">
        <v>71</v>
      </c>
      <c r="AN6" s="99"/>
      <c r="AO6" s="100"/>
      <c r="AP6" s="98" t="s">
        <v>72</v>
      </c>
      <c r="AQ6" s="99"/>
      <c r="AR6" s="100"/>
      <c r="AS6" s="98" t="s">
        <v>73</v>
      </c>
      <c r="AT6" s="99"/>
      <c r="AU6" s="100"/>
      <c r="AV6" s="98" t="s">
        <v>63</v>
      </c>
      <c r="AW6" s="99"/>
      <c r="AX6" s="100"/>
      <c r="AY6" s="98" t="s">
        <v>64</v>
      </c>
      <c r="AZ6" s="99"/>
      <c r="BA6" s="100"/>
      <c r="BB6" s="98" t="s">
        <v>65</v>
      </c>
      <c r="BC6" s="99"/>
      <c r="BD6" s="100"/>
      <c r="BE6" s="98" t="s">
        <v>74</v>
      </c>
      <c r="BF6" s="99"/>
      <c r="BG6" s="100"/>
      <c r="BH6" s="98" t="s">
        <v>75</v>
      </c>
      <c r="BI6" s="99"/>
      <c r="BJ6" s="99"/>
      <c r="BK6" s="97"/>
      <c r="BL6" s="92"/>
      <c r="BM6" s="92"/>
      <c r="BN6" s="101"/>
      <c r="BO6" s="102"/>
      <c r="BP6" s="103"/>
      <c r="BQ6" s="97"/>
      <c r="BR6" s="92"/>
      <c r="BS6" s="92"/>
    </row>
    <row r="7" spans="1:71" s="4" customFormat="1" ht="52" x14ac:dyDescent="0.5">
      <c r="A7" s="24"/>
      <c r="B7" s="92"/>
      <c r="C7" s="38" t="s">
        <v>19</v>
      </c>
      <c r="D7" s="39" t="s">
        <v>76</v>
      </c>
      <c r="E7" s="40" t="s">
        <v>77</v>
      </c>
      <c r="F7" s="14" t="s">
        <v>19</v>
      </c>
      <c r="G7" s="41" t="s">
        <v>76</v>
      </c>
      <c r="H7" s="15" t="s">
        <v>77</v>
      </c>
      <c r="I7" s="14" t="s">
        <v>19</v>
      </c>
      <c r="J7" s="41" t="s">
        <v>76</v>
      </c>
      <c r="K7" s="15" t="s">
        <v>77</v>
      </c>
      <c r="L7" s="14" t="s">
        <v>19</v>
      </c>
      <c r="M7" s="41" t="s">
        <v>76</v>
      </c>
      <c r="N7" s="15" t="s">
        <v>77</v>
      </c>
      <c r="O7" s="14" t="s">
        <v>19</v>
      </c>
      <c r="P7" s="41" t="s">
        <v>76</v>
      </c>
      <c r="Q7" s="15" t="s">
        <v>77</v>
      </c>
      <c r="R7" s="14" t="s">
        <v>19</v>
      </c>
      <c r="S7" s="41" t="s">
        <v>76</v>
      </c>
      <c r="T7" s="15" t="s">
        <v>77</v>
      </c>
      <c r="U7" s="14" t="s">
        <v>19</v>
      </c>
      <c r="V7" s="41" t="s">
        <v>76</v>
      </c>
      <c r="W7" s="15" t="s">
        <v>77</v>
      </c>
      <c r="X7" s="14" t="s">
        <v>19</v>
      </c>
      <c r="Y7" s="41" t="s">
        <v>76</v>
      </c>
      <c r="Z7" s="15" t="s">
        <v>77</v>
      </c>
      <c r="AA7" s="14" t="s">
        <v>19</v>
      </c>
      <c r="AB7" s="41" t="s">
        <v>76</v>
      </c>
      <c r="AC7" s="15" t="s">
        <v>77</v>
      </c>
      <c r="AD7" s="14" t="s">
        <v>19</v>
      </c>
      <c r="AE7" s="41" t="s">
        <v>76</v>
      </c>
      <c r="AF7" s="42" t="s">
        <v>77</v>
      </c>
      <c r="AG7" s="43" t="s">
        <v>19</v>
      </c>
      <c r="AH7" s="44" t="s">
        <v>76</v>
      </c>
      <c r="AI7" s="45" t="s">
        <v>77</v>
      </c>
      <c r="AJ7" s="43" t="s">
        <v>19</v>
      </c>
      <c r="AK7" s="44" t="s">
        <v>76</v>
      </c>
      <c r="AL7" s="45" t="s">
        <v>77</v>
      </c>
      <c r="AM7" s="43" t="s">
        <v>19</v>
      </c>
      <c r="AN7" s="44" t="s">
        <v>76</v>
      </c>
      <c r="AO7" s="45" t="s">
        <v>77</v>
      </c>
      <c r="AP7" s="43" t="s">
        <v>19</v>
      </c>
      <c r="AQ7" s="44" t="s">
        <v>76</v>
      </c>
      <c r="AR7" s="45" t="s">
        <v>77</v>
      </c>
      <c r="AS7" s="43" t="s">
        <v>19</v>
      </c>
      <c r="AT7" s="44" t="s">
        <v>76</v>
      </c>
      <c r="AU7" s="45" t="s">
        <v>77</v>
      </c>
      <c r="AV7" s="43" t="s">
        <v>19</v>
      </c>
      <c r="AW7" s="44" t="s">
        <v>76</v>
      </c>
      <c r="AX7" s="45" t="s">
        <v>77</v>
      </c>
      <c r="AY7" s="43" t="s">
        <v>19</v>
      </c>
      <c r="AZ7" s="44" t="s">
        <v>76</v>
      </c>
      <c r="BA7" s="45" t="s">
        <v>77</v>
      </c>
      <c r="BB7" s="43" t="s">
        <v>19</v>
      </c>
      <c r="BC7" s="44" t="s">
        <v>76</v>
      </c>
      <c r="BD7" s="45" t="s">
        <v>77</v>
      </c>
      <c r="BE7" s="43" t="s">
        <v>19</v>
      </c>
      <c r="BF7" s="44" t="s">
        <v>76</v>
      </c>
      <c r="BG7" s="45" t="s">
        <v>77</v>
      </c>
      <c r="BH7" s="43" t="s">
        <v>19</v>
      </c>
      <c r="BI7" s="44" t="s">
        <v>76</v>
      </c>
      <c r="BJ7" s="46" t="s">
        <v>77</v>
      </c>
      <c r="BK7" s="47" t="s">
        <v>19</v>
      </c>
      <c r="BL7" s="41" t="s">
        <v>76</v>
      </c>
      <c r="BM7" s="48" t="s">
        <v>77</v>
      </c>
      <c r="BN7" s="49" t="s">
        <v>19</v>
      </c>
      <c r="BO7" s="39" t="s">
        <v>76</v>
      </c>
      <c r="BP7" s="40" t="s">
        <v>77</v>
      </c>
      <c r="BQ7" s="14" t="s">
        <v>19</v>
      </c>
      <c r="BR7" s="41" t="s">
        <v>76</v>
      </c>
      <c r="BS7" s="15" t="s">
        <v>77</v>
      </c>
    </row>
    <row r="8" spans="1:71" s="19" customFormat="1" ht="15.7" x14ac:dyDescent="0.55000000000000004">
      <c r="A8" s="50"/>
      <c r="B8" s="16" t="s">
        <v>21</v>
      </c>
      <c r="C8" s="17">
        <f>F8+AG8+BK8+BN8+BQ8</f>
        <v>243469</v>
      </c>
      <c r="D8" s="17">
        <f>G8+AH8+BL8+BO8+BR8</f>
        <v>42421</v>
      </c>
      <c r="E8" s="51">
        <f>C8/(C8-D8)-1</f>
        <v>0.21099936333611868</v>
      </c>
      <c r="F8" s="17">
        <v>87933</v>
      </c>
      <c r="G8" s="52">
        <v>1644</v>
      </c>
      <c r="H8" s="18">
        <v>1.9064064528091951E-2</v>
      </c>
      <c r="I8" s="17">
        <v>1218</v>
      </c>
      <c r="J8" s="52">
        <v>31</v>
      </c>
      <c r="K8" s="18">
        <v>2.6116259477674708E-2</v>
      </c>
      <c r="L8" s="17">
        <v>1953</v>
      </c>
      <c r="M8" s="52">
        <v>0</v>
      </c>
      <c r="N8" s="18">
        <v>0</v>
      </c>
      <c r="O8" s="17">
        <v>13421</v>
      </c>
      <c r="P8" s="52">
        <v>-286</v>
      </c>
      <c r="Q8" s="18">
        <v>-2.0865251331436463E-2</v>
      </c>
      <c r="R8" s="17">
        <v>54391</v>
      </c>
      <c r="S8" s="52">
        <v>284</v>
      </c>
      <c r="T8" s="18">
        <v>5.2488587428614064E-3</v>
      </c>
      <c r="U8" s="17">
        <v>10381</v>
      </c>
      <c r="V8" s="52">
        <v>1072</v>
      </c>
      <c r="W8" s="18">
        <v>0.11515737458373621</v>
      </c>
      <c r="X8" s="17">
        <v>2822</v>
      </c>
      <c r="Y8" s="52">
        <v>0</v>
      </c>
      <c r="Z8" s="18">
        <v>0</v>
      </c>
      <c r="AA8" s="17">
        <v>3587</v>
      </c>
      <c r="AB8" s="52">
        <v>544</v>
      </c>
      <c r="AC8" s="18">
        <v>0.17877094972067042</v>
      </c>
      <c r="AD8" s="17">
        <v>160</v>
      </c>
      <c r="AE8" s="52">
        <v>0</v>
      </c>
      <c r="AF8" s="18">
        <v>0</v>
      </c>
      <c r="AG8" s="17">
        <v>44872</v>
      </c>
      <c r="AH8" s="52">
        <v>-2861</v>
      </c>
      <c r="AI8" s="18">
        <v>-5.3502621438948905E-2</v>
      </c>
      <c r="AJ8" s="17">
        <v>6577</v>
      </c>
      <c r="AK8" s="52">
        <v>-469</v>
      </c>
      <c r="AL8" s="18">
        <v>-6.6562588702810066E-2</v>
      </c>
      <c r="AM8" s="17">
        <v>10212</v>
      </c>
      <c r="AN8" s="52">
        <v>-1074</v>
      </c>
      <c r="AO8" s="18">
        <v>-9.5162147793726781E-2</v>
      </c>
      <c r="AP8" s="17">
        <v>17354</v>
      </c>
      <c r="AQ8" s="52">
        <v>-421</v>
      </c>
      <c r="AR8" s="18">
        <v>-2.3684950773558366E-2</v>
      </c>
      <c r="AS8" s="17">
        <v>218</v>
      </c>
      <c r="AT8" s="52">
        <v>0</v>
      </c>
      <c r="AU8" s="18">
        <v>0</v>
      </c>
      <c r="AV8" s="17">
        <v>6819</v>
      </c>
      <c r="AW8" s="52">
        <v>-471</v>
      </c>
      <c r="AX8" s="18">
        <v>-6.4609053497942437E-2</v>
      </c>
      <c r="AY8" s="17">
        <v>1825</v>
      </c>
      <c r="AZ8" s="52">
        <v>-266</v>
      </c>
      <c r="BA8" s="18">
        <v>-0.12721186035389764</v>
      </c>
      <c r="BB8" s="17">
        <v>1424</v>
      </c>
      <c r="BC8" s="52">
        <v>0</v>
      </c>
      <c r="BD8" s="18">
        <v>0</v>
      </c>
      <c r="BE8" s="17">
        <v>345</v>
      </c>
      <c r="BF8" s="52">
        <v>0</v>
      </c>
      <c r="BG8" s="18">
        <v>0</v>
      </c>
      <c r="BH8" s="17">
        <v>98</v>
      </c>
      <c r="BI8" s="52">
        <v>0</v>
      </c>
      <c r="BJ8" s="18">
        <v>0</v>
      </c>
      <c r="BK8" s="17">
        <v>109075</v>
      </c>
      <c r="BL8" s="52">
        <v>43678</v>
      </c>
      <c r="BM8" s="18">
        <v>0.63689196720006369</v>
      </c>
      <c r="BN8" s="17">
        <v>527</v>
      </c>
      <c r="BO8" s="52">
        <v>-17</v>
      </c>
      <c r="BP8" s="18">
        <v>-2.9465930018416242E-2</v>
      </c>
      <c r="BQ8" s="17">
        <v>1062</v>
      </c>
      <c r="BR8" s="52">
        <v>-23</v>
      </c>
      <c r="BS8" s="18">
        <v>-2.0295202952029467E-2</v>
      </c>
    </row>
    <row r="9" spans="1:71" s="4" customFormat="1" x14ac:dyDescent="0.5">
      <c r="A9" s="24"/>
      <c r="B9" s="20" t="s">
        <v>22</v>
      </c>
      <c r="C9" s="21">
        <f t="shared" ref="C9:C39" si="0">F9+AG9+BK9+BN9+BQ9</f>
        <v>67467</v>
      </c>
      <c r="D9" s="25">
        <f t="shared" ref="D9:D39" si="1">G9+AH9+BL9+BO9+BR9</f>
        <v>8136</v>
      </c>
      <c r="E9" s="54">
        <f t="shared" ref="E9:E39" si="2">C9/(C9-D9)-1</f>
        <v>0.13712898821863773</v>
      </c>
      <c r="F9" s="23">
        <v>35103</v>
      </c>
      <c r="G9" s="25">
        <v>734</v>
      </c>
      <c r="H9" s="54">
        <v>2.1356454944863046E-2</v>
      </c>
      <c r="I9" s="23">
        <v>335</v>
      </c>
      <c r="J9" s="25">
        <v>0</v>
      </c>
      <c r="K9" s="54">
        <v>0</v>
      </c>
      <c r="L9" s="23">
        <v>967</v>
      </c>
      <c r="M9" s="25">
        <v>0</v>
      </c>
      <c r="N9" s="54">
        <v>0</v>
      </c>
      <c r="O9" s="23">
        <v>3479</v>
      </c>
      <c r="P9" s="25">
        <v>0</v>
      </c>
      <c r="Q9" s="54">
        <v>0</v>
      </c>
      <c r="R9" s="23">
        <v>20386</v>
      </c>
      <c r="S9" s="25">
        <v>190</v>
      </c>
      <c r="T9" s="54">
        <v>9.4078035254505643E-3</v>
      </c>
      <c r="U9" s="23">
        <v>6760</v>
      </c>
      <c r="V9" s="25">
        <v>0</v>
      </c>
      <c r="W9" s="54">
        <v>0</v>
      </c>
      <c r="X9" s="23">
        <v>1062</v>
      </c>
      <c r="Y9" s="25">
        <v>0</v>
      </c>
      <c r="Z9" s="54">
        <v>0</v>
      </c>
      <c r="AA9" s="23">
        <v>2114</v>
      </c>
      <c r="AB9" s="25">
        <v>544</v>
      </c>
      <c r="AC9" s="54">
        <v>0.34649681528662413</v>
      </c>
      <c r="AD9" s="23">
        <v>0</v>
      </c>
      <c r="AE9" s="25">
        <v>0</v>
      </c>
      <c r="AF9" s="54" t="s">
        <v>121</v>
      </c>
      <c r="AG9" s="23">
        <v>11767</v>
      </c>
      <c r="AH9" s="25">
        <v>-596</v>
      </c>
      <c r="AI9" s="54">
        <v>-4.8208363665776965E-2</v>
      </c>
      <c r="AJ9" s="23">
        <v>1160</v>
      </c>
      <c r="AK9" s="25">
        <v>12</v>
      </c>
      <c r="AL9" s="54">
        <v>1.0452961672473782E-2</v>
      </c>
      <c r="AM9" s="23">
        <v>3808</v>
      </c>
      <c r="AN9" s="25">
        <v>-608</v>
      </c>
      <c r="AO9" s="54">
        <v>-0.1376811594202898</v>
      </c>
      <c r="AP9" s="23">
        <v>3406</v>
      </c>
      <c r="AQ9" s="25">
        <v>0</v>
      </c>
      <c r="AR9" s="54">
        <v>0</v>
      </c>
      <c r="AS9" s="23">
        <v>0</v>
      </c>
      <c r="AT9" s="25">
        <v>0</v>
      </c>
      <c r="AU9" s="54" t="s">
        <v>121</v>
      </c>
      <c r="AV9" s="23">
        <v>2772</v>
      </c>
      <c r="AW9" s="25">
        <v>0</v>
      </c>
      <c r="AX9" s="54">
        <v>0</v>
      </c>
      <c r="AY9" s="23">
        <v>265</v>
      </c>
      <c r="AZ9" s="25">
        <v>0</v>
      </c>
      <c r="BA9" s="54">
        <v>0</v>
      </c>
      <c r="BB9" s="23">
        <v>330</v>
      </c>
      <c r="BC9" s="25">
        <v>0</v>
      </c>
      <c r="BD9" s="54">
        <v>0</v>
      </c>
      <c r="BE9" s="23">
        <v>4</v>
      </c>
      <c r="BF9" s="25">
        <v>0</v>
      </c>
      <c r="BG9" s="54">
        <v>0</v>
      </c>
      <c r="BH9" s="23">
        <v>22</v>
      </c>
      <c r="BI9" s="25">
        <v>0</v>
      </c>
      <c r="BJ9" s="54">
        <v>0</v>
      </c>
      <c r="BK9" s="23">
        <v>20561</v>
      </c>
      <c r="BL9" s="25">
        <v>8000</v>
      </c>
      <c r="BM9" s="54">
        <v>0.77173913043478271</v>
      </c>
      <c r="BN9" s="23">
        <v>22</v>
      </c>
      <c r="BO9" s="25">
        <v>0</v>
      </c>
      <c r="BP9" s="54">
        <v>0</v>
      </c>
      <c r="BQ9" s="23">
        <v>14</v>
      </c>
      <c r="BR9" s="25">
        <v>-2</v>
      </c>
      <c r="BS9" s="54">
        <v>-0.125</v>
      </c>
    </row>
    <row r="10" spans="1:71" s="4" customFormat="1" x14ac:dyDescent="0.5">
      <c r="A10" s="24"/>
      <c r="B10" s="20" t="s">
        <v>23</v>
      </c>
      <c r="C10" s="21">
        <f t="shared" si="0"/>
        <v>343</v>
      </c>
      <c r="D10" s="25">
        <f t="shared" si="1"/>
        <v>142</v>
      </c>
      <c r="E10" s="54">
        <f t="shared" si="2"/>
        <v>0.70646766169154218</v>
      </c>
      <c r="F10" s="23">
        <v>0</v>
      </c>
      <c r="G10" s="25">
        <v>0</v>
      </c>
      <c r="H10" s="54" t="s">
        <v>121</v>
      </c>
      <c r="I10" s="23">
        <v>0</v>
      </c>
      <c r="J10" s="25">
        <v>0</v>
      </c>
      <c r="K10" s="54" t="s">
        <v>121</v>
      </c>
      <c r="L10" s="23">
        <v>0</v>
      </c>
      <c r="M10" s="25">
        <v>0</v>
      </c>
      <c r="N10" s="54" t="s">
        <v>121</v>
      </c>
      <c r="O10" s="23">
        <v>0</v>
      </c>
      <c r="P10" s="25">
        <v>0</v>
      </c>
      <c r="Q10" s="54" t="s">
        <v>121</v>
      </c>
      <c r="R10" s="23">
        <v>0</v>
      </c>
      <c r="S10" s="25">
        <v>0</v>
      </c>
      <c r="T10" s="54" t="s">
        <v>121</v>
      </c>
      <c r="U10" s="23">
        <v>0</v>
      </c>
      <c r="V10" s="25">
        <v>0</v>
      </c>
      <c r="W10" s="54" t="s">
        <v>121</v>
      </c>
      <c r="X10" s="23">
        <v>0</v>
      </c>
      <c r="Y10" s="25">
        <v>0</v>
      </c>
      <c r="Z10" s="54" t="s">
        <v>121</v>
      </c>
      <c r="AA10" s="23">
        <v>0</v>
      </c>
      <c r="AB10" s="25">
        <v>0</v>
      </c>
      <c r="AC10" s="54" t="s">
        <v>121</v>
      </c>
      <c r="AD10" s="23">
        <v>0</v>
      </c>
      <c r="AE10" s="25">
        <v>0</v>
      </c>
      <c r="AF10" s="54" t="s">
        <v>121</v>
      </c>
      <c r="AG10" s="23">
        <v>0</v>
      </c>
      <c r="AH10" s="25">
        <v>0</v>
      </c>
      <c r="AI10" s="54" t="s">
        <v>121</v>
      </c>
      <c r="AJ10" s="23">
        <v>0</v>
      </c>
      <c r="AK10" s="25">
        <v>0</v>
      </c>
      <c r="AL10" s="54" t="s">
        <v>121</v>
      </c>
      <c r="AM10" s="23">
        <v>0</v>
      </c>
      <c r="AN10" s="25">
        <v>0</v>
      </c>
      <c r="AO10" s="54" t="s">
        <v>121</v>
      </c>
      <c r="AP10" s="23">
        <v>0</v>
      </c>
      <c r="AQ10" s="25">
        <v>0</v>
      </c>
      <c r="AR10" s="54" t="s">
        <v>121</v>
      </c>
      <c r="AS10" s="23">
        <v>0</v>
      </c>
      <c r="AT10" s="25">
        <v>0</v>
      </c>
      <c r="AU10" s="54" t="s">
        <v>121</v>
      </c>
      <c r="AV10" s="23">
        <v>0</v>
      </c>
      <c r="AW10" s="25">
        <v>0</v>
      </c>
      <c r="AX10" s="54" t="s">
        <v>121</v>
      </c>
      <c r="AY10" s="23">
        <v>0</v>
      </c>
      <c r="AZ10" s="25">
        <v>0</v>
      </c>
      <c r="BA10" s="54" t="s">
        <v>121</v>
      </c>
      <c r="BB10" s="23">
        <v>0</v>
      </c>
      <c r="BC10" s="25">
        <v>0</v>
      </c>
      <c r="BD10" s="54" t="s">
        <v>121</v>
      </c>
      <c r="BE10" s="23">
        <v>0</v>
      </c>
      <c r="BF10" s="25">
        <v>0</v>
      </c>
      <c r="BG10" s="54" t="s">
        <v>121</v>
      </c>
      <c r="BH10" s="23">
        <v>0</v>
      </c>
      <c r="BI10" s="25">
        <v>0</v>
      </c>
      <c r="BJ10" s="54" t="s">
        <v>121</v>
      </c>
      <c r="BK10" s="23">
        <v>326</v>
      </c>
      <c r="BL10" s="25">
        <v>142</v>
      </c>
      <c r="BM10" s="54">
        <v>0.4862782859894077</v>
      </c>
      <c r="BN10" s="23">
        <v>0</v>
      </c>
      <c r="BO10" s="25">
        <v>0</v>
      </c>
      <c r="BP10" s="54" t="s">
        <v>121</v>
      </c>
      <c r="BQ10" s="23">
        <v>17</v>
      </c>
      <c r="BR10" s="25">
        <v>0</v>
      </c>
      <c r="BS10" s="54">
        <v>0</v>
      </c>
    </row>
    <row r="11" spans="1:71" s="4" customFormat="1" x14ac:dyDescent="0.5">
      <c r="A11" s="24"/>
      <c r="B11" s="20" t="s">
        <v>24</v>
      </c>
      <c r="C11" s="21">
        <f t="shared" si="0"/>
        <v>3201</v>
      </c>
      <c r="D11" s="25">
        <f t="shared" si="1"/>
        <v>1010</v>
      </c>
      <c r="E11" s="54">
        <f t="shared" si="2"/>
        <v>0.46097672295755365</v>
      </c>
      <c r="F11" s="23">
        <v>18</v>
      </c>
      <c r="G11" s="25">
        <v>0</v>
      </c>
      <c r="H11" s="54">
        <v>0</v>
      </c>
      <c r="I11" s="23">
        <v>0</v>
      </c>
      <c r="J11" s="25">
        <v>0</v>
      </c>
      <c r="K11" s="54" t="s">
        <v>121</v>
      </c>
      <c r="L11" s="23">
        <v>18</v>
      </c>
      <c r="M11" s="25">
        <v>0</v>
      </c>
      <c r="N11" s="54">
        <v>0</v>
      </c>
      <c r="O11" s="23">
        <v>0</v>
      </c>
      <c r="P11" s="25">
        <v>0</v>
      </c>
      <c r="Q11" s="54" t="s">
        <v>121</v>
      </c>
      <c r="R11" s="23">
        <v>0</v>
      </c>
      <c r="S11" s="25">
        <v>0</v>
      </c>
      <c r="T11" s="54" t="s">
        <v>121</v>
      </c>
      <c r="U11" s="23">
        <v>0</v>
      </c>
      <c r="V11" s="25">
        <v>0</v>
      </c>
      <c r="W11" s="54" t="s">
        <v>121</v>
      </c>
      <c r="X11" s="23">
        <v>0</v>
      </c>
      <c r="Y11" s="25">
        <v>0</v>
      </c>
      <c r="Z11" s="54" t="s">
        <v>121</v>
      </c>
      <c r="AA11" s="23">
        <v>0</v>
      </c>
      <c r="AB11" s="25">
        <v>0</v>
      </c>
      <c r="AC11" s="54" t="s">
        <v>121</v>
      </c>
      <c r="AD11" s="23">
        <v>0</v>
      </c>
      <c r="AE11" s="25">
        <v>0</v>
      </c>
      <c r="AF11" s="54" t="s">
        <v>121</v>
      </c>
      <c r="AG11" s="23">
        <v>24</v>
      </c>
      <c r="AH11" s="25">
        <v>0</v>
      </c>
      <c r="AI11" s="54">
        <v>0</v>
      </c>
      <c r="AJ11" s="23">
        <v>0</v>
      </c>
      <c r="AK11" s="25">
        <v>0</v>
      </c>
      <c r="AL11" s="54" t="s">
        <v>121</v>
      </c>
      <c r="AM11" s="23">
        <v>0</v>
      </c>
      <c r="AN11" s="25">
        <v>0</v>
      </c>
      <c r="AO11" s="54" t="s">
        <v>121</v>
      </c>
      <c r="AP11" s="23">
        <v>0</v>
      </c>
      <c r="AQ11" s="25">
        <v>0</v>
      </c>
      <c r="AR11" s="54" t="s">
        <v>121</v>
      </c>
      <c r="AS11" s="23">
        <v>0</v>
      </c>
      <c r="AT11" s="25">
        <v>0</v>
      </c>
      <c r="AU11" s="54" t="s">
        <v>121</v>
      </c>
      <c r="AV11" s="23">
        <v>0</v>
      </c>
      <c r="AW11" s="25">
        <v>0</v>
      </c>
      <c r="AX11" s="54" t="s">
        <v>121</v>
      </c>
      <c r="AY11" s="23">
        <v>0</v>
      </c>
      <c r="AZ11" s="25">
        <v>0</v>
      </c>
      <c r="BA11" s="54" t="s">
        <v>121</v>
      </c>
      <c r="BB11" s="23">
        <v>0</v>
      </c>
      <c r="BC11" s="25">
        <v>0</v>
      </c>
      <c r="BD11" s="54" t="s">
        <v>121</v>
      </c>
      <c r="BE11" s="23">
        <v>4</v>
      </c>
      <c r="BF11" s="25">
        <v>0</v>
      </c>
      <c r="BG11" s="54">
        <v>0</v>
      </c>
      <c r="BH11" s="23">
        <v>20</v>
      </c>
      <c r="BI11" s="25">
        <v>0</v>
      </c>
      <c r="BJ11" s="54" t="s">
        <v>121</v>
      </c>
      <c r="BK11" s="23">
        <v>3087</v>
      </c>
      <c r="BL11" s="25">
        <v>1010</v>
      </c>
      <c r="BM11" s="54">
        <v>0.60186888382017512</v>
      </c>
      <c r="BN11" s="23">
        <v>0</v>
      </c>
      <c r="BO11" s="25">
        <v>0</v>
      </c>
      <c r="BP11" s="54" t="s">
        <v>121</v>
      </c>
      <c r="BQ11" s="23">
        <v>72</v>
      </c>
      <c r="BR11" s="25">
        <v>0</v>
      </c>
      <c r="BS11" s="54">
        <v>0</v>
      </c>
    </row>
    <row r="12" spans="1:71" s="4" customFormat="1" x14ac:dyDescent="0.5">
      <c r="A12" s="24"/>
      <c r="B12" s="20" t="s">
        <v>25</v>
      </c>
      <c r="C12" s="21">
        <f t="shared" si="0"/>
        <v>60154</v>
      </c>
      <c r="D12" s="25">
        <f t="shared" si="1"/>
        <v>7548</v>
      </c>
      <c r="E12" s="54">
        <f t="shared" si="2"/>
        <v>0.14348173212181115</v>
      </c>
      <c r="F12" s="23">
        <v>17936</v>
      </c>
      <c r="G12" s="25">
        <v>1072</v>
      </c>
      <c r="H12" s="54">
        <v>6.3567362428842422E-2</v>
      </c>
      <c r="I12" s="23">
        <v>190</v>
      </c>
      <c r="J12" s="25">
        <v>0</v>
      </c>
      <c r="K12" s="54">
        <v>0</v>
      </c>
      <c r="L12" s="23">
        <v>96</v>
      </c>
      <c r="M12" s="25">
        <v>0</v>
      </c>
      <c r="N12" s="54">
        <v>0</v>
      </c>
      <c r="O12" s="23">
        <v>3618</v>
      </c>
      <c r="P12" s="25">
        <v>0</v>
      </c>
      <c r="Q12" s="54">
        <v>0</v>
      </c>
      <c r="R12" s="23">
        <v>12425</v>
      </c>
      <c r="S12" s="25">
        <v>0</v>
      </c>
      <c r="T12" s="54">
        <v>0</v>
      </c>
      <c r="U12" s="23">
        <v>1330</v>
      </c>
      <c r="V12" s="25">
        <v>1072</v>
      </c>
      <c r="W12" s="54">
        <v>4.1550387596899228</v>
      </c>
      <c r="X12" s="23">
        <v>0</v>
      </c>
      <c r="Y12" s="25">
        <v>0</v>
      </c>
      <c r="Z12" s="54" t="s">
        <v>121</v>
      </c>
      <c r="AA12" s="23">
        <v>277</v>
      </c>
      <c r="AB12" s="25">
        <v>0</v>
      </c>
      <c r="AC12" s="54">
        <v>0</v>
      </c>
      <c r="AD12" s="23">
        <v>0</v>
      </c>
      <c r="AE12" s="25">
        <v>0</v>
      </c>
      <c r="AF12" s="54" t="s">
        <v>121</v>
      </c>
      <c r="AG12" s="23">
        <v>20391</v>
      </c>
      <c r="AH12" s="25">
        <v>-1692</v>
      </c>
      <c r="AI12" s="54">
        <v>-7.6620024453199265E-2</v>
      </c>
      <c r="AJ12" s="23">
        <v>2829</v>
      </c>
      <c r="AK12" s="25">
        <v>-481</v>
      </c>
      <c r="AL12" s="54">
        <v>-0.14531722054380669</v>
      </c>
      <c r="AM12" s="23">
        <v>4049</v>
      </c>
      <c r="AN12" s="25">
        <v>-474</v>
      </c>
      <c r="AO12" s="54">
        <v>-0.10479770064116734</v>
      </c>
      <c r="AP12" s="23">
        <v>9610</v>
      </c>
      <c r="AQ12" s="25">
        <v>0</v>
      </c>
      <c r="AR12" s="54">
        <v>0</v>
      </c>
      <c r="AS12" s="23">
        <v>218</v>
      </c>
      <c r="AT12" s="25">
        <v>0</v>
      </c>
      <c r="AU12" s="54">
        <v>0</v>
      </c>
      <c r="AV12" s="23">
        <v>2871</v>
      </c>
      <c r="AW12" s="25">
        <v>-471</v>
      </c>
      <c r="AX12" s="54">
        <v>-0.14093357271095153</v>
      </c>
      <c r="AY12" s="23">
        <v>814</v>
      </c>
      <c r="AZ12" s="25">
        <v>-266</v>
      </c>
      <c r="BA12" s="54">
        <v>-0.24629629629629635</v>
      </c>
      <c r="BB12" s="23">
        <v>0</v>
      </c>
      <c r="BC12" s="25">
        <v>0</v>
      </c>
      <c r="BD12" s="54" t="s">
        <v>121</v>
      </c>
      <c r="BE12" s="23">
        <v>0</v>
      </c>
      <c r="BF12" s="25">
        <v>0</v>
      </c>
      <c r="BG12" s="54" t="s">
        <v>121</v>
      </c>
      <c r="BH12" s="23">
        <v>0</v>
      </c>
      <c r="BI12" s="25">
        <v>0</v>
      </c>
      <c r="BJ12" s="54" t="s">
        <v>121</v>
      </c>
      <c r="BK12" s="23">
        <v>21771</v>
      </c>
      <c r="BL12" s="25">
        <v>8180</v>
      </c>
      <c r="BM12" s="54">
        <v>0.97883597883597884</v>
      </c>
      <c r="BN12" s="23">
        <v>12</v>
      </c>
      <c r="BO12" s="25">
        <v>0</v>
      </c>
      <c r="BP12" s="54">
        <v>0</v>
      </c>
      <c r="BQ12" s="23">
        <v>44</v>
      </c>
      <c r="BR12" s="25">
        <v>-12</v>
      </c>
      <c r="BS12" s="54">
        <v>-0.2142857142857143</v>
      </c>
    </row>
    <row r="13" spans="1:71" s="4" customFormat="1" x14ac:dyDescent="0.5">
      <c r="A13" s="56"/>
      <c r="B13" s="20" t="s">
        <v>26</v>
      </c>
      <c r="C13" s="21">
        <f t="shared" si="0"/>
        <v>652</v>
      </c>
      <c r="D13" s="25">
        <f t="shared" si="1"/>
        <v>185</v>
      </c>
      <c r="E13" s="54">
        <f t="shared" si="2"/>
        <v>0.3961456102783727</v>
      </c>
      <c r="F13" s="23">
        <v>234</v>
      </c>
      <c r="G13" s="25">
        <v>0</v>
      </c>
      <c r="H13" s="54">
        <v>0</v>
      </c>
      <c r="I13" s="23">
        <v>0</v>
      </c>
      <c r="J13" s="25">
        <v>0</v>
      </c>
      <c r="K13" s="54" t="s">
        <v>121</v>
      </c>
      <c r="L13" s="23">
        <v>0</v>
      </c>
      <c r="M13" s="25">
        <v>0</v>
      </c>
      <c r="N13" s="54" t="s">
        <v>121</v>
      </c>
      <c r="O13" s="23">
        <v>0</v>
      </c>
      <c r="P13" s="25">
        <v>0</v>
      </c>
      <c r="Q13" s="54" t="s">
        <v>121</v>
      </c>
      <c r="R13" s="23">
        <v>0</v>
      </c>
      <c r="S13" s="25">
        <v>0</v>
      </c>
      <c r="T13" s="54" t="s">
        <v>121</v>
      </c>
      <c r="U13" s="23">
        <v>0</v>
      </c>
      <c r="V13" s="25">
        <v>0</v>
      </c>
      <c r="W13" s="54" t="s">
        <v>121</v>
      </c>
      <c r="X13" s="23">
        <v>0</v>
      </c>
      <c r="Y13" s="25">
        <v>0</v>
      </c>
      <c r="Z13" s="54" t="s">
        <v>121</v>
      </c>
      <c r="AA13" s="23">
        <v>234</v>
      </c>
      <c r="AB13" s="25">
        <v>0</v>
      </c>
      <c r="AC13" s="54">
        <v>0</v>
      </c>
      <c r="AD13" s="23">
        <v>0</v>
      </c>
      <c r="AE13" s="25">
        <v>0</v>
      </c>
      <c r="AF13" s="54" t="s">
        <v>121</v>
      </c>
      <c r="AG13" s="23">
        <v>0</v>
      </c>
      <c r="AH13" s="25">
        <v>0</v>
      </c>
      <c r="AI13" s="54" t="s">
        <v>121</v>
      </c>
      <c r="AJ13" s="23">
        <v>0</v>
      </c>
      <c r="AK13" s="25">
        <v>0</v>
      </c>
      <c r="AL13" s="54" t="s">
        <v>121</v>
      </c>
      <c r="AM13" s="23">
        <v>0</v>
      </c>
      <c r="AN13" s="25">
        <v>0</v>
      </c>
      <c r="AO13" s="54" t="s">
        <v>121</v>
      </c>
      <c r="AP13" s="23">
        <v>0</v>
      </c>
      <c r="AQ13" s="25">
        <v>0</v>
      </c>
      <c r="AR13" s="54" t="s">
        <v>121</v>
      </c>
      <c r="AS13" s="23">
        <v>0</v>
      </c>
      <c r="AT13" s="25">
        <v>0</v>
      </c>
      <c r="AU13" s="54" t="s">
        <v>121</v>
      </c>
      <c r="AV13" s="23">
        <v>0</v>
      </c>
      <c r="AW13" s="25">
        <v>0</v>
      </c>
      <c r="AX13" s="54" t="s">
        <v>121</v>
      </c>
      <c r="AY13" s="23">
        <v>0</v>
      </c>
      <c r="AZ13" s="25">
        <v>0</v>
      </c>
      <c r="BA13" s="54" t="s">
        <v>121</v>
      </c>
      <c r="BB13" s="23">
        <v>0</v>
      </c>
      <c r="BC13" s="25">
        <v>0</v>
      </c>
      <c r="BD13" s="54" t="s">
        <v>121</v>
      </c>
      <c r="BE13" s="23">
        <v>0</v>
      </c>
      <c r="BF13" s="25">
        <v>0</v>
      </c>
      <c r="BG13" s="54" t="s">
        <v>121</v>
      </c>
      <c r="BH13" s="23">
        <v>0</v>
      </c>
      <c r="BI13" s="25">
        <v>0</v>
      </c>
      <c r="BJ13" s="54" t="s">
        <v>121</v>
      </c>
      <c r="BK13" s="23">
        <v>374</v>
      </c>
      <c r="BL13" s="25">
        <v>185</v>
      </c>
      <c r="BM13" s="54">
        <v>2.1576819407008085</v>
      </c>
      <c r="BN13" s="23">
        <v>0</v>
      </c>
      <c r="BO13" s="25">
        <v>0</v>
      </c>
      <c r="BP13" s="54" t="s">
        <v>121</v>
      </c>
      <c r="BQ13" s="23">
        <v>44</v>
      </c>
      <c r="BR13" s="25">
        <v>0</v>
      </c>
      <c r="BS13" s="54">
        <v>0</v>
      </c>
    </row>
    <row r="14" spans="1:71" s="4" customFormat="1" x14ac:dyDescent="0.5">
      <c r="A14" s="56"/>
      <c r="B14" s="20" t="s">
        <v>27</v>
      </c>
      <c r="C14" s="21">
        <f t="shared" si="0"/>
        <v>3367</v>
      </c>
      <c r="D14" s="25">
        <f t="shared" si="1"/>
        <v>1601</v>
      </c>
      <c r="E14" s="54">
        <f t="shared" si="2"/>
        <v>0.9065685164212911</v>
      </c>
      <c r="F14" s="23">
        <v>986</v>
      </c>
      <c r="G14" s="25">
        <v>0</v>
      </c>
      <c r="H14" s="54">
        <v>0</v>
      </c>
      <c r="I14" s="23">
        <v>0</v>
      </c>
      <c r="J14" s="25">
        <v>0</v>
      </c>
      <c r="K14" s="54" t="s">
        <v>121</v>
      </c>
      <c r="L14" s="23">
        <v>0</v>
      </c>
      <c r="M14" s="25">
        <v>0</v>
      </c>
      <c r="N14" s="54" t="s">
        <v>121</v>
      </c>
      <c r="O14" s="23">
        <v>180</v>
      </c>
      <c r="P14" s="25">
        <v>0</v>
      </c>
      <c r="Q14" s="54">
        <v>0</v>
      </c>
      <c r="R14" s="23">
        <v>806</v>
      </c>
      <c r="S14" s="25">
        <v>0</v>
      </c>
      <c r="T14" s="54">
        <v>0</v>
      </c>
      <c r="U14" s="23">
        <v>0</v>
      </c>
      <c r="V14" s="25">
        <v>0</v>
      </c>
      <c r="W14" s="54" t="s">
        <v>121</v>
      </c>
      <c r="X14" s="23">
        <v>0</v>
      </c>
      <c r="Y14" s="25">
        <v>0</v>
      </c>
      <c r="Z14" s="54" t="s">
        <v>121</v>
      </c>
      <c r="AA14" s="23">
        <v>0</v>
      </c>
      <c r="AB14" s="25">
        <v>0</v>
      </c>
      <c r="AC14" s="54" t="s">
        <v>121</v>
      </c>
      <c r="AD14" s="23">
        <v>0</v>
      </c>
      <c r="AE14" s="25">
        <v>0</v>
      </c>
      <c r="AF14" s="54" t="s">
        <v>121</v>
      </c>
      <c r="AG14" s="23">
        <v>35</v>
      </c>
      <c r="AH14" s="25">
        <v>0</v>
      </c>
      <c r="AI14" s="54">
        <v>0</v>
      </c>
      <c r="AJ14" s="23">
        <v>0</v>
      </c>
      <c r="AK14" s="25">
        <v>0</v>
      </c>
      <c r="AL14" s="54" t="s">
        <v>121</v>
      </c>
      <c r="AM14" s="23">
        <v>30</v>
      </c>
      <c r="AN14" s="25">
        <v>0</v>
      </c>
      <c r="AO14" s="54">
        <v>0</v>
      </c>
      <c r="AP14" s="23">
        <v>0</v>
      </c>
      <c r="AQ14" s="25">
        <v>0</v>
      </c>
      <c r="AR14" s="54" t="s">
        <v>121</v>
      </c>
      <c r="AS14" s="23">
        <v>0</v>
      </c>
      <c r="AT14" s="25">
        <v>0</v>
      </c>
      <c r="AU14" s="54" t="s">
        <v>121</v>
      </c>
      <c r="AV14" s="23">
        <v>0</v>
      </c>
      <c r="AW14" s="25">
        <v>0</v>
      </c>
      <c r="AX14" s="54" t="s">
        <v>121</v>
      </c>
      <c r="AY14" s="23">
        <v>0</v>
      </c>
      <c r="AZ14" s="25">
        <v>0</v>
      </c>
      <c r="BA14" s="54" t="s">
        <v>121</v>
      </c>
      <c r="BB14" s="23">
        <v>0</v>
      </c>
      <c r="BC14" s="25">
        <v>0</v>
      </c>
      <c r="BD14" s="54" t="s">
        <v>121</v>
      </c>
      <c r="BE14" s="23">
        <v>5</v>
      </c>
      <c r="BF14" s="25">
        <v>0</v>
      </c>
      <c r="BG14" s="54">
        <v>0</v>
      </c>
      <c r="BH14" s="23">
        <v>0</v>
      </c>
      <c r="BI14" s="25">
        <v>0</v>
      </c>
      <c r="BJ14" s="54" t="s">
        <v>121</v>
      </c>
      <c r="BK14" s="23">
        <v>2343</v>
      </c>
      <c r="BL14" s="25">
        <v>1601</v>
      </c>
      <c r="BM14" s="54">
        <v>0.9521276595744681</v>
      </c>
      <c r="BN14" s="23">
        <v>0</v>
      </c>
      <c r="BO14" s="25">
        <v>0</v>
      </c>
      <c r="BP14" s="54" t="s">
        <v>121</v>
      </c>
      <c r="BQ14" s="23">
        <v>3</v>
      </c>
      <c r="BR14" s="25">
        <v>0</v>
      </c>
      <c r="BS14" s="54">
        <v>0</v>
      </c>
    </row>
    <row r="15" spans="1:71" s="4" customFormat="1" x14ac:dyDescent="0.5">
      <c r="A15" s="56"/>
      <c r="B15" s="20" t="s">
        <v>28</v>
      </c>
      <c r="C15" s="21">
        <f t="shared" si="0"/>
        <v>418</v>
      </c>
      <c r="D15" s="25">
        <f t="shared" si="1"/>
        <v>179</v>
      </c>
      <c r="E15" s="54">
        <f t="shared" si="2"/>
        <v>0.7489539748953975</v>
      </c>
      <c r="F15" s="23">
        <v>0</v>
      </c>
      <c r="G15" s="25">
        <v>0</v>
      </c>
      <c r="H15" s="54" t="s">
        <v>121</v>
      </c>
      <c r="I15" s="23">
        <v>0</v>
      </c>
      <c r="J15" s="25">
        <v>0</v>
      </c>
      <c r="K15" s="54" t="s">
        <v>121</v>
      </c>
      <c r="L15" s="23">
        <v>0</v>
      </c>
      <c r="M15" s="25">
        <v>0</v>
      </c>
      <c r="N15" s="54" t="s">
        <v>121</v>
      </c>
      <c r="O15" s="23">
        <v>0</v>
      </c>
      <c r="P15" s="25">
        <v>0</v>
      </c>
      <c r="Q15" s="54" t="s">
        <v>121</v>
      </c>
      <c r="R15" s="23">
        <v>0</v>
      </c>
      <c r="S15" s="25">
        <v>0</v>
      </c>
      <c r="T15" s="54" t="s">
        <v>121</v>
      </c>
      <c r="U15" s="23">
        <v>0</v>
      </c>
      <c r="V15" s="25">
        <v>0</v>
      </c>
      <c r="W15" s="54" t="s">
        <v>121</v>
      </c>
      <c r="X15" s="23">
        <v>0</v>
      </c>
      <c r="Y15" s="25">
        <v>0</v>
      </c>
      <c r="Z15" s="54" t="s">
        <v>121</v>
      </c>
      <c r="AA15" s="23">
        <v>0</v>
      </c>
      <c r="AB15" s="25">
        <v>0</v>
      </c>
      <c r="AC15" s="54" t="s">
        <v>121</v>
      </c>
      <c r="AD15" s="23">
        <v>0</v>
      </c>
      <c r="AE15" s="25">
        <v>0</v>
      </c>
      <c r="AF15" s="54" t="s">
        <v>121</v>
      </c>
      <c r="AG15" s="23">
        <v>4</v>
      </c>
      <c r="AH15" s="25">
        <v>0</v>
      </c>
      <c r="AI15" s="54">
        <v>0</v>
      </c>
      <c r="AJ15" s="23">
        <v>0</v>
      </c>
      <c r="AK15" s="25">
        <v>0</v>
      </c>
      <c r="AL15" s="54" t="s">
        <v>121</v>
      </c>
      <c r="AM15" s="23">
        <v>0</v>
      </c>
      <c r="AN15" s="25">
        <v>0</v>
      </c>
      <c r="AO15" s="54" t="s">
        <v>121</v>
      </c>
      <c r="AP15" s="23">
        <v>0</v>
      </c>
      <c r="AQ15" s="25">
        <v>0</v>
      </c>
      <c r="AR15" s="54" t="s">
        <v>121</v>
      </c>
      <c r="AS15" s="23">
        <v>0</v>
      </c>
      <c r="AT15" s="25">
        <v>0</v>
      </c>
      <c r="AU15" s="54" t="s">
        <v>121</v>
      </c>
      <c r="AV15" s="23">
        <v>0</v>
      </c>
      <c r="AW15" s="25">
        <v>0</v>
      </c>
      <c r="AX15" s="54" t="s">
        <v>121</v>
      </c>
      <c r="AY15" s="23">
        <v>0</v>
      </c>
      <c r="AZ15" s="25">
        <v>0</v>
      </c>
      <c r="BA15" s="54" t="s">
        <v>121</v>
      </c>
      <c r="BB15" s="23">
        <v>0</v>
      </c>
      <c r="BC15" s="25">
        <v>0</v>
      </c>
      <c r="BD15" s="54" t="s">
        <v>121</v>
      </c>
      <c r="BE15" s="23">
        <v>4</v>
      </c>
      <c r="BF15" s="25">
        <v>0</v>
      </c>
      <c r="BG15" s="54">
        <v>0</v>
      </c>
      <c r="BH15" s="23">
        <v>0</v>
      </c>
      <c r="BI15" s="25">
        <v>0</v>
      </c>
      <c r="BJ15" s="54" t="s">
        <v>121</v>
      </c>
      <c r="BK15" s="23">
        <v>367</v>
      </c>
      <c r="BL15" s="25">
        <v>179</v>
      </c>
      <c r="BM15" s="54">
        <v>0.64807692307692299</v>
      </c>
      <c r="BN15" s="23">
        <v>0</v>
      </c>
      <c r="BO15" s="25">
        <v>0</v>
      </c>
      <c r="BP15" s="54" t="s">
        <v>121</v>
      </c>
      <c r="BQ15" s="23">
        <v>47</v>
      </c>
      <c r="BR15" s="25">
        <v>0</v>
      </c>
      <c r="BS15" s="54">
        <v>0</v>
      </c>
    </row>
    <row r="16" spans="1:71" s="4" customFormat="1" x14ac:dyDescent="0.5">
      <c r="A16" s="56"/>
      <c r="B16" s="20" t="s">
        <v>29</v>
      </c>
      <c r="C16" s="21">
        <f t="shared" si="0"/>
        <v>1078</v>
      </c>
      <c r="D16" s="25">
        <f t="shared" si="1"/>
        <v>337</v>
      </c>
      <c r="E16" s="54">
        <f t="shared" si="2"/>
        <v>0.45479082321187581</v>
      </c>
      <c r="F16" s="23">
        <v>76</v>
      </c>
      <c r="G16" s="25">
        <v>0</v>
      </c>
      <c r="H16" s="54">
        <v>0</v>
      </c>
      <c r="I16" s="23">
        <v>6</v>
      </c>
      <c r="J16" s="25">
        <v>0</v>
      </c>
      <c r="K16" s="54">
        <v>0</v>
      </c>
      <c r="L16" s="23">
        <v>0</v>
      </c>
      <c r="M16" s="25">
        <v>0</v>
      </c>
      <c r="N16" s="54" t="s">
        <v>121</v>
      </c>
      <c r="O16" s="23">
        <v>0</v>
      </c>
      <c r="P16" s="25">
        <v>0</v>
      </c>
      <c r="Q16" s="54" t="s">
        <v>121</v>
      </c>
      <c r="R16" s="23">
        <v>40</v>
      </c>
      <c r="S16" s="25">
        <v>0</v>
      </c>
      <c r="T16" s="54">
        <v>0</v>
      </c>
      <c r="U16" s="23">
        <v>0</v>
      </c>
      <c r="V16" s="25">
        <v>0</v>
      </c>
      <c r="W16" s="54" t="s">
        <v>121</v>
      </c>
      <c r="X16" s="23">
        <v>0</v>
      </c>
      <c r="Y16" s="25">
        <v>0</v>
      </c>
      <c r="Z16" s="54" t="s">
        <v>121</v>
      </c>
      <c r="AA16" s="23">
        <v>0</v>
      </c>
      <c r="AB16" s="25">
        <v>0</v>
      </c>
      <c r="AC16" s="54" t="s">
        <v>121</v>
      </c>
      <c r="AD16" s="23">
        <v>30</v>
      </c>
      <c r="AE16" s="25">
        <v>0</v>
      </c>
      <c r="AF16" s="54">
        <v>0</v>
      </c>
      <c r="AG16" s="23">
        <v>30</v>
      </c>
      <c r="AH16" s="25">
        <v>0</v>
      </c>
      <c r="AI16" s="54">
        <v>0</v>
      </c>
      <c r="AJ16" s="23">
        <v>0</v>
      </c>
      <c r="AK16" s="25">
        <v>0</v>
      </c>
      <c r="AL16" s="54" t="s">
        <v>121</v>
      </c>
      <c r="AM16" s="23">
        <v>0</v>
      </c>
      <c r="AN16" s="25">
        <v>0</v>
      </c>
      <c r="AO16" s="54" t="s">
        <v>121</v>
      </c>
      <c r="AP16" s="23">
        <v>0</v>
      </c>
      <c r="AQ16" s="25">
        <v>0</v>
      </c>
      <c r="AR16" s="54" t="s">
        <v>121</v>
      </c>
      <c r="AS16" s="23">
        <v>0</v>
      </c>
      <c r="AT16" s="25">
        <v>0</v>
      </c>
      <c r="AU16" s="54" t="s">
        <v>121</v>
      </c>
      <c r="AV16" s="23">
        <v>0</v>
      </c>
      <c r="AW16" s="25">
        <v>0</v>
      </c>
      <c r="AX16" s="54" t="s">
        <v>121</v>
      </c>
      <c r="AY16" s="23">
        <v>0</v>
      </c>
      <c r="AZ16" s="25">
        <v>0</v>
      </c>
      <c r="BA16" s="54" t="s">
        <v>121</v>
      </c>
      <c r="BB16" s="23">
        <v>0</v>
      </c>
      <c r="BC16" s="25">
        <v>0</v>
      </c>
      <c r="BD16" s="54" t="s">
        <v>121</v>
      </c>
      <c r="BE16" s="23">
        <v>26</v>
      </c>
      <c r="BF16" s="25">
        <v>0</v>
      </c>
      <c r="BG16" s="54">
        <v>0</v>
      </c>
      <c r="BH16" s="23">
        <v>4</v>
      </c>
      <c r="BI16" s="25">
        <v>0</v>
      </c>
      <c r="BJ16" s="54" t="s">
        <v>121</v>
      </c>
      <c r="BK16" s="23">
        <v>857</v>
      </c>
      <c r="BL16" s="25">
        <v>337</v>
      </c>
      <c r="BM16" s="54">
        <v>0.48341232227488162</v>
      </c>
      <c r="BN16" s="23">
        <v>78</v>
      </c>
      <c r="BO16" s="25">
        <v>0</v>
      </c>
      <c r="BP16" s="54">
        <v>0</v>
      </c>
      <c r="BQ16" s="23">
        <v>37</v>
      </c>
      <c r="BR16" s="25">
        <v>0</v>
      </c>
      <c r="BS16" s="54">
        <v>0</v>
      </c>
    </row>
    <row r="17" spans="1:71" s="4" customFormat="1" x14ac:dyDescent="0.5">
      <c r="B17" s="20" t="s">
        <v>30</v>
      </c>
      <c r="C17" s="21">
        <f t="shared" si="0"/>
        <v>9637</v>
      </c>
      <c r="D17" s="25">
        <f t="shared" si="1"/>
        <v>2652</v>
      </c>
      <c r="E17" s="54">
        <f t="shared" si="2"/>
        <v>0.37967072297780957</v>
      </c>
      <c r="F17" s="23">
        <v>930</v>
      </c>
      <c r="G17" s="25">
        <v>0</v>
      </c>
      <c r="H17" s="54">
        <v>0</v>
      </c>
      <c r="I17" s="23">
        <v>54</v>
      </c>
      <c r="J17" s="25">
        <v>0</v>
      </c>
      <c r="K17" s="54">
        <v>0</v>
      </c>
      <c r="L17" s="23">
        <v>84</v>
      </c>
      <c r="M17" s="25">
        <v>0</v>
      </c>
      <c r="N17" s="54">
        <v>0</v>
      </c>
      <c r="O17" s="23">
        <v>472</v>
      </c>
      <c r="P17" s="25">
        <v>0</v>
      </c>
      <c r="Q17" s="54">
        <v>0</v>
      </c>
      <c r="R17" s="23">
        <v>320</v>
      </c>
      <c r="S17" s="25">
        <v>0</v>
      </c>
      <c r="T17" s="54">
        <v>0</v>
      </c>
      <c r="U17" s="23">
        <v>0</v>
      </c>
      <c r="V17" s="25">
        <v>0</v>
      </c>
      <c r="W17" s="54" t="s">
        <v>121</v>
      </c>
      <c r="X17" s="23">
        <v>0</v>
      </c>
      <c r="Y17" s="25">
        <v>0</v>
      </c>
      <c r="Z17" s="54" t="s">
        <v>121</v>
      </c>
      <c r="AA17" s="23">
        <v>0</v>
      </c>
      <c r="AB17" s="25">
        <v>0</v>
      </c>
      <c r="AC17" s="54" t="s">
        <v>121</v>
      </c>
      <c r="AD17" s="23">
        <v>0</v>
      </c>
      <c r="AE17" s="25">
        <v>0</v>
      </c>
      <c r="AF17" s="54" t="s">
        <v>121</v>
      </c>
      <c r="AG17" s="23">
        <v>460</v>
      </c>
      <c r="AH17" s="25">
        <v>0</v>
      </c>
      <c r="AI17" s="54">
        <v>0</v>
      </c>
      <c r="AJ17" s="23">
        <v>124</v>
      </c>
      <c r="AK17" s="25">
        <v>0</v>
      </c>
      <c r="AL17" s="54">
        <v>0</v>
      </c>
      <c r="AM17" s="23">
        <v>211</v>
      </c>
      <c r="AN17" s="25">
        <v>0</v>
      </c>
      <c r="AO17" s="54">
        <v>0</v>
      </c>
      <c r="AP17" s="23">
        <v>0</v>
      </c>
      <c r="AQ17" s="25">
        <v>0</v>
      </c>
      <c r="AR17" s="54" t="s">
        <v>121</v>
      </c>
      <c r="AS17" s="23">
        <v>0</v>
      </c>
      <c r="AT17" s="25">
        <v>0</v>
      </c>
      <c r="AU17" s="54" t="s">
        <v>121</v>
      </c>
      <c r="AV17" s="23">
        <v>0</v>
      </c>
      <c r="AW17" s="25">
        <v>0</v>
      </c>
      <c r="AX17" s="54" t="s">
        <v>121</v>
      </c>
      <c r="AY17" s="23">
        <v>0</v>
      </c>
      <c r="AZ17" s="25">
        <v>0</v>
      </c>
      <c r="BA17" s="54" t="s">
        <v>121</v>
      </c>
      <c r="BB17" s="23">
        <v>0</v>
      </c>
      <c r="BC17" s="25">
        <v>0</v>
      </c>
      <c r="BD17" s="54" t="s">
        <v>121</v>
      </c>
      <c r="BE17" s="23">
        <v>119</v>
      </c>
      <c r="BF17" s="25">
        <v>0</v>
      </c>
      <c r="BG17" s="54">
        <v>0</v>
      </c>
      <c r="BH17" s="23">
        <v>6</v>
      </c>
      <c r="BI17" s="25">
        <v>0</v>
      </c>
      <c r="BJ17" s="54" t="s">
        <v>121</v>
      </c>
      <c r="BK17" s="23">
        <v>8138</v>
      </c>
      <c r="BL17" s="25">
        <v>2652</v>
      </c>
      <c r="BM17" s="54">
        <v>0.84579439252336441</v>
      </c>
      <c r="BN17" s="23">
        <v>42</v>
      </c>
      <c r="BO17" s="25">
        <v>0</v>
      </c>
      <c r="BP17" s="54">
        <v>0</v>
      </c>
      <c r="BQ17" s="23">
        <v>67</v>
      </c>
      <c r="BR17" s="25">
        <v>0</v>
      </c>
      <c r="BS17" s="54">
        <v>0</v>
      </c>
    </row>
    <row r="18" spans="1:71" s="4" customFormat="1" x14ac:dyDescent="0.5">
      <c r="B18" s="20" t="s">
        <v>31</v>
      </c>
      <c r="C18" s="21">
        <f t="shared" si="0"/>
        <v>399</v>
      </c>
      <c r="D18" s="25">
        <f t="shared" si="1"/>
        <v>181</v>
      </c>
      <c r="E18" s="54">
        <f t="shared" si="2"/>
        <v>0.83027522935779818</v>
      </c>
      <c r="F18" s="23">
        <v>0</v>
      </c>
      <c r="G18" s="25">
        <v>0</v>
      </c>
      <c r="H18" s="54" t="s">
        <v>121</v>
      </c>
      <c r="I18" s="23">
        <v>0</v>
      </c>
      <c r="J18" s="25">
        <v>0</v>
      </c>
      <c r="K18" s="54" t="s">
        <v>121</v>
      </c>
      <c r="L18" s="23">
        <v>0</v>
      </c>
      <c r="M18" s="25">
        <v>0</v>
      </c>
      <c r="N18" s="54" t="s">
        <v>121</v>
      </c>
      <c r="O18" s="23">
        <v>0</v>
      </c>
      <c r="P18" s="25">
        <v>0</v>
      </c>
      <c r="Q18" s="54" t="s">
        <v>121</v>
      </c>
      <c r="R18" s="23">
        <v>0</v>
      </c>
      <c r="S18" s="25">
        <v>0</v>
      </c>
      <c r="T18" s="54" t="s">
        <v>121</v>
      </c>
      <c r="U18" s="23">
        <v>0</v>
      </c>
      <c r="V18" s="25">
        <v>0</v>
      </c>
      <c r="W18" s="54" t="s">
        <v>121</v>
      </c>
      <c r="X18" s="23">
        <v>0</v>
      </c>
      <c r="Y18" s="25">
        <v>0</v>
      </c>
      <c r="Z18" s="54" t="s">
        <v>121</v>
      </c>
      <c r="AA18" s="23">
        <v>0</v>
      </c>
      <c r="AB18" s="25">
        <v>0</v>
      </c>
      <c r="AC18" s="54" t="s">
        <v>121</v>
      </c>
      <c r="AD18" s="23">
        <v>0</v>
      </c>
      <c r="AE18" s="25">
        <v>0</v>
      </c>
      <c r="AF18" s="54" t="s">
        <v>121</v>
      </c>
      <c r="AG18" s="23">
        <v>0</v>
      </c>
      <c r="AH18" s="25">
        <v>0</v>
      </c>
      <c r="AI18" s="54" t="s">
        <v>121</v>
      </c>
      <c r="AJ18" s="23">
        <v>0</v>
      </c>
      <c r="AK18" s="25">
        <v>0</v>
      </c>
      <c r="AL18" s="54" t="s">
        <v>121</v>
      </c>
      <c r="AM18" s="23">
        <v>0</v>
      </c>
      <c r="AN18" s="25">
        <v>0</v>
      </c>
      <c r="AO18" s="54" t="s">
        <v>121</v>
      </c>
      <c r="AP18" s="23">
        <v>0</v>
      </c>
      <c r="AQ18" s="25">
        <v>0</v>
      </c>
      <c r="AR18" s="54" t="s">
        <v>121</v>
      </c>
      <c r="AS18" s="23">
        <v>0</v>
      </c>
      <c r="AT18" s="25">
        <v>0</v>
      </c>
      <c r="AU18" s="54" t="s">
        <v>121</v>
      </c>
      <c r="AV18" s="23">
        <v>0</v>
      </c>
      <c r="AW18" s="25">
        <v>0</v>
      </c>
      <c r="AX18" s="54" t="s">
        <v>121</v>
      </c>
      <c r="AY18" s="23">
        <v>0</v>
      </c>
      <c r="AZ18" s="25">
        <v>0</v>
      </c>
      <c r="BA18" s="54" t="s">
        <v>121</v>
      </c>
      <c r="BB18" s="23">
        <v>0</v>
      </c>
      <c r="BC18" s="25">
        <v>0</v>
      </c>
      <c r="BD18" s="54" t="s">
        <v>121</v>
      </c>
      <c r="BE18" s="23">
        <v>0</v>
      </c>
      <c r="BF18" s="25">
        <v>0</v>
      </c>
      <c r="BG18" s="54" t="s">
        <v>121</v>
      </c>
      <c r="BH18" s="23">
        <v>0</v>
      </c>
      <c r="BI18" s="25">
        <v>0</v>
      </c>
      <c r="BJ18" s="54" t="s">
        <v>121</v>
      </c>
      <c r="BK18" s="23">
        <v>395</v>
      </c>
      <c r="BL18" s="25">
        <v>181</v>
      </c>
      <c r="BM18" s="54">
        <v>0.83055555555555549</v>
      </c>
      <c r="BN18" s="23">
        <v>0</v>
      </c>
      <c r="BO18" s="25">
        <v>0</v>
      </c>
      <c r="BP18" s="54" t="s">
        <v>121</v>
      </c>
      <c r="BQ18" s="23">
        <v>4</v>
      </c>
      <c r="BR18" s="25">
        <v>0</v>
      </c>
      <c r="BS18" s="54">
        <v>0</v>
      </c>
    </row>
    <row r="19" spans="1:71" s="4" customFormat="1" x14ac:dyDescent="0.5">
      <c r="B19" s="20" t="s">
        <v>32</v>
      </c>
      <c r="C19" s="21">
        <f t="shared" si="0"/>
        <v>6968</v>
      </c>
      <c r="D19" s="25">
        <f t="shared" si="1"/>
        <v>1209</v>
      </c>
      <c r="E19" s="54">
        <f t="shared" si="2"/>
        <v>0.20993227990970653</v>
      </c>
      <c r="F19" s="23">
        <v>2891</v>
      </c>
      <c r="G19" s="25">
        <v>-286</v>
      </c>
      <c r="H19" s="54">
        <v>-9.0022033364809517E-2</v>
      </c>
      <c r="I19" s="23">
        <v>81</v>
      </c>
      <c r="J19" s="25">
        <v>0</v>
      </c>
      <c r="K19" s="54">
        <v>0</v>
      </c>
      <c r="L19" s="23">
        <v>6</v>
      </c>
      <c r="M19" s="25">
        <v>0</v>
      </c>
      <c r="N19" s="54">
        <v>0</v>
      </c>
      <c r="O19" s="23">
        <v>0</v>
      </c>
      <c r="P19" s="25">
        <v>-286</v>
      </c>
      <c r="Q19" s="54">
        <v>-1</v>
      </c>
      <c r="R19" s="23">
        <v>624</v>
      </c>
      <c r="S19" s="25">
        <v>0</v>
      </c>
      <c r="T19" s="54">
        <v>0</v>
      </c>
      <c r="U19" s="23">
        <v>0</v>
      </c>
      <c r="V19" s="25">
        <v>0</v>
      </c>
      <c r="W19" s="54" t="s">
        <v>121</v>
      </c>
      <c r="X19" s="23">
        <v>1218</v>
      </c>
      <c r="Y19" s="25">
        <v>0</v>
      </c>
      <c r="Z19" s="54">
        <v>0</v>
      </c>
      <c r="AA19" s="23">
        <v>962</v>
      </c>
      <c r="AB19" s="25">
        <v>0</v>
      </c>
      <c r="AC19" s="54">
        <v>0</v>
      </c>
      <c r="AD19" s="23">
        <v>0</v>
      </c>
      <c r="AE19" s="25">
        <v>0</v>
      </c>
      <c r="AF19" s="54" t="s">
        <v>121</v>
      </c>
      <c r="AG19" s="23">
        <v>700</v>
      </c>
      <c r="AH19" s="25">
        <v>0</v>
      </c>
      <c r="AI19" s="54">
        <v>0</v>
      </c>
      <c r="AJ19" s="23">
        <v>0</v>
      </c>
      <c r="AK19" s="25">
        <v>0</v>
      </c>
      <c r="AL19" s="54" t="s">
        <v>121</v>
      </c>
      <c r="AM19" s="23">
        <v>0</v>
      </c>
      <c r="AN19" s="25">
        <v>0</v>
      </c>
      <c r="AO19" s="54" t="s">
        <v>121</v>
      </c>
      <c r="AP19" s="23">
        <v>0</v>
      </c>
      <c r="AQ19" s="25">
        <v>0</v>
      </c>
      <c r="AR19" s="54" t="s">
        <v>121</v>
      </c>
      <c r="AS19" s="23">
        <v>0</v>
      </c>
      <c r="AT19" s="25">
        <v>0</v>
      </c>
      <c r="AU19" s="54" t="s">
        <v>121</v>
      </c>
      <c r="AV19" s="23">
        <v>0</v>
      </c>
      <c r="AW19" s="25">
        <v>0</v>
      </c>
      <c r="AX19" s="54" t="s">
        <v>121</v>
      </c>
      <c r="AY19" s="23">
        <v>0</v>
      </c>
      <c r="AZ19" s="25">
        <v>0</v>
      </c>
      <c r="BA19" s="54" t="s">
        <v>121</v>
      </c>
      <c r="BB19" s="23">
        <v>700</v>
      </c>
      <c r="BC19" s="25">
        <v>0</v>
      </c>
      <c r="BD19" s="54">
        <v>0</v>
      </c>
      <c r="BE19" s="23">
        <v>0</v>
      </c>
      <c r="BF19" s="25">
        <v>0</v>
      </c>
      <c r="BG19" s="54" t="s">
        <v>121</v>
      </c>
      <c r="BH19" s="23">
        <v>0</v>
      </c>
      <c r="BI19" s="25">
        <v>0</v>
      </c>
      <c r="BJ19" s="54" t="s">
        <v>121</v>
      </c>
      <c r="BK19" s="23">
        <v>3295</v>
      </c>
      <c r="BL19" s="25">
        <v>1495</v>
      </c>
      <c r="BM19" s="54">
        <v>0.78577699736611062</v>
      </c>
      <c r="BN19" s="23">
        <v>15</v>
      </c>
      <c r="BO19" s="25">
        <v>0</v>
      </c>
      <c r="BP19" s="54">
        <v>0</v>
      </c>
      <c r="BQ19" s="23">
        <v>67</v>
      </c>
      <c r="BR19" s="25">
        <v>0</v>
      </c>
      <c r="BS19" s="54">
        <v>0</v>
      </c>
    </row>
    <row r="20" spans="1:71" s="4" customFormat="1" x14ac:dyDescent="0.5">
      <c r="B20" s="20" t="s">
        <v>33</v>
      </c>
      <c r="C20" s="21">
        <f t="shared" si="0"/>
        <v>2138</v>
      </c>
      <c r="D20" s="25">
        <f t="shared" si="1"/>
        <v>895</v>
      </c>
      <c r="E20" s="54">
        <f t="shared" si="2"/>
        <v>0.72003218020917137</v>
      </c>
      <c r="F20" s="23">
        <v>8</v>
      </c>
      <c r="G20" s="25">
        <v>0</v>
      </c>
      <c r="H20" s="54">
        <v>0</v>
      </c>
      <c r="I20" s="23">
        <v>0</v>
      </c>
      <c r="J20" s="25">
        <v>0</v>
      </c>
      <c r="K20" s="54" t="s">
        <v>121</v>
      </c>
      <c r="L20" s="23">
        <v>0</v>
      </c>
      <c r="M20" s="25">
        <v>0</v>
      </c>
      <c r="N20" s="54" t="s">
        <v>121</v>
      </c>
      <c r="O20" s="23">
        <v>0</v>
      </c>
      <c r="P20" s="25">
        <v>0</v>
      </c>
      <c r="Q20" s="54" t="s">
        <v>121</v>
      </c>
      <c r="R20" s="23">
        <v>0</v>
      </c>
      <c r="S20" s="25">
        <v>0</v>
      </c>
      <c r="T20" s="54" t="s">
        <v>121</v>
      </c>
      <c r="U20" s="23">
        <v>0</v>
      </c>
      <c r="V20" s="25">
        <v>0</v>
      </c>
      <c r="W20" s="54" t="s">
        <v>121</v>
      </c>
      <c r="X20" s="23">
        <v>0</v>
      </c>
      <c r="Y20" s="25">
        <v>0</v>
      </c>
      <c r="Z20" s="54" t="s">
        <v>121</v>
      </c>
      <c r="AA20" s="23">
        <v>0</v>
      </c>
      <c r="AB20" s="25">
        <v>0</v>
      </c>
      <c r="AC20" s="54" t="s">
        <v>121</v>
      </c>
      <c r="AD20" s="23">
        <v>8</v>
      </c>
      <c r="AE20" s="25">
        <v>0</v>
      </c>
      <c r="AF20" s="54">
        <v>0</v>
      </c>
      <c r="AG20" s="23">
        <v>0</v>
      </c>
      <c r="AH20" s="25">
        <v>0</v>
      </c>
      <c r="AI20" s="54" t="s">
        <v>121</v>
      </c>
      <c r="AJ20" s="23">
        <v>0</v>
      </c>
      <c r="AK20" s="25">
        <v>0</v>
      </c>
      <c r="AL20" s="54" t="s">
        <v>121</v>
      </c>
      <c r="AM20" s="23">
        <v>0</v>
      </c>
      <c r="AN20" s="25">
        <v>0</v>
      </c>
      <c r="AO20" s="54" t="s">
        <v>121</v>
      </c>
      <c r="AP20" s="23">
        <v>0</v>
      </c>
      <c r="AQ20" s="25">
        <v>0</v>
      </c>
      <c r="AR20" s="54" t="s">
        <v>121</v>
      </c>
      <c r="AS20" s="23">
        <v>0</v>
      </c>
      <c r="AT20" s="25">
        <v>0</v>
      </c>
      <c r="AU20" s="54" t="s">
        <v>121</v>
      </c>
      <c r="AV20" s="23">
        <v>0</v>
      </c>
      <c r="AW20" s="25">
        <v>0</v>
      </c>
      <c r="AX20" s="54" t="s">
        <v>121</v>
      </c>
      <c r="AY20" s="23">
        <v>0</v>
      </c>
      <c r="AZ20" s="25">
        <v>0</v>
      </c>
      <c r="BA20" s="54" t="s">
        <v>121</v>
      </c>
      <c r="BB20" s="23">
        <v>0</v>
      </c>
      <c r="BC20" s="25">
        <v>0</v>
      </c>
      <c r="BD20" s="54" t="s">
        <v>121</v>
      </c>
      <c r="BE20" s="23">
        <v>0</v>
      </c>
      <c r="BF20" s="25">
        <v>0</v>
      </c>
      <c r="BG20" s="54" t="s">
        <v>121</v>
      </c>
      <c r="BH20" s="23">
        <v>0</v>
      </c>
      <c r="BI20" s="25">
        <v>0</v>
      </c>
      <c r="BJ20" s="54" t="s">
        <v>121</v>
      </c>
      <c r="BK20" s="23">
        <v>2034</v>
      </c>
      <c r="BL20" s="25">
        <v>895</v>
      </c>
      <c r="BM20" s="54">
        <v>0.51669085631349776</v>
      </c>
      <c r="BN20" s="23">
        <v>81</v>
      </c>
      <c r="BO20" s="25">
        <v>0</v>
      </c>
      <c r="BP20" s="54">
        <v>0</v>
      </c>
      <c r="BQ20" s="23">
        <v>15</v>
      </c>
      <c r="BR20" s="25">
        <v>0</v>
      </c>
      <c r="BS20" s="54">
        <v>0</v>
      </c>
    </row>
    <row r="21" spans="1:71" s="4" customFormat="1" x14ac:dyDescent="0.5">
      <c r="B21" s="20" t="s">
        <v>34</v>
      </c>
      <c r="C21" s="21">
        <f t="shared" si="0"/>
        <v>3304</v>
      </c>
      <c r="D21" s="25">
        <f t="shared" si="1"/>
        <v>1060</v>
      </c>
      <c r="E21" s="54">
        <f t="shared" si="2"/>
        <v>0.47237076648841358</v>
      </c>
      <c r="F21" s="23">
        <v>36</v>
      </c>
      <c r="G21" s="25">
        <v>0</v>
      </c>
      <c r="H21" s="54">
        <v>0</v>
      </c>
      <c r="I21" s="23">
        <v>0</v>
      </c>
      <c r="J21" s="25">
        <v>0</v>
      </c>
      <c r="K21" s="54" t="s">
        <v>121</v>
      </c>
      <c r="L21" s="23">
        <v>0</v>
      </c>
      <c r="M21" s="25">
        <v>0</v>
      </c>
      <c r="N21" s="54" t="s">
        <v>121</v>
      </c>
      <c r="O21" s="23">
        <v>8</v>
      </c>
      <c r="P21" s="25">
        <v>0</v>
      </c>
      <c r="Q21" s="54">
        <v>0</v>
      </c>
      <c r="R21" s="23">
        <v>0</v>
      </c>
      <c r="S21" s="25">
        <v>0</v>
      </c>
      <c r="T21" s="54" t="s">
        <v>121</v>
      </c>
      <c r="U21" s="23">
        <v>0</v>
      </c>
      <c r="V21" s="25">
        <v>0</v>
      </c>
      <c r="W21" s="54" t="s">
        <v>121</v>
      </c>
      <c r="X21" s="23">
        <v>0</v>
      </c>
      <c r="Y21" s="25">
        <v>0</v>
      </c>
      <c r="Z21" s="54" t="s">
        <v>121</v>
      </c>
      <c r="AA21" s="23">
        <v>0</v>
      </c>
      <c r="AB21" s="25">
        <v>0</v>
      </c>
      <c r="AC21" s="54" t="s">
        <v>121</v>
      </c>
      <c r="AD21" s="23">
        <v>28</v>
      </c>
      <c r="AE21" s="25">
        <v>0</v>
      </c>
      <c r="AF21" s="54">
        <v>0</v>
      </c>
      <c r="AG21" s="23">
        <v>19</v>
      </c>
      <c r="AH21" s="25">
        <v>0</v>
      </c>
      <c r="AI21" s="54">
        <v>0</v>
      </c>
      <c r="AJ21" s="23">
        <v>0</v>
      </c>
      <c r="AK21" s="25">
        <v>0</v>
      </c>
      <c r="AL21" s="54" t="s">
        <v>121</v>
      </c>
      <c r="AM21" s="23">
        <v>0</v>
      </c>
      <c r="AN21" s="25">
        <v>0</v>
      </c>
      <c r="AO21" s="54" t="s">
        <v>121</v>
      </c>
      <c r="AP21" s="23">
        <v>0</v>
      </c>
      <c r="AQ21" s="25">
        <v>0</v>
      </c>
      <c r="AR21" s="54" t="s">
        <v>121</v>
      </c>
      <c r="AS21" s="23">
        <v>0</v>
      </c>
      <c r="AT21" s="25">
        <v>0</v>
      </c>
      <c r="AU21" s="54" t="s">
        <v>121</v>
      </c>
      <c r="AV21" s="23">
        <v>0</v>
      </c>
      <c r="AW21" s="25">
        <v>0</v>
      </c>
      <c r="AX21" s="54" t="s">
        <v>121</v>
      </c>
      <c r="AY21" s="23">
        <v>0</v>
      </c>
      <c r="AZ21" s="25">
        <v>0</v>
      </c>
      <c r="BA21" s="54" t="s">
        <v>121</v>
      </c>
      <c r="BB21" s="23">
        <v>0</v>
      </c>
      <c r="BC21" s="25">
        <v>0</v>
      </c>
      <c r="BD21" s="54" t="s">
        <v>121</v>
      </c>
      <c r="BE21" s="23">
        <v>19</v>
      </c>
      <c r="BF21" s="25">
        <v>0</v>
      </c>
      <c r="BG21" s="54">
        <v>0</v>
      </c>
      <c r="BH21" s="23">
        <v>0</v>
      </c>
      <c r="BI21" s="25">
        <v>0</v>
      </c>
      <c r="BJ21" s="54" t="s">
        <v>121</v>
      </c>
      <c r="BK21" s="23">
        <v>3135</v>
      </c>
      <c r="BL21" s="25">
        <v>1068</v>
      </c>
      <c r="BM21" s="54">
        <v>0.72919876733436051</v>
      </c>
      <c r="BN21" s="23">
        <v>0</v>
      </c>
      <c r="BO21" s="25">
        <v>0</v>
      </c>
      <c r="BP21" s="54" t="s">
        <v>121</v>
      </c>
      <c r="BQ21" s="23">
        <v>114</v>
      </c>
      <c r="BR21" s="25">
        <v>-8</v>
      </c>
      <c r="BS21" s="54">
        <v>-6.557377049180324E-2</v>
      </c>
    </row>
    <row r="22" spans="1:71" s="4" customFormat="1" x14ac:dyDescent="0.5">
      <c r="B22" s="20" t="s">
        <v>35</v>
      </c>
      <c r="C22" s="21">
        <f t="shared" si="0"/>
        <v>5978</v>
      </c>
      <c r="D22" s="25">
        <f t="shared" si="1"/>
        <v>1893</v>
      </c>
      <c r="E22" s="54">
        <f t="shared" si="2"/>
        <v>0.4634026927784578</v>
      </c>
      <c r="F22" s="23">
        <v>1144</v>
      </c>
      <c r="G22" s="25">
        <v>0</v>
      </c>
      <c r="H22" s="54">
        <v>0</v>
      </c>
      <c r="I22" s="23">
        <v>164</v>
      </c>
      <c r="J22" s="25">
        <v>0</v>
      </c>
      <c r="K22" s="54">
        <v>0</v>
      </c>
      <c r="L22" s="23">
        <v>46</v>
      </c>
      <c r="M22" s="25">
        <v>0</v>
      </c>
      <c r="N22" s="54">
        <v>0</v>
      </c>
      <c r="O22" s="23">
        <v>322</v>
      </c>
      <c r="P22" s="25">
        <v>0</v>
      </c>
      <c r="Q22" s="54">
        <v>0</v>
      </c>
      <c r="R22" s="23">
        <v>612</v>
      </c>
      <c r="S22" s="25">
        <v>0</v>
      </c>
      <c r="T22" s="54">
        <v>0</v>
      </c>
      <c r="U22" s="23">
        <v>0</v>
      </c>
      <c r="V22" s="25">
        <v>0</v>
      </c>
      <c r="W22" s="54" t="s">
        <v>121</v>
      </c>
      <c r="X22" s="23">
        <v>0</v>
      </c>
      <c r="Y22" s="25">
        <v>0</v>
      </c>
      <c r="Z22" s="54" t="s">
        <v>121</v>
      </c>
      <c r="AA22" s="23">
        <v>0</v>
      </c>
      <c r="AB22" s="25">
        <v>0</v>
      </c>
      <c r="AC22" s="54" t="s">
        <v>121</v>
      </c>
      <c r="AD22" s="23">
        <v>0</v>
      </c>
      <c r="AE22" s="25">
        <v>0</v>
      </c>
      <c r="AF22" s="54" t="s">
        <v>121</v>
      </c>
      <c r="AG22" s="23">
        <v>241</v>
      </c>
      <c r="AH22" s="25">
        <v>0</v>
      </c>
      <c r="AI22" s="54">
        <v>0</v>
      </c>
      <c r="AJ22" s="23">
        <v>197</v>
      </c>
      <c r="AK22" s="25">
        <v>0</v>
      </c>
      <c r="AL22" s="54">
        <v>0</v>
      </c>
      <c r="AM22" s="23">
        <v>0</v>
      </c>
      <c r="AN22" s="25">
        <v>0</v>
      </c>
      <c r="AO22" s="54" t="s">
        <v>121</v>
      </c>
      <c r="AP22" s="23">
        <v>0</v>
      </c>
      <c r="AQ22" s="25">
        <v>0</v>
      </c>
      <c r="AR22" s="54" t="s">
        <v>121</v>
      </c>
      <c r="AS22" s="23">
        <v>0</v>
      </c>
      <c r="AT22" s="25">
        <v>0</v>
      </c>
      <c r="AU22" s="54" t="s">
        <v>121</v>
      </c>
      <c r="AV22" s="23">
        <v>0</v>
      </c>
      <c r="AW22" s="25">
        <v>0</v>
      </c>
      <c r="AX22" s="54" t="s">
        <v>121</v>
      </c>
      <c r="AY22" s="23">
        <v>0</v>
      </c>
      <c r="AZ22" s="25">
        <v>0</v>
      </c>
      <c r="BA22" s="54" t="s">
        <v>121</v>
      </c>
      <c r="BB22" s="23">
        <v>0</v>
      </c>
      <c r="BC22" s="25">
        <v>0</v>
      </c>
      <c r="BD22" s="54" t="s">
        <v>121</v>
      </c>
      <c r="BE22" s="23">
        <v>38</v>
      </c>
      <c r="BF22" s="25">
        <v>0</v>
      </c>
      <c r="BG22" s="54">
        <v>0</v>
      </c>
      <c r="BH22" s="23">
        <v>6</v>
      </c>
      <c r="BI22" s="25">
        <v>0</v>
      </c>
      <c r="BJ22" s="54" t="s">
        <v>121</v>
      </c>
      <c r="BK22" s="23">
        <v>4489</v>
      </c>
      <c r="BL22" s="25">
        <v>1893</v>
      </c>
      <c r="BM22" s="54">
        <v>0.50425894378194203</v>
      </c>
      <c r="BN22" s="23">
        <v>22</v>
      </c>
      <c r="BO22" s="25">
        <v>0</v>
      </c>
      <c r="BP22" s="54">
        <v>0</v>
      </c>
      <c r="BQ22" s="23">
        <v>82</v>
      </c>
      <c r="BR22" s="25">
        <v>0</v>
      </c>
      <c r="BS22" s="54">
        <v>0</v>
      </c>
    </row>
    <row r="23" spans="1:71" s="4" customFormat="1" x14ac:dyDescent="0.5">
      <c r="B23" s="20" t="s">
        <v>36</v>
      </c>
      <c r="C23" s="21">
        <f t="shared" si="0"/>
        <v>909</v>
      </c>
      <c r="D23" s="25">
        <f t="shared" si="1"/>
        <v>296</v>
      </c>
      <c r="E23" s="54">
        <f t="shared" si="2"/>
        <v>0.4828711256117455</v>
      </c>
      <c r="F23" s="23">
        <v>0</v>
      </c>
      <c r="G23" s="25">
        <v>0</v>
      </c>
      <c r="H23" s="54" t="s">
        <v>121</v>
      </c>
      <c r="I23" s="23">
        <v>0</v>
      </c>
      <c r="J23" s="25">
        <v>0</v>
      </c>
      <c r="K23" s="54" t="s">
        <v>121</v>
      </c>
      <c r="L23" s="23">
        <v>0</v>
      </c>
      <c r="M23" s="25">
        <v>0</v>
      </c>
      <c r="N23" s="54" t="s">
        <v>121</v>
      </c>
      <c r="O23" s="23">
        <v>0</v>
      </c>
      <c r="P23" s="25">
        <v>0</v>
      </c>
      <c r="Q23" s="54" t="s">
        <v>121</v>
      </c>
      <c r="R23" s="23">
        <v>0</v>
      </c>
      <c r="S23" s="25">
        <v>0</v>
      </c>
      <c r="T23" s="54" t="s">
        <v>121</v>
      </c>
      <c r="U23" s="23">
        <v>0</v>
      </c>
      <c r="V23" s="25">
        <v>0</v>
      </c>
      <c r="W23" s="54" t="s">
        <v>121</v>
      </c>
      <c r="X23" s="23">
        <v>0</v>
      </c>
      <c r="Y23" s="25">
        <v>0</v>
      </c>
      <c r="Z23" s="54" t="s">
        <v>121</v>
      </c>
      <c r="AA23" s="23">
        <v>0</v>
      </c>
      <c r="AB23" s="25">
        <v>0</v>
      </c>
      <c r="AC23" s="54" t="s">
        <v>121</v>
      </c>
      <c r="AD23" s="23">
        <v>0</v>
      </c>
      <c r="AE23" s="25">
        <v>0</v>
      </c>
      <c r="AF23" s="54" t="s">
        <v>121</v>
      </c>
      <c r="AG23" s="23">
        <v>0</v>
      </c>
      <c r="AH23" s="25">
        <v>0</v>
      </c>
      <c r="AI23" s="54" t="s">
        <v>121</v>
      </c>
      <c r="AJ23" s="23">
        <v>0</v>
      </c>
      <c r="AK23" s="25">
        <v>0</v>
      </c>
      <c r="AL23" s="54" t="s">
        <v>121</v>
      </c>
      <c r="AM23" s="23">
        <v>0</v>
      </c>
      <c r="AN23" s="25">
        <v>0</v>
      </c>
      <c r="AO23" s="54" t="s">
        <v>121</v>
      </c>
      <c r="AP23" s="23">
        <v>0</v>
      </c>
      <c r="AQ23" s="25">
        <v>0</v>
      </c>
      <c r="AR23" s="54" t="s">
        <v>121</v>
      </c>
      <c r="AS23" s="23">
        <v>0</v>
      </c>
      <c r="AT23" s="25">
        <v>0</v>
      </c>
      <c r="AU23" s="54" t="s">
        <v>121</v>
      </c>
      <c r="AV23" s="23">
        <v>0</v>
      </c>
      <c r="AW23" s="25">
        <v>0</v>
      </c>
      <c r="AX23" s="54" t="s">
        <v>121</v>
      </c>
      <c r="AY23" s="23">
        <v>0</v>
      </c>
      <c r="AZ23" s="25">
        <v>0</v>
      </c>
      <c r="BA23" s="54" t="s">
        <v>121</v>
      </c>
      <c r="BB23" s="23">
        <v>0</v>
      </c>
      <c r="BC23" s="25">
        <v>0</v>
      </c>
      <c r="BD23" s="54" t="s">
        <v>121</v>
      </c>
      <c r="BE23" s="23">
        <v>0</v>
      </c>
      <c r="BF23" s="25">
        <v>0</v>
      </c>
      <c r="BG23" s="54" t="s">
        <v>121</v>
      </c>
      <c r="BH23" s="23">
        <v>0</v>
      </c>
      <c r="BI23" s="25">
        <v>0</v>
      </c>
      <c r="BJ23" s="54" t="s">
        <v>121</v>
      </c>
      <c r="BK23" s="23">
        <v>883</v>
      </c>
      <c r="BL23" s="25">
        <v>296</v>
      </c>
      <c r="BM23" s="54">
        <v>0.78807241746538881</v>
      </c>
      <c r="BN23" s="23">
        <v>0</v>
      </c>
      <c r="BO23" s="25">
        <v>0</v>
      </c>
      <c r="BP23" s="54" t="s">
        <v>121</v>
      </c>
      <c r="BQ23" s="23">
        <v>26</v>
      </c>
      <c r="BR23" s="25">
        <v>0</v>
      </c>
      <c r="BS23" s="54">
        <v>0</v>
      </c>
    </row>
    <row r="24" spans="1:71" s="4" customFormat="1" x14ac:dyDescent="0.5">
      <c r="B24" s="20" t="s">
        <v>37</v>
      </c>
      <c r="C24" s="21">
        <f t="shared" si="0"/>
        <v>1932</v>
      </c>
      <c r="D24" s="25">
        <f t="shared" si="1"/>
        <v>740</v>
      </c>
      <c r="E24" s="54">
        <f t="shared" si="2"/>
        <v>0.62080536912751683</v>
      </c>
      <c r="F24" s="23">
        <v>111</v>
      </c>
      <c r="G24" s="25">
        <v>0</v>
      </c>
      <c r="H24" s="54">
        <v>0</v>
      </c>
      <c r="I24" s="23">
        <v>8</v>
      </c>
      <c r="J24" s="25">
        <v>0</v>
      </c>
      <c r="K24" s="54">
        <v>0</v>
      </c>
      <c r="L24" s="23">
        <v>15</v>
      </c>
      <c r="M24" s="25">
        <v>0</v>
      </c>
      <c r="N24" s="54">
        <v>0</v>
      </c>
      <c r="O24" s="23">
        <v>74</v>
      </c>
      <c r="P24" s="25">
        <v>0</v>
      </c>
      <c r="Q24" s="54">
        <v>0</v>
      </c>
      <c r="R24" s="23">
        <v>0</v>
      </c>
      <c r="S24" s="25">
        <v>0</v>
      </c>
      <c r="T24" s="54" t="s">
        <v>121</v>
      </c>
      <c r="U24" s="23">
        <v>0</v>
      </c>
      <c r="V24" s="25">
        <v>0</v>
      </c>
      <c r="W24" s="54" t="s">
        <v>121</v>
      </c>
      <c r="X24" s="23">
        <v>0</v>
      </c>
      <c r="Y24" s="25">
        <v>0</v>
      </c>
      <c r="Z24" s="54" t="s">
        <v>121</v>
      </c>
      <c r="AA24" s="23">
        <v>0</v>
      </c>
      <c r="AB24" s="25">
        <v>0</v>
      </c>
      <c r="AC24" s="54" t="s">
        <v>121</v>
      </c>
      <c r="AD24" s="23">
        <v>14</v>
      </c>
      <c r="AE24" s="25">
        <v>0</v>
      </c>
      <c r="AF24" s="54">
        <v>0</v>
      </c>
      <c r="AG24" s="23">
        <v>48</v>
      </c>
      <c r="AH24" s="25">
        <v>0</v>
      </c>
      <c r="AI24" s="54">
        <v>0</v>
      </c>
      <c r="AJ24" s="23">
        <v>30</v>
      </c>
      <c r="AK24" s="25">
        <v>0</v>
      </c>
      <c r="AL24" s="54">
        <v>0</v>
      </c>
      <c r="AM24" s="23">
        <v>0</v>
      </c>
      <c r="AN24" s="25">
        <v>0</v>
      </c>
      <c r="AO24" s="54" t="s">
        <v>121</v>
      </c>
      <c r="AP24" s="23">
        <v>0</v>
      </c>
      <c r="AQ24" s="25">
        <v>0</v>
      </c>
      <c r="AR24" s="54" t="s">
        <v>121</v>
      </c>
      <c r="AS24" s="23">
        <v>0</v>
      </c>
      <c r="AT24" s="25">
        <v>0</v>
      </c>
      <c r="AU24" s="54" t="s">
        <v>121</v>
      </c>
      <c r="AV24" s="23">
        <v>0</v>
      </c>
      <c r="AW24" s="25">
        <v>0</v>
      </c>
      <c r="AX24" s="54" t="s">
        <v>121</v>
      </c>
      <c r="AY24" s="23">
        <v>0</v>
      </c>
      <c r="AZ24" s="25">
        <v>0</v>
      </c>
      <c r="BA24" s="54" t="s">
        <v>121</v>
      </c>
      <c r="BB24" s="23">
        <v>0</v>
      </c>
      <c r="BC24" s="25">
        <v>0</v>
      </c>
      <c r="BD24" s="54" t="s">
        <v>121</v>
      </c>
      <c r="BE24" s="23">
        <v>14</v>
      </c>
      <c r="BF24" s="25">
        <v>0</v>
      </c>
      <c r="BG24" s="54">
        <v>0</v>
      </c>
      <c r="BH24" s="23">
        <v>4</v>
      </c>
      <c r="BI24" s="25">
        <v>0</v>
      </c>
      <c r="BJ24" s="54" t="s">
        <v>121</v>
      </c>
      <c r="BK24" s="23">
        <v>1679</v>
      </c>
      <c r="BL24" s="25">
        <v>740</v>
      </c>
      <c r="BM24" s="54">
        <v>0.75688589094997183</v>
      </c>
      <c r="BN24" s="23">
        <v>28</v>
      </c>
      <c r="BO24" s="25">
        <v>0</v>
      </c>
      <c r="BP24" s="54">
        <v>0</v>
      </c>
      <c r="BQ24" s="23">
        <v>66</v>
      </c>
      <c r="BR24" s="25">
        <v>0</v>
      </c>
      <c r="BS24" s="54">
        <v>0</v>
      </c>
    </row>
    <row r="25" spans="1:71" s="4" customFormat="1" x14ac:dyDescent="0.5">
      <c r="B25" s="20" t="s">
        <v>38</v>
      </c>
      <c r="C25" s="21">
        <f t="shared" si="0"/>
        <v>26615</v>
      </c>
      <c r="D25" s="25">
        <f t="shared" si="1"/>
        <v>2231</v>
      </c>
      <c r="E25" s="54">
        <f t="shared" si="2"/>
        <v>9.1494422572178546E-2</v>
      </c>
      <c r="F25" s="23">
        <v>15945</v>
      </c>
      <c r="G25" s="25">
        <v>-41</v>
      </c>
      <c r="H25" s="54">
        <v>-2.564744151132281E-3</v>
      </c>
      <c r="I25" s="23">
        <v>131</v>
      </c>
      <c r="J25" s="25">
        <v>31</v>
      </c>
      <c r="K25" s="54">
        <v>0.31000000000000005</v>
      </c>
      <c r="L25" s="23">
        <v>317</v>
      </c>
      <c r="M25" s="25">
        <v>0</v>
      </c>
      <c r="N25" s="54">
        <v>0</v>
      </c>
      <c r="O25" s="23">
        <v>2286</v>
      </c>
      <c r="P25" s="25">
        <v>0</v>
      </c>
      <c r="Q25" s="54">
        <v>0</v>
      </c>
      <c r="R25" s="23">
        <v>12669</v>
      </c>
      <c r="S25" s="25">
        <v>-72</v>
      </c>
      <c r="T25" s="54">
        <v>-5.6510477984459406E-3</v>
      </c>
      <c r="U25" s="23">
        <v>0</v>
      </c>
      <c r="V25" s="25">
        <v>0</v>
      </c>
      <c r="W25" s="54" t="s">
        <v>121</v>
      </c>
      <c r="X25" s="23">
        <v>542</v>
      </c>
      <c r="Y25" s="25">
        <v>0</v>
      </c>
      <c r="Z25" s="54">
        <v>0</v>
      </c>
      <c r="AA25" s="23">
        <v>0</v>
      </c>
      <c r="AB25" s="25">
        <v>0</v>
      </c>
      <c r="AC25" s="54" t="s">
        <v>121</v>
      </c>
      <c r="AD25" s="23">
        <v>0</v>
      </c>
      <c r="AE25" s="25">
        <v>0</v>
      </c>
      <c r="AF25" s="54" t="s">
        <v>121</v>
      </c>
      <c r="AG25" s="23">
        <v>4419</v>
      </c>
      <c r="AH25" s="25">
        <v>-421</v>
      </c>
      <c r="AI25" s="54">
        <v>-8.6983471074380203E-2</v>
      </c>
      <c r="AJ25" s="23">
        <v>182</v>
      </c>
      <c r="AK25" s="25">
        <v>0</v>
      </c>
      <c r="AL25" s="54">
        <v>0</v>
      </c>
      <c r="AM25" s="23">
        <v>657</v>
      </c>
      <c r="AN25" s="25">
        <v>0</v>
      </c>
      <c r="AO25" s="54">
        <v>0</v>
      </c>
      <c r="AP25" s="23">
        <v>2753</v>
      </c>
      <c r="AQ25" s="25">
        <v>-421</v>
      </c>
      <c r="AR25" s="54">
        <v>-0.13264020163831125</v>
      </c>
      <c r="AS25" s="23">
        <v>0</v>
      </c>
      <c r="AT25" s="25">
        <v>0</v>
      </c>
      <c r="AU25" s="54" t="s">
        <v>121</v>
      </c>
      <c r="AV25" s="23">
        <v>315</v>
      </c>
      <c r="AW25" s="25">
        <v>0</v>
      </c>
      <c r="AX25" s="54">
        <v>0</v>
      </c>
      <c r="AY25" s="23">
        <v>512</v>
      </c>
      <c r="AZ25" s="25">
        <v>0</v>
      </c>
      <c r="BA25" s="54">
        <v>0</v>
      </c>
      <c r="BB25" s="23">
        <v>0</v>
      </c>
      <c r="BC25" s="25">
        <v>0</v>
      </c>
      <c r="BD25" s="54" t="s">
        <v>121</v>
      </c>
      <c r="BE25" s="23">
        <v>0</v>
      </c>
      <c r="BF25" s="25">
        <v>0</v>
      </c>
      <c r="BG25" s="54" t="s">
        <v>121</v>
      </c>
      <c r="BH25" s="23">
        <v>0</v>
      </c>
      <c r="BI25" s="25">
        <v>0</v>
      </c>
      <c r="BJ25" s="54" t="s">
        <v>121</v>
      </c>
      <c r="BK25" s="23">
        <v>6251</v>
      </c>
      <c r="BL25" s="25">
        <v>2693</v>
      </c>
      <c r="BM25" s="54">
        <v>1.2082585278276481</v>
      </c>
      <c r="BN25" s="23">
        <v>0</v>
      </c>
      <c r="BO25" s="25">
        <v>0</v>
      </c>
      <c r="BP25" s="54" t="s">
        <v>121</v>
      </c>
      <c r="BQ25" s="23">
        <v>0</v>
      </c>
      <c r="BR25" s="25">
        <v>0</v>
      </c>
      <c r="BS25" s="54" t="s">
        <v>121</v>
      </c>
    </row>
    <row r="26" spans="1:71" s="4" customFormat="1" x14ac:dyDescent="0.5">
      <c r="B26" s="20" t="s">
        <v>39</v>
      </c>
      <c r="C26" s="21">
        <f t="shared" si="0"/>
        <v>3185</v>
      </c>
      <c r="D26" s="25">
        <f t="shared" si="1"/>
        <v>673</v>
      </c>
      <c r="E26" s="54">
        <f t="shared" si="2"/>
        <v>0.26791401273885351</v>
      </c>
      <c r="F26" s="23">
        <v>1355</v>
      </c>
      <c r="G26" s="25">
        <v>0</v>
      </c>
      <c r="H26" s="54">
        <v>0</v>
      </c>
      <c r="I26" s="23">
        <v>0</v>
      </c>
      <c r="J26" s="25">
        <v>0</v>
      </c>
      <c r="K26" s="54" t="s">
        <v>121</v>
      </c>
      <c r="L26" s="23">
        <v>0</v>
      </c>
      <c r="M26" s="25">
        <v>0</v>
      </c>
      <c r="N26" s="54" t="s">
        <v>121</v>
      </c>
      <c r="O26" s="23">
        <v>496</v>
      </c>
      <c r="P26" s="25">
        <v>0</v>
      </c>
      <c r="Q26" s="54">
        <v>0</v>
      </c>
      <c r="R26" s="23">
        <v>859</v>
      </c>
      <c r="S26" s="25">
        <v>0</v>
      </c>
      <c r="T26" s="54">
        <v>0</v>
      </c>
      <c r="U26" s="23">
        <v>0</v>
      </c>
      <c r="V26" s="25">
        <v>0</v>
      </c>
      <c r="W26" s="54" t="s">
        <v>121</v>
      </c>
      <c r="X26" s="23">
        <v>0</v>
      </c>
      <c r="Y26" s="25">
        <v>0</v>
      </c>
      <c r="Z26" s="54" t="s">
        <v>121</v>
      </c>
      <c r="AA26" s="23">
        <v>0</v>
      </c>
      <c r="AB26" s="25">
        <v>0</v>
      </c>
      <c r="AC26" s="54" t="s">
        <v>121</v>
      </c>
      <c r="AD26" s="23">
        <v>0</v>
      </c>
      <c r="AE26" s="25">
        <v>0</v>
      </c>
      <c r="AF26" s="54" t="s">
        <v>121</v>
      </c>
      <c r="AG26" s="23">
        <v>355</v>
      </c>
      <c r="AH26" s="25">
        <v>0</v>
      </c>
      <c r="AI26" s="54">
        <v>0</v>
      </c>
      <c r="AJ26" s="23">
        <v>160</v>
      </c>
      <c r="AK26" s="25">
        <v>0</v>
      </c>
      <c r="AL26" s="54">
        <v>0</v>
      </c>
      <c r="AM26" s="23">
        <v>0</v>
      </c>
      <c r="AN26" s="25">
        <v>0</v>
      </c>
      <c r="AO26" s="54" t="s">
        <v>121</v>
      </c>
      <c r="AP26" s="23">
        <v>178</v>
      </c>
      <c r="AQ26" s="25">
        <v>0</v>
      </c>
      <c r="AR26" s="54">
        <v>0</v>
      </c>
      <c r="AS26" s="23">
        <v>0</v>
      </c>
      <c r="AT26" s="25">
        <v>0</v>
      </c>
      <c r="AU26" s="54" t="s">
        <v>121</v>
      </c>
      <c r="AV26" s="23">
        <v>0</v>
      </c>
      <c r="AW26" s="25">
        <v>0</v>
      </c>
      <c r="AX26" s="54" t="s">
        <v>121</v>
      </c>
      <c r="AY26" s="23">
        <v>0</v>
      </c>
      <c r="AZ26" s="25">
        <v>0</v>
      </c>
      <c r="BA26" s="54" t="s">
        <v>121</v>
      </c>
      <c r="BB26" s="23">
        <v>0</v>
      </c>
      <c r="BC26" s="25">
        <v>0</v>
      </c>
      <c r="BD26" s="54" t="s">
        <v>121</v>
      </c>
      <c r="BE26" s="23">
        <v>17</v>
      </c>
      <c r="BF26" s="25">
        <v>0</v>
      </c>
      <c r="BG26" s="54">
        <v>0</v>
      </c>
      <c r="BH26" s="23">
        <v>0</v>
      </c>
      <c r="BI26" s="25">
        <v>0</v>
      </c>
      <c r="BJ26" s="54" t="s">
        <v>121</v>
      </c>
      <c r="BK26" s="23">
        <v>1230</v>
      </c>
      <c r="BL26" s="25">
        <v>673</v>
      </c>
      <c r="BM26" s="54">
        <v>0.86248830682881206</v>
      </c>
      <c r="BN26" s="23">
        <v>90</v>
      </c>
      <c r="BO26" s="25">
        <v>0</v>
      </c>
      <c r="BP26" s="54">
        <v>0</v>
      </c>
      <c r="BQ26" s="23">
        <v>155</v>
      </c>
      <c r="BR26" s="25">
        <v>0</v>
      </c>
      <c r="BS26" s="54">
        <v>0</v>
      </c>
    </row>
    <row r="27" spans="1:71" s="4" customFormat="1" x14ac:dyDescent="0.5">
      <c r="B27" s="20" t="s">
        <v>40</v>
      </c>
      <c r="C27" s="21">
        <f t="shared" si="0"/>
        <v>2068</v>
      </c>
      <c r="D27" s="25">
        <f t="shared" si="1"/>
        <v>922</v>
      </c>
      <c r="E27" s="54">
        <f t="shared" si="2"/>
        <v>0.80453752181500882</v>
      </c>
      <c r="F27" s="23">
        <v>21</v>
      </c>
      <c r="G27" s="25">
        <v>0</v>
      </c>
      <c r="H27" s="54">
        <v>0</v>
      </c>
      <c r="I27" s="23">
        <v>14</v>
      </c>
      <c r="J27" s="25">
        <v>0</v>
      </c>
      <c r="K27" s="54">
        <v>0</v>
      </c>
      <c r="L27" s="23">
        <v>7</v>
      </c>
      <c r="M27" s="25">
        <v>0</v>
      </c>
      <c r="N27" s="54">
        <v>0</v>
      </c>
      <c r="O27" s="23">
        <v>0</v>
      </c>
      <c r="P27" s="25">
        <v>0</v>
      </c>
      <c r="Q27" s="54" t="s">
        <v>121</v>
      </c>
      <c r="R27" s="23">
        <v>0</v>
      </c>
      <c r="S27" s="25">
        <v>0</v>
      </c>
      <c r="T27" s="54" t="s">
        <v>121</v>
      </c>
      <c r="U27" s="23">
        <v>0</v>
      </c>
      <c r="V27" s="25">
        <v>0</v>
      </c>
      <c r="W27" s="54" t="s">
        <v>121</v>
      </c>
      <c r="X27" s="23">
        <v>0</v>
      </c>
      <c r="Y27" s="25">
        <v>0</v>
      </c>
      <c r="Z27" s="54" t="s">
        <v>121</v>
      </c>
      <c r="AA27" s="23">
        <v>0</v>
      </c>
      <c r="AB27" s="25">
        <v>0</v>
      </c>
      <c r="AC27" s="54" t="s">
        <v>121</v>
      </c>
      <c r="AD27" s="23">
        <v>0</v>
      </c>
      <c r="AE27" s="25">
        <v>0</v>
      </c>
      <c r="AF27" s="54" t="s">
        <v>121</v>
      </c>
      <c r="AG27" s="23">
        <v>7</v>
      </c>
      <c r="AH27" s="25">
        <v>0</v>
      </c>
      <c r="AI27" s="54">
        <v>0</v>
      </c>
      <c r="AJ27" s="23">
        <v>0</v>
      </c>
      <c r="AK27" s="25">
        <v>0</v>
      </c>
      <c r="AL27" s="54" t="s">
        <v>121</v>
      </c>
      <c r="AM27" s="23">
        <v>0</v>
      </c>
      <c r="AN27" s="25">
        <v>0</v>
      </c>
      <c r="AO27" s="54" t="s">
        <v>121</v>
      </c>
      <c r="AP27" s="23">
        <v>0</v>
      </c>
      <c r="AQ27" s="25">
        <v>0</v>
      </c>
      <c r="AR27" s="54" t="s">
        <v>121</v>
      </c>
      <c r="AS27" s="23">
        <v>0</v>
      </c>
      <c r="AT27" s="25">
        <v>0</v>
      </c>
      <c r="AU27" s="54" t="s">
        <v>121</v>
      </c>
      <c r="AV27" s="23">
        <v>0</v>
      </c>
      <c r="AW27" s="25">
        <v>0</v>
      </c>
      <c r="AX27" s="54" t="s">
        <v>121</v>
      </c>
      <c r="AY27" s="23">
        <v>0</v>
      </c>
      <c r="AZ27" s="25">
        <v>0</v>
      </c>
      <c r="BA27" s="54" t="s">
        <v>121</v>
      </c>
      <c r="BB27" s="23">
        <v>0</v>
      </c>
      <c r="BC27" s="25">
        <v>0</v>
      </c>
      <c r="BD27" s="54" t="s">
        <v>121</v>
      </c>
      <c r="BE27" s="23">
        <v>0</v>
      </c>
      <c r="BF27" s="25">
        <v>0</v>
      </c>
      <c r="BG27" s="54" t="s">
        <v>121</v>
      </c>
      <c r="BH27" s="23">
        <v>7</v>
      </c>
      <c r="BI27" s="25">
        <v>0</v>
      </c>
      <c r="BJ27" s="54" t="s">
        <v>121</v>
      </c>
      <c r="BK27" s="23">
        <v>1991</v>
      </c>
      <c r="BL27" s="25">
        <v>922</v>
      </c>
      <c r="BM27" s="54">
        <v>0.73529411764705888</v>
      </c>
      <c r="BN27" s="23">
        <v>20</v>
      </c>
      <c r="BO27" s="25">
        <v>0</v>
      </c>
      <c r="BP27" s="54">
        <v>0</v>
      </c>
      <c r="BQ27" s="23">
        <v>29</v>
      </c>
      <c r="BR27" s="25">
        <v>0</v>
      </c>
      <c r="BS27" s="54">
        <v>0</v>
      </c>
    </row>
    <row r="28" spans="1:71" s="4" customFormat="1" x14ac:dyDescent="0.5">
      <c r="B28" s="20" t="s">
        <v>41</v>
      </c>
      <c r="C28" s="21">
        <f t="shared" si="0"/>
        <v>260</v>
      </c>
      <c r="D28" s="25">
        <f t="shared" si="1"/>
        <v>84</v>
      </c>
      <c r="E28" s="54">
        <f t="shared" si="2"/>
        <v>0.47727272727272729</v>
      </c>
      <c r="F28" s="23">
        <v>0</v>
      </c>
      <c r="G28" s="25">
        <v>0</v>
      </c>
      <c r="H28" s="54" t="s">
        <v>121</v>
      </c>
      <c r="I28" s="23">
        <v>0</v>
      </c>
      <c r="J28" s="25">
        <v>0</v>
      </c>
      <c r="K28" s="54" t="s">
        <v>121</v>
      </c>
      <c r="L28" s="23">
        <v>0</v>
      </c>
      <c r="M28" s="25">
        <v>0</v>
      </c>
      <c r="N28" s="54" t="s">
        <v>121</v>
      </c>
      <c r="O28" s="23">
        <v>0</v>
      </c>
      <c r="P28" s="25">
        <v>0</v>
      </c>
      <c r="Q28" s="54" t="s">
        <v>121</v>
      </c>
      <c r="R28" s="23">
        <v>0</v>
      </c>
      <c r="S28" s="25">
        <v>0</v>
      </c>
      <c r="T28" s="54" t="s">
        <v>121</v>
      </c>
      <c r="U28" s="23">
        <v>0</v>
      </c>
      <c r="V28" s="25">
        <v>0</v>
      </c>
      <c r="W28" s="54" t="s">
        <v>121</v>
      </c>
      <c r="X28" s="23">
        <v>0</v>
      </c>
      <c r="Y28" s="25">
        <v>0</v>
      </c>
      <c r="Z28" s="54" t="s">
        <v>121</v>
      </c>
      <c r="AA28" s="23">
        <v>0</v>
      </c>
      <c r="AB28" s="25">
        <v>0</v>
      </c>
      <c r="AC28" s="54" t="s">
        <v>121</v>
      </c>
      <c r="AD28" s="23">
        <v>0</v>
      </c>
      <c r="AE28" s="25">
        <v>0</v>
      </c>
      <c r="AF28" s="54" t="s">
        <v>121</v>
      </c>
      <c r="AG28" s="23">
        <v>11</v>
      </c>
      <c r="AH28" s="25">
        <v>0</v>
      </c>
      <c r="AI28" s="54">
        <v>0</v>
      </c>
      <c r="AJ28" s="23">
        <v>0</v>
      </c>
      <c r="AK28" s="25">
        <v>0</v>
      </c>
      <c r="AL28" s="54" t="s">
        <v>121</v>
      </c>
      <c r="AM28" s="23">
        <v>0</v>
      </c>
      <c r="AN28" s="25">
        <v>0</v>
      </c>
      <c r="AO28" s="54" t="s">
        <v>121</v>
      </c>
      <c r="AP28" s="23">
        <v>0</v>
      </c>
      <c r="AQ28" s="25">
        <v>0</v>
      </c>
      <c r="AR28" s="54" t="s">
        <v>121</v>
      </c>
      <c r="AS28" s="23">
        <v>0</v>
      </c>
      <c r="AT28" s="25">
        <v>0</v>
      </c>
      <c r="AU28" s="54" t="s">
        <v>121</v>
      </c>
      <c r="AV28" s="23">
        <v>0</v>
      </c>
      <c r="AW28" s="25">
        <v>0</v>
      </c>
      <c r="AX28" s="54" t="s">
        <v>121</v>
      </c>
      <c r="AY28" s="23">
        <v>0</v>
      </c>
      <c r="AZ28" s="25">
        <v>0</v>
      </c>
      <c r="BA28" s="54" t="s">
        <v>121</v>
      </c>
      <c r="BB28" s="23">
        <v>0</v>
      </c>
      <c r="BC28" s="25">
        <v>0</v>
      </c>
      <c r="BD28" s="54" t="s">
        <v>121</v>
      </c>
      <c r="BE28" s="23">
        <v>11</v>
      </c>
      <c r="BF28" s="25">
        <v>0</v>
      </c>
      <c r="BG28" s="54">
        <v>0</v>
      </c>
      <c r="BH28" s="23">
        <v>0</v>
      </c>
      <c r="BI28" s="25">
        <v>0</v>
      </c>
      <c r="BJ28" s="54" t="s">
        <v>121</v>
      </c>
      <c r="BK28" s="23">
        <v>236</v>
      </c>
      <c r="BL28" s="25">
        <v>100</v>
      </c>
      <c r="BM28" s="54">
        <v>1.0113981762917934</v>
      </c>
      <c r="BN28" s="23">
        <v>0</v>
      </c>
      <c r="BO28" s="25">
        <v>-16</v>
      </c>
      <c r="BP28" s="54">
        <v>-1</v>
      </c>
      <c r="BQ28" s="23">
        <v>13</v>
      </c>
      <c r="BR28" s="25">
        <v>0</v>
      </c>
      <c r="BS28" s="54">
        <v>0</v>
      </c>
    </row>
    <row r="29" spans="1:71" s="4" customFormat="1" x14ac:dyDescent="0.5">
      <c r="B29" s="20" t="s">
        <v>42</v>
      </c>
      <c r="C29" s="21">
        <f t="shared" si="0"/>
        <v>11700</v>
      </c>
      <c r="D29" s="25">
        <f t="shared" si="1"/>
        <v>2662</v>
      </c>
      <c r="E29" s="54">
        <f t="shared" si="2"/>
        <v>0.29453418897986272</v>
      </c>
      <c r="F29" s="23">
        <v>3368</v>
      </c>
      <c r="G29" s="25">
        <v>0</v>
      </c>
      <c r="H29" s="54">
        <v>0</v>
      </c>
      <c r="I29" s="23">
        <v>0</v>
      </c>
      <c r="J29" s="25">
        <v>0</v>
      </c>
      <c r="K29" s="54" t="s">
        <v>121</v>
      </c>
      <c r="L29" s="23">
        <v>0</v>
      </c>
      <c r="M29" s="25">
        <v>0</v>
      </c>
      <c r="N29" s="54" t="s">
        <v>121</v>
      </c>
      <c r="O29" s="23">
        <v>722</v>
      </c>
      <c r="P29" s="25">
        <v>0</v>
      </c>
      <c r="Q29" s="54">
        <v>0</v>
      </c>
      <c r="R29" s="23">
        <v>848</v>
      </c>
      <c r="S29" s="25">
        <v>0</v>
      </c>
      <c r="T29" s="54">
        <v>0</v>
      </c>
      <c r="U29" s="23">
        <v>1784</v>
      </c>
      <c r="V29" s="25">
        <v>0</v>
      </c>
      <c r="W29" s="54">
        <v>0</v>
      </c>
      <c r="X29" s="23">
        <v>0</v>
      </c>
      <c r="Y29" s="25">
        <v>0</v>
      </c>
      <c r="Z29" s="54" t="s">
        <v>121</v>
      </c>
      <c r="AA29" s="23">
        <v>0</v>
      </c>
      <c r="AB29" s="25">
        <v>0</v>
      </c>
      <c r="AC29" s="54" t="s">
        <v>121</v>
      </c>
      <c r="AD29" s="23">
        <v>14</v>
      </c>
      <c r="AE29" s="25">
        <v>0</v>
      </c>
      <c r="AF29" s="54">
        <v>0</v>
      </c>
      <c r="AG29" s="23">
        <v>2978</v>
      </c>
      <c r="AH29" s="25">
        <v>0</v>
      </c>
      <c r="AI29" s="54">
        <v>0</v>
      </c>
      <c r="AJ29" s="23">
        <v>382</v>
      </c>
      <c r="AK29" s="25">
        <v>0</v>
      </c>
      <c r="AL29" s="54">
        <v>0</v>
      </c>
      <c r="AM29" s="23">
        <v>588</v>
      </c>
      <c r="AN29" s="25">
        <v>0</v>
      </c>
      <c r="AO29" s="54">
        <v>0</v>
      </c>
      <c r="AP29" s="23">
        <v>1135</v>
      </c>
      <c r="AQ29" s="25">
        <v>0</v>
      </c>
      <c r="AR29" s="54">
        <v>0</v>
      </c>
      <c r="AS29" s="23">
        <v>0</v>
      </c>
      <c r="AT29" s="25">
        <v>0</v>
      </c>
      <c r="AU29" s="54" t="s">
        <v>121</v>
      </c>
      <c r="AV29" s="23">
        <v>861</v>
      </c>
      <c r="AW29" s="25">
        <v>0</v>
      </c>
      <c r="AX29" s="54">
        <v>0</v>
      </c>
      <c r="AY29" s="23">
        <v>0</v>
      </c>
      <c r="AZ29" s="25">
        <v>0</v>
      </c>
      <c r="BA29" s="54" t="s">
        <v>121</v>
      </c>
      <c r="BB29" s="23">
        <v>0</v>
      </c>
      <c r="BC29" s="25">
        <v>0</v>
      </c>
      <c r="BD29" s="54" t="s">
        <v>121</v>
      </c>
      <c r="BE29" s="23">
        <v>12</v>
      </c>
      <c r="BF29" s="25">
        <v>0</v>
      </c>
      <c r="BG29" s="54">
        <v>0</v>
      </c>
      <c r="BH29" s="23">
        <v>0</v>
      </c>
      <c r="BI29" s="25">
        <v>0</v>
      </c>
      <c r="BJ29" s="54" t="s">
        <v>121</v>
      </c>
      <c r="BK29" s="23">
        <v>5294</v>
      </c>
      <c r="BL29" s="25">
        <v>2662</v>
      </c>
      <c r="BM29" s="54">
        <v>0.70390848427073394</v>
      </c>
      <c r="BN29" s="23">
        <v>32</v>
      </c>
      <c r="BO29" s="25">
        <v>0</v>
      </c>
      <c r="BP29" s="54">
        <v>0</v>
      </c>
      <c r="BQ29" s="23">
        <v>28</v>
      </c>
      <c r="BR29" s="25">
        <v>0</v>
      </c>
      <c r="BS29" s="54">
        <v>0</v>
      </c>
    </row>
    <row r="30" spans="1:71" s="4" customFormat="1" x14ac:dyDescent="0.5">
      <c r="A30" s="4">
        <v>26</v>
      </c>
      <c r="B30" s="20" t="s">
        <v>43</v>
      </c>
      <c r="C30" s="21">
        <f t="shared" si="0"/>
        <v>12061</v>
      </c>
      <c r="D30" s="25">
        <f t="shared" si="1"/>
        <v>3858</v>
      </c>
      <c r="E30" s="54">
        <f t="shared" si="2"/>
        <v>0.47031573814458127</v>
      </c>
      <c r="F30" s="23">
        <v>3059</v>
      </c>
      <c r="G30" s="25">
        <v>166</v>
      </c>
      <c r="H30" s="54">
        <v>5.7379882474939414E-2</v>
      </c>
      <c r="I30" s="23">
        <v>218</v>
      </c>
      <c r="J30" s="25">
        <v>0</v>
      </c>
      <c r="K30" s="54">
        <v>0</v>
      </c>
      <c r="L30" s="23">
        <v>355</v>
      </c>
      <c r="M30" s="25">
        <v>0</v>
      </c>
      <c r="N30" s="54">
        <v>0</v>
      </c>
      <c r="O30" s="23">
        <v>674</v>
      </c>
      <c r="P30" s="25">
        <v>0</v>
      </c>
      <c r="Q30" s="54">
        <v>0</v>
      </c>
      <c r="R30" s="23">
        <v>1261</v>
      </c>
      <c r="S30" s="25">
        <v>166</v>
      </c>
      <c r="T30" s="54">
        <v>0.1515981735159817</v>
      </c>
      <c r="U30" s="23">
        <v>507</v>
      </c>
      <c r="V30" s="25">
        <v>0</v>
      </c>
      <c r="W30" s="54">
        <v>0</v>
      </c>
      <c r="X30" s="23">
        <v>0</v>
      </c>
      <c r="Y30" s="25">
        <v>0</v>
      </c>
      <c r="Z30" s="54" t="s">
        <v>121</v>
      </c>
      <c r="AA30" s="23">
        <v>0</v>
      </c>
      <c r="AB30" s="25">
        <v>0</v>
      </c>
      <c r="AC30" s="54" t="s">
        <v>121</v>
      </c>
      <c r="AD30" s="23">
        <v>44</v>
      </c>
      <c r="AE30" s="25">
        <v>0</v>
      </c>
      <c r="AF30" s="54">
        <v>0</v>
      </c>
      <c r="AG30" s="23">
        <v>50</v>
      </c>
      <c r="AH30" s="25">
        <v>0</v>
      </c>
      <c r="AI30" s="54">
        <v>0</v>
      </c>
      <c r="AJ30" s="23">
        <v>0</v>
      </c>
      <c r="AK30" s="25">
        <v>0</v>
      </c>
      <c r="AL30" s="54" t="s">
        <v>121</v>
      </c>
      <c r="AM30" s="23">
        <v>0</v>
      </c>
      <c r="AN30" s="25">
        <v>0</v>
      </c>
      <c r="AO30" s="54" t="s">
        <v>121</v>
      </c>
      <c r="AP30" s="23">
        <v>0</v>
      </c>
      <c r="AQ30" s="25">
        <v>0</v>
      </c>
      <c r="AR30" s="54" t="s">
        <v>121</v>
      </c>
      <c r="AS30" s="23">
        <v>0</v>
      </c>
      <c r="AT30" s="25">
        <v>0</v>
      </c>
      <c r="AU30" s="54" t="s">
        <v>121</v>
      </c>
      <c r="AV30" s="23">
        <v>0</v>
      </c>
      <c r="AW30" s="25">
        <v>0</v>
      </c>
      <c r="AX30" s="54" t="s">
        <v>121</v>
      </c>
      <c r="AY30" s="23">
        <v>0</v>
      </c>
      <c r="AZ30" s="25">
        <v>0</v>
      </c>
      <c r="BA30" s="54" t="s">
        <v>121</v>
      </c>
      <c r="BB30" s="23">
        <v>0</v>
      </c>
      <c r="BC30" s="25">
        <v>0</v>
      </c>
      <c r="BD30" s="54" t="s">
        <v>121</v>
      </c>
      <c r="BE30" s="23">
        <v>44</v>
      </c>
      <c r="BF30" s="25">
        <v>0</v>
      </c>
      <c r="BG30" s="54">
        <v>0</v>
      </c>
      <c r="BH30" s="23">
        <v>6</v>
      </c>
      <c r="BI30" s="25">
        <v>0</v>
      </c>
      <c r="BJ30" s="54" t="s">
        <v>121</v>
      </c>
      <c r="BK30" s="23">
        <v>8937</v>
      </c>
      <c r="BL30" s="25">
        <v>3692</v>
      </c>
      <c r="BM30" s="54">
        <v>0.50348432055749126</v>
      </c>
      <c r="BN30" s="23">
        <v>0</v>
      </c>
      <c r="BO30" s="25">
        <v>0</v>
      </c>
      <c r="BP30" s="54" t="s">
        <v>121</v>
      </c>
      <c r="BQ30" s="23">
        <v>15</v>
      </c>
      <c r="BR30" s="25">
        <v>0</v>
      </c>
      <c r="BS30" s="54">
        <v>0</v>
      </c>
    </row>
    <row r="31" spans="1:71" s="4" customFormat="1" x14ac:dyDescent="0.5">
      <c r="B31" s="20" t="s">
        <v>44</v>
      </c>
      <c r="C31" s="21">
        <f t="shared" si="0"/>
        <v>1726</v>
      </c>
      <c r="D31" s="25">
        <f t="shared" si="1"/>
        <v>578</v>
      </c>
      <c r="E31" s="54">
        <f t="shared" si="2"/>
        <v>0.50348432055749126</v>
      </c>
      <c r="F31" s="23">
        <v>0</v>
      </c>
      <c r="G31" s="25">
        <v>0</v>
      </c>
      <c r="H31" s="54" t="s">
        <v>121</v>
      </c>
      <c r="I31" s="23">
        <v>0</v>
      </c>
      <c r="J31" s="25">
        <v>0</v>
      </c>
      <c r="K31" s="54" t="s">
        <v>121</v>
      </c>
      <c r="L31" s="23">
        <v>0</v>
      </c>
      <c r="M31" s="25">
        <v>0</v>
      </c>
      <c r="N31" s="54" t="s">
        <v>121</v>
      </c>
      <c r="O31" s="23">
        <v>0</v>
      </c>
      <c r="P31" s="25">
        <v>0</v>
      </c>
      <c r="Q31" s="54" t="s">
        <v>121</v>
      </c>
      <c r="R31" s="23">
        <v>0</v>
      </c>
      <c r="S31" s="25">
        <v>0</v>
      </c>
      <c r="T31" s="54" t="s">
        <v>121</v>
      </c>
      <c r="U31" s="23">
        <v>0</v>
      </c>
      <c r="V31" s="25">
        <v>0</v>
      </c>
      <c r="W31" s="54" t="s">
        <v>121</v>
      </c>
      <c r="X31" s="23">
        <v>0</v>
      </c>
      <c r="Y31" s="25">
        <v>0</v>
      </c>
      <c r="Z31" s="54" t="s">
        <v>121</v>
      </c>
      <c r="AA31" s="23">
        <v>0</v>
      </c>
      <c r="AB31" s="25">
        <v>0</v>
      </c>
      <c r="AC31" s="54" t="s">
        <v>121</v>
      </c>
      <c r="AD31" s="23">
        <v>0</v>
      </c>
      <c r="AE31" s="25">
        <v>0</v>
      </c>
      <c r="AF31" s="54" t="s">
        <v>121</v>
      </c>
      <c r="AG31" s="23">
        <v>0</v>
      </c>
      <c r="AH31" s="25">
        <v>0</v>
      </c>
      <c r="AI31" s="54" t="s">
        <v>121</v>
      </c>
      <c r="AJ31" s="23">
        <v>0</v>
      </c>
      <c r="AK31" s="25">
        <v>0</v>
      </c>
      <c r="AL31" s="54" t="s">
        <v>121</v>
      </c>
      <c r="AM31" s="23">
        <v>0</v>
      </c>
      <c r="AN31" s="25">
        <v>0</v>
      </c>
      <c r="AO31" s="54" t="s">
        <v>121</v>
      </c>
      <c r="AP31" s="23">
        <v>0</v>
      </c>
      <c r="AQ31" s="25">
        <v>0</v>
      </c>
      <c r="AR31" s="54" t="s">
        <v>121</v>
      </c>
      <c r="AS31" s="23">
        <v>0</v>
      </c>
      <c r="AT31" s="25">
        <v>0</v>
      </c>
      <c r="AU31" s="54" t="s">
        <v>121</v>
      </c>
      <c r="AV31" s="23">
        <v>0</v>
      </c>
      <c r="AW31" s="25">
        <v>0</v>
      </c>
      <c r="AX31" s="54" t="s">
        <v>121</v>
      </c>
      <c r="AY31" s="23">
        <v>0</v>
      </c>
      <c r="AZ31" s="25">
        <v>0</v>
      </c>
      <c r="BA31" s="54" t="s">
        <v>121</v>
      </c>
      <c r="BB31" s="23">
        <v>0</v>
      </c>
      <c r="BC31" s="25">
        <v>0</v>
      </c>
      <c r="BD31" s="54" t="s">
        <v>121</v>
      </c>
      <c r="BE31" s="23">
        <v>0</v>
      </c>
      <c r="BF31" s="25">
        <v>0</v>
      </c>
      <c r="BG31" s="54" t="s">
        <v>121</v>
      </c>
      <c r="BH31" s="23">
        <v>0</v>
      </c>
      <c r="BI31" s="25">
        <v>0</v>
      </c>
      <c r="BJ31" s="54" t="s">
        <v>121</v>
      </c>
      <c r="BK31" s="23">
        <v>1726</v>
      </c>
      <c r="BL31" s="25">
        <v>578</v>
      </c>
      <c r="BM31" s="54">
        <v>0.47660409078173149</v>
      </c>
      <c r="BN31" s="23">
        <v>0</v>
      </c>
      <c r="BO31" s="25">
        <v>0</v>
      </c>
      <c r="BP31" s="54" t="s">
        <v>121</v>
      </c>
      <c r="BQ31" s="23">
        <v>0</v>
      </c>
      <c r="BR31" s="25">
        <v>0</v>
      </c>
      <c r="BS31" s="54" t="s">
        <v>121</v>
      </c>
    </row>
    <row r="32" spans="1:71" s="4" customFormat="1" x14ac:dyDescent="0.5">
      <c r="B32" s="20" t="s">
        <v>45</v>
      </c>
      <c r="C32" s="21">
        <f t="shared" si="0"/>
        <v>12739</v>
      </c>
      <c r="D32" s="25">
        <f t="shared" si="1"/>
        <v>1709</v>
      </c>
      <c r="E32" s="54">
        <f t="shared" si="2"/>
        <v>0.15494106980961009</v>
      </c>
      <c r="F32" s="23">
        <v>4459</v>
      </c>
      <c r="G32" s="25">
        <v>0</v>
      </c>
      <c r="H32" s="54">
        <v>0</v>
      </c>
      <c r="I32" s="23">
        <v>0</v>
      </c>
      <c r="J32" s="25">
        <v>0</v>
      </c>
      <c r="K32" s="54" t="s">
        <v>121</v>
      </c>
      <c r="L32" s="23">
        <v>0</v>
      </c>
      <c r="M32" s="25">
        <v>0</v>
      </c>
      <c r="N32" s="54" t="s">
        <v>121</v>
      </c>
      <c r="O32" s="23">
        <v>1058</v>
      </c>
      <c r="P32" s="25">
        <v>0</v>
      </c>
      <c r="Q32" s="54">
        <v>0</v>
      </c>
      <c r="R32" s="23">
        <v>3401</v>
      </c>
      <c r="S32" s="25">
        <v>0</v>
      </c>
      <c r="T32" s="54">
        <v>0</v>
      </c>
      <c r="U32" s="23">
        <v>0</v>
      </c>
      <c r="V32" s="25">
        <v>0</v>
      </c>
      <c r="W32" s="54" t="s">
        <v>121</v>
      </c>
      <c r="X32" s="23">
        <v>0</v>
      </c>
      <c r="Y32" s="25">
        <v>0</v>
      </c>
      <c r="Z32" s="54" t="s">
        <v>121</v>
      </c>
      <c r="AA32" s="23">
        <v>0</v>
      </c>
      <c r="AB32" s="25">
        <v>0</v>
      </c>
      <c r="AC32" s="54" t="s">
        <v>121</v>
      </c>
      <c r="AD32" s="23">
        <v>0</v>
      </c>
      <c r="AE32" s="25">
        <v>0</v>
      </c>
      <c r="AF32" s="54" t="s">
        <v>121</v>
      </c>
      <c r="AG32" s="23">
        <v>3010</v>
      </c>
      <c r="AH32" s="25">
        <v>8</v>
      </c>
      <c r="AI32" s="54">
        <v>2.6648900732844094E-3</v>
      </c>
      <c r="AJ32" s="23">
        <v>1513</v>
      </c>
      <c r="AK32" s="25">
        <v>0</v>
      </c>
      <c r="AL32" s="54">
        <v>0</v>
      </c>
      <c r="AM32" s="23">
        <v>869</v>
      </c>
      <c r="AN32" s="25">
        <v>8</v>
      </c>
      <c r="AO32" s="54">
        <v>9.2915214866433615E-3</v>
      </c>
      <c r="AP32" s="23">
        <v>0</v>
      </c>
      <c r="AQ32" s="25">
        <v>0</v>
      </c>
      <c r="AR32" s="54" t="s">
        <v>121</v>
      </c>
      <c r="AS32" s="23">
        <v>0</v>
      </c>
      <c r="AT32" s="25">
        <v>0</v>
      </c>
      <c r="AU32" s="54" t="s">
        <v>121</v>
      </c>
      <c r="AV32" s="23">
        <v>0</v>
      </c>
      <c r="AW32" s="25">
        <v>0</v>
      </c>
      <c r="AX32" s="54" t="s">
        <v>121</v>
      </c>
      <c r="AY32" s="23">
        <v>234</v>
      </c>
      <c r="AZ32" s="25">
        <v>0</v>
      </c>
      <c r="BA32" s="54">
        <v>0</v>
      </c>
      <c r="BB32" s="23">
        <v>394</v>
      </c>
      <c r="BC32" s="25">
        <v>0</v>
      </c>
      <c r="BD32" s="54">
        <v>0</v>
      </c>
      <c r="BE32" s="23">
        <v>0</v>
      </c>
      <c r="BF32" s="25">
        <v>0</v>
      </c>
      <c r="BG32" s="54" t="s">
        <v>121</v>
      </c>
      <c r="BH32" s="23">
        <v>0</v>
      </c>
      <c r="BI32" s="25">
        <v>0</v>
      </c>
      <c r="BJ32" s="54" t="s">
        <v>121</v>
      </c>
      <c r="BK32" s="23">
        <v>5270</v>
      </c>
      <c r="BL32" s="25">
        <v>1701</v>
      </c>
      <c r="BM32" s="54">
        <v>0.63255813953488382</v>
      </c>
      <c r="BN32" s="23">
        <v>0</v>
      </c>
      <c r="BO32" s="25">
        <v>0</v>
      </c>
      <c r="BP32" s="54" t="s">
        <v>121</v>
      </c>
      <c r="BQ32" s="23">
        <v>0</v>
      </c>
      <c r="BR32" s="25">
        <v>0</v>
      </c>
      <c r="BS32" s="54" t="s">
        <v>121</v>
      </c>
    </row>
    <row r="33" spans="2:71" s="4" customFormat="1" x14ac:dyDescent="0.5">
      <c r="B33" s="20" t="s">
        <v>46</v>
      </c>
      <c r="C33" s="21">
        <f t="shared" si="0"/>
        <v>720</v>
      </c>
      <c r="D33" s="25">
        <f t="shared" si="1"/>
        <v>272</v>
      </c>
      <c r="E33" s="54">
        <f t="shared" si="2"/>
        <v>0.60714285714285721</v>
      </c>
      <c r="F33" s="23">
        <v>14</v>
      </c>
      <c r="G33" s="25">
        <v>0</v>
      </c>
      <c r="H33" s="54">
        <v>0</v>
      </c>
      <c r="I33" s="23">
        <v>0</v>
      </c>
      <c r="J33" s="25">
        <v>0</v>
      </c>
      <c r="K33" s="54" t="s">
        <v>121</v>
      </c>
      <c r="L33" s="23">
        <v>14</v>
      </c>
      <c r="M33" s="25">
        <v>0</v>
      </c>
      <c r="N33" s="54">
        <v>0</v>
      </c>
      <c r="O33" s="23">
        <v>0</v>
      </c>
      <c r="P33" s="25">
        <v>0</v>
      </c>
      <c r="Q33" s="54" t="s">
        <v>121</v>
      </c>
      <c r="R33" s="23">
        <v>0</v>
      </c>
      <c r="S33" s="25">
        <v>0</v>
      </c>
      <c r="T33" s="54" t="s">
        <v>121</v>
      </c>
      <c r="U33" s="23">
        <v>0</v>
      </c>
      <c r="V33" s="25">
        <v>0</v>
      </c>
      <c r="W33" s="54" t="s">
        <v>121</v>
      </c>
      <c r="X33" s="23">
        <v>0</v>
      </c>
      <c r="Y33" s="25">
        <v>0</v>
      </c>
      <c r="Z33" s="54" t="s">
        <v>121</v>
      </c>
      <c r="AA33" s="23">
        <v>0</v>
      </c>
      <c r="AB33" s="25">
        <v>0</v>
      </c>
      <c r="AC33" s="54" t="s">
        <v>121</v>
      </c>
      <c r="AD33" s="23">
        <v>0</v>
      </c>
      <c r="AE33" s="25">
        <v>0</v>
      </c>
      <c r="AF33" s="54" t="s">
        <v>121</v>
      </c>
      <c r="AG33" s="23">
        <v>0</v>
      </c>
      <c r="AH33" s="25">
        <v>0</v>
      </c>
      <c r="AI33" s="54" t="s">
        <v>121</v>
      </c>
      <c r="AJ33" s="23">
        <v>0</v>
      </c>
      <c r="AK33" s="25">
        <v>0</v>
      </c>
      <c r="AL33" s="54" t="s">
        <v>121</v>
      </c>
      <c r="AM33" s="23">
        <v>0</v>
      </c>
      <c r="AN33" s="25">
        <v>0</v>
      </c>
      <c r="AO33" s="54" t="s">
        <v>121</v>
      </c>
      <c r="AP33" s="23">
        <v>0</v>
      </c>
      <c r="AQ33" s="25">
        <v>0</v>
      </c>
      <c r="AR33" s="54" t="s">
        <v>121</v>
      </c>
      <c r="AS33" s="23">
        <v>0</v>
      </c>
      <c r="AT33" s="25">
        <v>0</v>
      </c>
      <c r="AU33" s="54" t="s">
        <v>121</v>
      </c>
      <c r="AV33" s="23">
        <v>0</v>
      </c>
      <c r="AW33" s="25">
        <v>0</v>
      </c>
      <c r="AX33" s="54" t="s">
        <v>121</v>
      </c>
      <c r="AY33" s="23">
        <v>0</v>
      </c>
      <c r="AZ33" s="25">
        <v>0</v>
      </c>
      <c r="BA33" s="54" t="s">
        <v>121</v>
      </c>
      <c r="BB33" s="23">
        <v>0</v>
      </c>
      <c r="BC33" s="25">
        <v>0</v>
      </c>
      <c r="BD33" s="54" t="s">
        <v>121</v>
      </c>
      <c r="BE33" s="23">
        <v>0</v>
      </c>
      <c r="BF33" s="25">
        <v>0</v>
      </c>
      <c r="BG33" s="54" t="s">
        <v>121</v>
      </c>
      <c r="BH33" s="23">
        <v>0</v>
      </c>
      <c r="BI33" s="25">
        <v>0</v>
      </c>
      <c r="BJ33" s="54" t="s">
        <v>121</v>
      </c>
      <c r="BK33" s="23">
        <v>702</v>
      </c>
      <c r="BL33" s="25">
        <v>272</v>
      </c>
      <c r="BM33" s="54">
        <v>0.46630727762803237</v>
      </c>
      <c r="BN33" s="23">
        <v>0</v>
      </c>
      <c r="BO33" s="25">
        <v>0</v>
      </c>
      <c r="BP33" s="54" t="s">
        <v>121</v>
      </c>
      <c r="BQ33" s="23">
        <v>4</v>
      </c>
      <c r="BR33" s="25">
        <v>0</v>
      </c>
      <c r="BS33" s="54">
        <v>0</v>
      </c>
    </row>
    <row r="34" spans="2:71" s="4" customFormat="1" x14ac:dyDescent="0.5">
      <c r="B34" s="20" t="s">
        <v>47</v>
      </c>
      <c r="C34" s="21">
        <f t="shared" si="0"/>
        <v>701</v>
      </c>
      <c r="D34" s="25">
        <f t="shared" si="1"/>
        <v>173</v>
      </c>
      <c r="E34" s="54">
        <f t="shared" si="2"/>
        <v>0.32765151515151514</v>
      </c>
      <c r="F34" s="23">
        <v>98</v>
      </c>
      <c r="G34" s="25">
        <v>0</v>
      </c>
      <c r="H34" s="54">
        <v>0</v>
      </c>
      <c r="I34" s="23">
        <v>0</v>
      </c>
      <c r="J34" s="25">
        <v>0</v>
      </c>
      <c r="K34" s="54" t="s">
        <v>121</v>
      </c>
      <c r="L34" s="23">
        <v>0</v>
      </c>
      <c r="M34" s="25">
        <v>0</v>
      </c>
      <c r="N34" s="54" t="s">
        <v>121</v>
      </c>
      <c r="O34" s="23">
        <v>0</v>
      </c>
      <c r="P34" s="25">
        <v>0</v>
      </c>
      <c r="Q34" s="54" t="s">
        <v>121</v>
      </c>
      <c r="R34" s="23">
        <v>98</v>
      </c>
      <c r="S34" s="25">
        <v>0</v>
      </c>
      <c r="T34" s="54">
        <v>0</v>
      </c>
      <c r="U34" s="23">
        <v>0</v>
      </c>
      <c r="V34" s="25">
        <v>0</v>
      </c>
      <c r="W34" s="54" t="s">
        <v>121</v>
      </c>
      <c r="X34" s="23">
        <v>0</v>
      </c>
      <c r="Y34" s="25">
        <v>0</v>
      </c>
      <c r="Z34" s="54" t="s">
        <v>121</v>
      </c>
      <c r="AA34" s="23">
        <v>0</v>
      </c>
      <c r="AB34" s="25">
        <v>0</v>
      </c>
      <c r="AC34" s="54" t="s">
        <v>121</v>
      </c>
      <c r="AD34" s="23">
        <v>0</v>
      </c>
      <c r="AE34" s="25">
        <v>0</v>
      </c>
      <c r="AF34" s="54" t="s">
        <v>121</v>
      </c>
      <c r="AG34" s="23">
        <v>14</v>
      </c>
      <c r="AH34" s="25">
        <v>0</v>
      </c>
      <c r="AI34" s="54">
        <v>0</v>
      </c>
      <c r="AJ34" s="23">
        <v>0</v>
      </c>
      <c r="AK34" s="25">
        <v>0</v>
      </c>
      <c r="AL34" s="54" t="s">
        <v>121</v>
      </c>
      <c r="AM34" s="23">
        <v>0</v>
      </c>
      <c r="AN34" s="25">
        <v>0</v>
      </c>
      <c r="AO34" s="54" t="s">
        <v>121</v>
      </c>
      <c r="AP34" s="23">
        <v>0</v>
      </c>
      <c r="AQ34" s="25">
        <v>0</v>
      </c>
      <c r="AR34" s="54" t="s">
        <v>121</v>
      </c>
      <c r="AS34" s="23">
        <v>0</v>
      </c>
      <c r="AT34" s="25">
        <v>0</v>
      </c>
      <c r="AU34" s="54" t="s">
        <v>121</v>
      </c>
      <c r="AV34" s="23">
        <v>0</v>
      </c>
      <c r="AW34" s="25">
        <v>0</v>
      </c>
      <c r="AX34" s="54" t="s">
        <v>121</v>
      </c>
      <c r="AY34" s="23">
        <v>0</v>
      </c>
      <c r="AZ34" s="25">
        <v>0</v>
      </c>
      <c r="BA34" s="54" t="s">
        <v>121</v>
      </c>
      <c r="BB34" s="23">
        <v>0</v>
      </c>
      <c r="BC34" s="25">
        <v>0</v>
      </c>
      <c r="BD34" s="54" t="s">
        <v>121</v>
      </c>
      <c r="BE34" s="23">
        <v>4</v>
      </c>
      <c r="BF34" s="25">
        <v>0</v>
      </c>
      <c r="BG34" s="54">
        <v>0</v>
      </c>
      <c r="BH34" s="23">
        <v>10</v>
      </c>
      <c r="BI34" s="25">
        <v>0</v>
      </c>
      <c r="BJ34" s="54" t="s">
        <v>121</v>
      </c>
      <c r="BK34" s="23">
        <v>544</v>
      </c>
      <c r="BL34" s="25">
        <v>173</v>
      </c>
      <c r="BM34" s="54">
        <v>0.57346393588601963</v>
      </c>
      <c r="BN34" s="23">
        <v>24</v>
      </c>
      <c r="BO34" s="25">
        <v>0</v>
      </c>
      <c r="BP34" s="54">
        <v>0</v>
      </c>
      <c r="BQ34" s="23">
        <v>21</v>
      </c>
      <c r="BR34" s="25">
        <v>0</v>
      </c>
      <c r="BS34" s="54">
        <v>0</v>
      </c>
    </row>
    <row r="35" spans="2:71" s="4" customFormat="1" x14ac:dyDescent="0.5">
      <c r="B35" s="20" t="s">
        <v>48</v>
      </c>
      <c r="C35" s="21">
        <f t="shared" si="0"/>
        <v>2086</v>
      </c>
      <c r="D35" s="25">
        <f t="shared" si="1"/>
        <v>644</v>
      </c>
      <c r="E35" s="54">
        <f t="shared" si="2"/>
        <v>0.44660194174757284</v>
      </c>
      <c r="F35" s="23">
        <v>12</v>
      </c>
      <c r="G35" s="25">
        <v>0</v>
      </c>
      <c r="H35" s="54">
        <v>0</v>
      </c>
      <c r="I35" s="23">
        <v>0</v>
      </c>
      <c r="J35" s="25">
        <v>0</v>
      </c>
      <c r="K35" s="54" t="s">
        <v>121</v>
      </c>
      <c r="L35" s="23">
        <v>0</v>
      </c>
      <c r="M35" s="25">
        <v>0</v>
      </c>
      <c r="N35" s="54" t="s">
        <v>121</v>
      </c>
      <c r="O35" s="23">
        <v>0</v>
      </c>
      <c r="P35" s="25">
        <v>0</v>
      </c>
      <c r="Q35" s="54" t="s">
        <v>121</v>
      </c>
      <c r="R35" s="23">
        <v>0</v>
      </c>
      <c r="S35" s="25">
        <v>0</v>
      </c>
      <c r="T35" s="54" t="s">
        <v>121</v>
      </c>
      <c r="U35" s="23">
        <v>0</v>
      </c>
      <c r="V35" s="25">
        <v>0</v>
      </c>
      <c r="W35" s="54" t="s">
        <v>121</v>
      </c>
      <c r="X35" s="23">
        <v>0</v>
      </c>
      <c r="Y35" s="25">
        <v>0</v>
      </c>
      <c r="Z35" s="54" t="s">
        <v>121</v>
      </c>
      <c r="AA35" s="23">
        <v>0</v>
      </c>
      <c r="AB35" s="25">
        <v>0</v>
      </c>
      <c r="AC35" s="54" t="s">
        <v>121</v>
      </c>
      <c r="AD35" s="23">
        <v>12</v>
      </c>
      <c r="AE35" s="25">
        <v>0</v>
      </c>
      <c r="AF35" s="54">
        <v>0</v>
      </c>
      <c r="AG35" s="23">
        <v>272</v>
      </c>
      <c r="AH35" s="25">
        <v>0</v>
      </c>
      <c r="AI35" s="54">
        <v>0</v>
      </c>
      <c r="AJ35" s="23">
        <v>0</v>
      </c>
      <c r="AK35" s="25">
        <v>0</v>
      </c>
      <c r="AL35" s="54" t="s">
        <v>121</v>
      </c>
      <c r="AM35" s="23">
        <v>0</v>
      </c>
      <c r="AN35" s="25">
        <v>0</v>
      </c>
      <c r="AO35" s="54" t="s">
        <v>121</v>
      </c>
      <c r="AP35" s="23">
        <v>272</v>
      </c>
      <c r="AQ35" s="25">
        <v>0</v>
      </c>
      <c r="AR35" s="54">
        <v>0</v>
      </c>
      <c r="AS35" s="23">
        <v>0</v>
      </c>
      <c r="AT35" s="25">
        <v>0</v>
      </c>
      <c r="AU35" s="54" t="s">
        <v>121</v>
      </c>
      <c r="AV35" s="23">
        <v>0</v>
      </c>
      <c r="AW35" s="25">
        <v>0</v>
      </c>
      <c r="AX35" s="54" t="s">
        <v>121</v>
      </c>
      <c r="AY35" s="23">
        <v>0</v>
      </c>
      <c r="AZ35" s="25">
        <v>0</v>
      </c>
      <c r="BA35" s="54" t="s">
        <v>121</v>
      </c>
      <c r="BB35" s="23">
        <v>0</v>
      </c>
      <c r="BC35" s="25">
        <v>0</v>
      </c>
      <c r="BD35" s="54" t="s">
        <v>121</v>
      </c>
      <c r="BE35" s="23">
        <v>0</v>
      </c>
      <c r="BF35" s="25">
        <v>0</v>
      </c>
      <c r="BG35" s="54" t="s">
        <v>121</v>
      </c>
      <c r="BH35" s="23">
        <v>0</v>
      </c>
      <c r="BI35" s="25">
        <v>0</v>
      </c>
      <c r="BJ35" s="54" t="s">
        <v>121</v>
      </c>
      <c r="BK35" s="23">
        <v>1767</v>
      </c>
      <c r="BL35" s="25">
        <v>644</v>
      </c>
      <c r="BM35" s="54">
        <v>1.2393162393162394</v>
      </c>
      <c r="BN35" s="23">
        <v>0</v>
      </c>
      <c r="BO35" s="25">
        <v>0</v>
      </c>
      <c r="BP35" s="54" t="s">
        <v>121</v>
      </c>
      <c r="BQ35" s="23">
        <v>35</v>
      </c>
      <c r="BR35" s="25">
        <v>0</v>
      </c>
      <c r="BS35" s="54">
        <v>0</v>
      </c>
    </row>
    <row r="36" spans="2:71" s="4" customFormat="1" x14ac:dyDescent="0.5">
      <c r="B36" s="20" t="s">
        <v>49</v>
      </c>
      <c r="C36" s="21">
        <f t="shared" si="0"/>
        <v>309</v>
      </c>
      <c r="D36" s="25">
        <f t="shared" si="1"/>
        <v>145</v>
      </c>
      <c r="E36" s="54">
        <f t="shared" si="2"/>
        <v>0.88414634146341453</v>
      </c>
      <c r="F36" s="23">
        <v>0</v>
      </c>
      <c r="G36" s="25">
        <v>0</v>
      </c>
      <c r="H36" s="54" t="s">
        <v>121</v>
      </c>
      <c r="I36" s="23">
        <v>0</v>
      </c>
      <c r="J36" s="25">
        <v>0</v>
      </c>
      <c r="K36" s="54" t="s">
        <v>121</v>
      </c>
      <c r="L36" s="23">
        <v>0</v>
      </c>
      <c r="M36" s="25">
        <v>0</v>
      </c>
      <c r="N36" s="54" t="s">
        <v>121</v>
      </c>
      <c r="O36" s="23">
        <v>0</v>
      </c>
      <c r="P36" s="25">
        <v>0</v>
      </c>
      <c r="Q36" s="54" t="s">
        <v>121</v>
      </c>
      <c r="R36" s="23">
        <v>0</v>
      </c>
      <c r="S36" s="25">
        <v>0</v>
      </c>
      <c r="T36" s="54" t="s">
        <v>121</v>
      </c>
      <c r="U36" s="23">
        <v>0</v>
      </c>
      <c r="V36" s="25">
        <v>0</v>
      </c>
      <c r="W36" s="54" t="s">
        <v>121</v>
      </c>
      <c r="X36" s="23">
        <v>0</v>
      </c>
      <c r="Y36" s="25">
        <v>0</v>
      </c>
      <c r="Z36" s="54" t="s">
        <v>121</v>
      </c>
      <c r="AA36" s="23">
        <v>0</v>
      </c>
      <c r="AB36" s="25">
        <v>0</v>
      </c>
      <c r="AC36" s="54" t="s">
        <v>121</v>
      </c>
      <c r="AD36" s="23">
        <v>0</v>
      </c>
      <c r="AE36" s="25">
        <v>0</v>
      </c>
      <c r="AF36" s="54" t="s">
        <v>121</v>
      </c>
      <c r="AG36" s="23">
        <v>14</v>
      </c>
      <c r="AH36" s="25">
        <v>0</v>
      </c>
      <c r="AI36" s="54">
        <v>0</v>
      </c>
      <c r="AJ36" s="23">
        <v>0</v>
      </c>
      <c r="AK36" s="25">
        <v>0</v>
      </c>
      <c r="AL36" s="54" t="s">
        <v>121</v>
      </c>
      <c r="AM36" s="23">
        <v>0</v>
      </c>
      <c r="AN36" s="25">
        <v>0</v>
      </c>
      <c r="AO36" s="54" t="s">
        <v>121</v>
      </c>
      <c r="AP36" s="23">
        <v>0</v>
      </c>
      <c r="AQ36" s="25">
        <v>0</v>
      </c>
      <c r="AR36" s="54" t="s">
        <v>121</v>
      </c>
      <c r="AS36" s="23">
        <v>0</v>
      </c>
      <c r="AT36" s="25">
        <v>0</v>
      </c>
      <c r="AU36" s="54" t="s">
        <v>121</v>
      </c>
      <c r="AV36" s="23">
        <v>0</v>
      </c>
      <c r="AW36" s="25">
        <v>0</v>
      </c>
      <c r="AX36" s="54" t="s">
        <v>121</v>
      </c>
      <c r="AY36" s="23">
        <v>0</v>
      </c>
      <c r="AZ36" s="25">
        <v>0</v>
      </c>
      <c r="BA36" s="54" t="s">
        <v>121</v>
      </c>
      <c r="BB36" s="23">
        <v>0</v>
      </c>
      <c r="BC36" s="25">
        <v>0</v>
      </c>
      <c r="BD36" s="54" t="s">
        <v>121</v>
      </c>
      <c r="BE36" s="23">
        <v>14</v>
      </c>
      <c r="BF36" s="25">
        <v>0</v>
      </c>
      <c r="BG36" s="54">
        <v>0</v>
      </c>
      <c r="BH36" s="23">
        <v>0</v>
      </c>
      <c r="BI36" s="25">
        <v>0</v>
      </c>
      <c r="BJ36" s="54" t="s">
        <v>121</v>
      </c>
      <c r="BK36" s="23">
        <v>262</v>
      </c>
      <c r="BL36" s="25">
        <v>145</v>
      </c>
      <c r="BM36" s="54">
        <v>0.58878504672897192</v>
      </c>
      <c r="BN36" s="23">
        <v>21</v>
      </c>
      <c r="BO36" s="25">
        <v>0</v>
      </c>
      <c r="BP36" s="54" t="s">
        <v>121</v>
      </c>
      <c r="BQ36" s="23">
        <v>12</v>
      </c>
      <c r="BR36" s="25">
        <v>0</v>
      </c>
      <c r="BS36" s="54" t="s">
        <v>121</v>
      </c>
    </row>
    <row r="37" spans="2:71" s="4" customFormat="1" x14ac:dyDescent="0.5">
      <c r="B37" s="20" t="s">
        <v>50</v>
      </c>
      <c r="C37" s="21">
        <f t="shared" si="0"/>
        <v>380</v>
      </c>
      <c r="D37" s="25">
        <f t="shared" si="1"/>
        <v>126</v>
      </c>
      <c r="E37" s="54">
        <f t="shared" si="2"/>
        <v>0.49606299212598426</v>
      </c>
      <c r="F37" s="23">
        <v>10</v>
      </c>
      <c r="G37" s="25">
        <v>0</v>
      </c>
      <c r="H37" s="54">
        <v>0</v>
      </c>
      <c r="I37" s="23">
        <v>0</v>
      </c>
      <c r="J37" s="25">
        <v>0</v>
      </c>
      <c r="K37" s="54" t="s">
        <v>121</v>
      </c>
      <c r="L37" s="23">
        <v>0</v>
      </c>
      <c r="M37" s="25">
        <v>0</v>
      </c>
      <c r="N37" s="54" t="s">
        <v>121</v>
      </c>
      <c r="O37" s="23">
        <v>0</v>
      </c>
      <c r="P37" s="25">
        <v>0</v>
      </c>
      <c r="Q37" s="54" t="s">
        <v>121</v>
      </c>
      <c r="R37" s="23">
        <v>0</v>
      </c>
      <c r="S37" s="25">
        <v>0</v>
      </c>
      <c r="T37" s="54" t="s">
        <v>121</v>
      </c>
      <c r="U37" s="23">
        <v>0</v>
      </c>
      <c r="V37" s="25">
        <v>0</v>
      </c>
      <c r="W37" s="54" t="s">
        <v>121</v>
      </c>
      <c r="X37" s="23">
        <v>0</v>
      </c>
      <c r="Y37" s="25">
        <v>0</v>
      </c>
      <c r="Z37" s="54" t="s">
        <v>121</v>
      </c>
      <c r="AA37" s="23">
        <v>0</v>
      </c>
      <c r="AB37" s="25">
        <v>0</v>
      </c>
      <c r="AC37" s="54" t="s">
        <v>121</v>
      </c>
      <c r="AD37" s="23">
        <v>10</v>
      </c>
      <c r="AE37" s="25">
        <v>0</v>
      </c>
      <c r="AF37" s="54">
        <v>0</v>
      </c>
      <c r="AG37" s="23">
        <v>17</v>
      </c>
      <c r="AH37" s="25">
        <v>0</v>
      </c>
      <c r="AI37" s="54">
        <v>0</v>
      </c>
      <c r="AJ37" s="23">
        <v>0</v>
      </c>
      <c r="AK37" s="25">
        <v>0</v>
      </c>
      <c r="AL37" s="54" t="s">
        <v>121</v>
      </c>
      <c r="AM37" s="23">
        <v>0</v>
      </c>
      <c r="AN37" s="25">
        <v>0</v>
      </c>
      <c r="AO37" s="54" t="s">
        <v>121</v>
      </c>
      <c r="AP37" s="23">
        <v>0</v>
      </c>
      <c r="AQ37" s="25">
        <v>0</v>
      </c>
      <c r="AR37" s="54" t="s">
        <v>121</v>
      </c>
      <c r="AS37" s="23">
        <v>0</v>
      </c>
      <c r="AT37" s="25">
        <v>0</v>
      </c>
      <c r="AU37" s="54" t="s">
        <v>121</v>
      </c>
      <c r="AV37" s="23">
        <v>0</v>
      </c>
      <c r="AW37" s="25">
        <v>0</v>
      </c>
      <c r="AX37" s="54" t="s">
        <v>121</v>
      </c>
      <c r="AY37" s="23">
        <v>0</v>
      </c>
      <c r="AZ37" s="25">
        <v>0</v>
      </c>
      <c r="BA37" s="54" t="s">
        <v>121</v>
      </c>
      <c r="BB37" s="23">
        <v>0</v>
      </c>
      <c r="BC37" s="25">
        <v>0</v>
      </c>
      <c r="BD37" s="54" t="s">
        <v>121</v>
      </c>
      <c r="BE37" s="23">
        <v>10</v>
      </c>
      <c r="BF37" s="25">
        <v>0</v>
      </c>
      <c r="BG37" s="54">
        <v>0</v>
      </c>
      <c r="BH37" s="23">
        <v>7</v>
      </c>
      <c r="BI37" s="25">
        <v>0</v>
      </c>
      <c r="BJ37" s="54" t="s">
        <v>121</v>
      </c>
      <c r="BK37" s="23">
        <v>340</v>
      </c>
      <c r="BL37" s="25">
        <v>126</v>
      </c>
      <c r="BM37" s="54">
        <v>1.0993788819875778</v>
      </c>
      <c r="BN37" s="23">
        <v>0</v>
      </c>
      <c r="BO37" s="25">
        <v>0</v>
      </c>
      <c r="BP37" s="54" t="s">
        <v>121</v>
      </c>
      <c r="BQ37" s="23">
        <v>13</v>
      </c>
      <c r="BR37" s="25">
        <v>0</v>
      </c>
      <c r="BS37" s="54">
        <v>0</v>
      </c>
    </row>
    <row r="38" spans="2:71" s="4" customFormat="1" x14ac:dyDescent="0.5">
      <c r="B38" s="20" t="s">
        <v>51</v>
      </c>
      <c r="C38" s="21">
        <f t="shared" si="0"/>
        <v>350</v>
      </c>
      <c r="D38" s="25">
        <f t="shared" si="1"/>
        <v>177</v>
      </c>
      <c r="E38" s="54">
        <f t="shared" si="2"/>
        <v>1.0231213872832372</v>
      </c>
      <c r="F38" s="23">
        <v>0</v>
      </c>
      <c r="G38" s="25">
        <v>0</v>
      </c>
      <c r="H38" s="54" t="s">
        <v>121</v>
      </c>
      <c r="I38" s="23">
        <v>0</v>
      </c>
      <c r="J38" s="25">
        <v>0</v>
      </c>
      <c r="K38" s="54" t="s">
        <v>121</v>
      </c>
      <c r="L38" s="23">
        <v>0</v>
      </c>
      <c r="M38" s="25">
        <v>0</v>
      </c>
      <c r="N38" s="54" t="s">
        <v>121</v>
      </c>
      <c r="O38" s="23">
        <v>0</v>
      </c>
      <c r="P38" s="25">
        <v>0</v>
      </c>
      <c r="Q38" s="54" t="s">
        <v>121</v>
      </c>
      <c r="R38" s="23">
        <v>0</v>
      </c>
      <c r="S38" s="25">
        <v>0</v>
      </c>
      <c r="T38" s="54" t="s">
        <v>121</v>
      </c>
      <c r="U38" s="23">
        <v>0</v>
      </c>
      <c r="V38" s="25">
        <v>0</v>
      </c>
      <c r="W38" s="54" t="s">
        <v>121</v>
      </c>
      <c r="X38" s="23">
        <v>0</v>
      </c>
      <c r="Y38" s="25">
        <v>0</v>
      </c>
      <c r="Z38" s="54" t="s">
        <v>121</v>
      </c>
      <c r="AA38" s="23">
        <v>0</v>
      </c>
      <c r="AB38" s="25">
        <v>0</v>
      </c>
      <c r="AC38" s="54" t="s">
        <v>121</v>
      </c>
      <c r="AD38" s="23">
        <v>0</v>
      </c>
      <c r="AE38" s="25">
        <v>0</v>
      </c>
      <c r="AF38" s="54" t="s">
        <v>121</v>
      </c>
      <c r="AG38" s="23">
        <v>0</v>
      </c>
      <c r="AH38" s="25">
        <v>0</v>
      </c>
      <c r="AI38" s="54" t="s">
        <v>121</v>
      </c>
      <c r="AJ38" s="23">
        <v>0</v>
      </c>
      <c r="AK38" s="25">
        <v>0</v>
      </c>
      <c r="AL38" s="54" t="s">
        <v>121</v>
      </c>
      <c r="AM38" s="23">
        <v>0</v>
      </c>
      <c r="AN38" s="25">
        <v>0</v>
      </c>
      <c r="AO38" s="54" t="s">
        <v>121</v>
      </c>
      <c r="AP38" s="23">
        <v>0</v>
      </c>
      <c r="AQ38" s="25">
        <v>0</v>
      </c>
      <c r="AR38" s="54" t="s">
        <v>121</v>
      </c>
      <c r="AS38" s="23">
        <v>0</v>
      </c>
      <c r="AT38" s="25">
        <v>0</v>
      </c>
      <c r="AU38" s="54" t="s">
        <v>121</v>
      </c>
      <c r="AV38" s="23">
        <v>0</v>
      </c>
      <c r="AW38" s="25">
        <v>0</v>
      </c>
      <c r="AX38" s="54" t="s">
        <v>121</v>
      </c>
      <c r="AY38" s="23">
        <v>0</v>
      </c>
      <c r="AZ38" s="25">
        <v>0</v>
      </c>
      <c r="BA38" s="54" t="s">
        <v>121</v>
      </c>
      <c r="BB38" s="23">
        <v>0</v>
      </c>
      <c r="BC38" s="25">
        <v>0</v>
      </c>
      <c r="BD38" s="54" t="s">
        <v>121</v>
      </c>
      <c r="BE38" s="23">
        <v>0</v>
      </c>
      <c r="BF38" s="25">
        <v>0</v>
      </c>
      <c r="BG38" s="54" t="s">
        <v>121</v>
      </c>
      <c r="BH38" s="23">
        <v>0</v>
      </c>
      <c r="BI38" s="25">
        <v>0</v>
      </c>
      <c r="BJ38" s="54" t="s">
        <v>121</v>
      </c>
      <c r="BK38" s="23">
        <v>338</v>
      </c>
      <c r="BL38" s="25">
        <v>177</v>
      </c>
      <c r="BM38" s="54">
        <v>1.4224598930481283</v>
      </c>
      <c r="BN38" s="23">
        <v>0</v>
      </c>
      <c r="BO38" s="25">
        <v>0</v>
      </c>
      <c r="BP38" s="54" t="s">
        <v>121</v>
      </c>
      <c r="BQ38" s="23">
        <v>12</v>
      </c>
      <c r="BR38" s="25">
        <v>0</v>
      </c>
      <c r="BS38" s="54">
        <v>0</v>
      </c>
    </row>
    <row r="39" spans="2:71" s="4" customFormat="1" x14ac:dyDescent="0.5">
      <c r="B39" s="20" t="s">
        <v>52</v>
      </c>
      <c r="C39" s="21">
        <f t="shared" si="0"/>
        <v>624</v>
      </c>
      <c r="D39" s="25">
        <f t="shared" si="1"/>
        <v>266</v>
      </c>
      <c r="E39" s="54">
        <f t="shared" si="2"/>
        <v>0.74301675977653625</v>
      </c>
      <c r="F39" s="23">
        <v>119</v>
      </c>
      <c r="G39" s="25">
        <v>0</v>
      </c>
      <c r="H39" s="54">
        <v>0</v>
      </c>
      <c r="I39" s="23">
        <v>17</v>
      </c>
      <c r="J39" s="25">
        <v>0</v>
      </c>
      <c r="K39" s="54">
        <v>0</v>
      </c>
      <c r="L39" s="23">
        <v>28</v>
      </c>
      <c r="M39" s="25">
        <v>0</v>
      </c>
      <c r="N39" s="54">
        <v>0</v>
      </c>
      <c r="O39" s="23">
        <v>32</v>
      </c>
      <c r="P39" s="25">
        <v>0</v>
      </c>
      <c r="Q39" s="54">
        <v>0</v>
      </c>
      <c r="R39" s="23">
        <v>42</v>
      </c>
      <c r="S39" s="25">
        <v>0</v>
      </c>
      <c r="T39" s="54">
        <v>0</v>
      </c>
      <c r="U39" s="23">
        <v>0</v>
      </c>
      <c r="V39" s="25">
        <v>0</v>
      </c>
      <c r="W39" s="54" t="s">
        <v>121</v>
      </c>
      <c r="X39" s="23">
        <v>0</v>
      </c>
      <c r="Y39" s="25">
        <v>0</v>
      </c>
      <c r="Z39" s="54" t="s">
        <v>121</v>
      </c>
      <c r="AA39" s="23">
        <v>0</v>
      </c>
      <c r="AB39" s="25">
        <v>0</v>
      </c>
      <c r="AC39" s="54" t="s">
        <v>121</v>
      </c>
      <c r="AD39" s="23">
        <v>0</v>
      </c>
      <c r="AE39" s="25">
        <v>0</v>
      </c>
      <c r="AF39" s="54" t="s">
        <v>121</v>
      </c>
      <c r="AG39" s="23">
        <v>6</v>
      </c>
      <c r="AH39" s="25">
        <v>0</v>
      </c>
      <c r="AI39" s="54">
        <v>0</v>
      </c>
      <c r="AJ39" s="23">
        <v>0</v>
      </c>
      <c r="AK39" s="25">
        <v>0</v>
      </c>
      <c r="AL39" s="54" t="s">
        <v>121</v>
      </c>
      <c r="AM39" s="23">
        <v>0</v>
      </c>
      <c r="AN39" s="25">
        <v>0</v>
      </c>
      <c r="AO39" s="54" t="s">
        <v>121</v>
      </c>
      <c r="AP39" s="23">
        <v>0</v>
      </c>
      <c r="AQ39" s="25">
        <v>0</v>
      </c>
      <c r="AR39" s="54" t="s">
        <v>121</v>
      </c>
      <c r="AS39" s="23">
        <v>0</v>
      </c>
      <c r="AT39" s="25">
        <v>0</v>
      </c>
      <c r="AU39" s="54" t="s">
        <v>121</v>
      </c>
      <c r="AV39" s="23">
        <v>0</v>
      </c>
      <c r="AW39" s="25">
        <v>0</v>
      </c>
      <c r="AX39" s="54" t="s">
        <v>121</v>
      </c>
      <c r="AY39" s="23">
        <v>0</v>
      </c>
      <c r="AZ39" s="25">
        <v>0</v>
      </c>
      <c r="BA39" s="54" t="s">
        <v>121</v>
      </c>
      <c r="BB39" s="23">
        <v>0</v>
      </c>
      <c r="BC39" s="25">
        <v>0</v>
      </c>
      <c r="BD39" s="54" t="s">
        <v>121</v>
      </c>
      <c r="BE39" s="23">
        <v>0</v>
      </c>
      <c r="BF39" s="25">
        <v>0</v>
      </c>
      <c r="BG39" s="54" t="s">
        <v>121</v>
      </c>
      <c r="BH39" s="23">
        <v>6</v>
      </c>
      <c r="BI39" s="25">
        <v>0</v>
      </c>
      <c r="BJ39" s="54" t="s">
        <v>121</v>
      </c>
      <c r="BK39" s="23">
        <v>453</v>
      </c>
      <c r="BL39" s="25">
        <v>266</v>
      </c>
      <c r="BM39" s="54">
        <v>-1</v>
      </c>
      <c r="BN39" s="23">
        <v>40</v>
      </c>
      <c r="BO39" s="25">
        <v>0</v>
      </c>
      <c r="BP39" s="54">
        <v>0</v>
      </c>
      <c r="BQ39" s="23">
        <v>6</v>
      </c>
      <c r="BR39" s="25">
        <v>0</v>
      </c>
      <c r="BS39" s="54">
        <v>0</v>
      </c>
    </row>
    <row r="40" spans="2:71" s="4" customFormat="1" x14ac:dyDescent="0.5">
      <c r="B40" s="20"/>
      <c r="C40" s="21"/>
      <c r="D40" s="25"/>
      <c r="E40" s="54"/>
      <c r="F40" s="23"/>
      <c r="G40" s="25"/>
      <c r="H40" s="54"/>
      <c r="I40" s="23"/>
      <c r="J40" s="25"/>
      <c r="K40" s="54"/>
      <c r="L40" s="23"/>
      <c r="M40" s="25"/>
      <c r="N40" s="54"/>
      <c r="O40" s="23"/>
      <c r="P40" s="25"/>
      <c r="Q40" s="54"/>
      <c r="R40" s="23"/>
      <c r="S40" s="25"/>
      <c r="T40" s="54"/>
      <c r="U40" s="23"/>
      <c r="V40" s="25"/>
      <c r="W40" s="54"/>
      <c r="X40" s="23"/>
      <c r="Y40" s="25"/>
      <c r="Z40" s="54"/>
      <c r="AA40" s="23"/>
      <c r="AB40" s="25"/>
      <c r="AC40" s="54"/>
      <c r="AD40" s="23"/>
      <c r="AE40" s="25"/>
      <c r="AF40" s="54"/>
      <c r="AG40" s="23"/>
      <c r="AH40" s="25"/>
      <c r="AI40" s="54"/>
      <c r="AJ40" s="23"/>
      <c r="AK40" s="25"/>
      <c r="AL40" s="54"/>
      <c r="AM40" s="23"/>
      <c r="AN40" s="25"/>
      <c r="AO40" s="54"/>
      <c r="AP40" s="23"/>
      <c r="AQ40" s="25"/>
      <c r="AR40" s="54"/>
      <c r="AS40" s="23"/>
      <c r="AT40" s="25"/>
      <c r="AU40" s="54"/>
      <c r="AV40" s="23"/>
      <c r="AW40" s="25"/>
      <c r="AX40" s="54"/>
      <c r="AY40" s="23"/>
      <c r="AZ40" s="25"/>
      <c r="BA40" s="54"/>
      <c r="BB40" s="23"/>
      <c r="BC40" s="25"/>
      <c r="BD40" s="54"/>
      <c r="BE40" s="23"/>
      <c r="BF40" s="25"/>
      <c r="BG40" s="54"/>
      <c r="BH40" s="23"/>
      <c r="BI40" s="25"/>
      <c r="BJ40" s="54"/>
      <c r="BK40" s="23"/>
      <c r="BL40" s="25"/>
      <c r="BM40" s="54"/>
      <c r="BN40" s="23"/>
      <c r="BO40" s="25"/>
      <c r="BP40" s="54"/>
      <c r="BQ40" s="23"/>
      <c r="BR40" s="25"/>
      <c r="BS40" s="54"/>
    </row>
    <row r="41" spans="2:71" s="4" customFormat="1" ht="6" customHeight="1" x14ac:dyDescent="0.5">
      <c r="B41" s="28"/>
      <c r="C41" s="28"/>
      <c r="D41" s="28"/>
      <c r="E41" s="28"/>
      <c r="F41" s="28"/>
      <c r="G41" s="28"/>
      <c r="H41" s="28"/>
      <c r="I41" s="28"/>
      <c r="J41" s="28"/>
      <c r="K41" s="54"/>
      <c r="L41" s="28"/>
      <c r="M41" s="28"/>
      <c r="N41" s="54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</row>
    <row r="42" spans="2:71" s="4" customFormat="1" ht="29.25" customHeight="1" x14ac:dyDescent="0.5">
      <c r="B42" s="108" t="s">
        <v>53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30"/>
      <c r="Z42" s="57"/>
      <c r="AA42" s="57"/>
      <c r="AB42" s="30"/>
      <c r="AC42" s="57"/>
      <c r="AD42" s="57"/>
      <c r="AE42" s="30"/>
      <c r="AF42" s="57"/>
      <c r="AG42" s="57"/>
      <c r="AH42" s="30"/>
      <c r="AI42" s="57"/>
      <c r="AJ42" s="57"/>
      <c r="AK42" s="30"/>
      <c r="AL42" s="57"/>
      <c r="AM42" s="57"/>
      <c r="AN42" s="30"/>
      <c r="AO42" s="57"/>
      <c r="AP42" s="57"/>
      <c r="AQ42" s="30"/>
      <c r="AR42" s="57"/>
      <c r="AS42" s="57"/>
      <c r="AT42" s="30"/>
      <c r="AU42" s="57"/>
      <c r="AV42" s="57"/>
      <c r="AW42" s="30"/>
      <c r="AX42" s="57"/>
      <c r="AY42" s="57"/>
      <c r="AZ42" s="30"/>
      <c r="BA42" s="57"/>
      <c r="BB42" s="57"/>
      <c r="BC42" s="30"/>
      <c r="BD42" s="57"/>
      <c r="BE42" s="57"/>
      <c r="BF42" s="30"/>
      <c r="BG42" s="57"/>
      <c r="BH42" s="57"/>
      <c r="BI42" s="30"/>
      <c r="BJ42" s="57"/>
      <c r="BK42" s="57"/>
      <c r="BL42" s="30"/>
      <c r="BM42" s="57"/>
      <c r="BN42" s="57"/>
      <c r="BO42" s="30"/>
      <c r="BP42" s="57"/>
      <c r="BQ42" s="57"/>
      <c r="BR42" s="30"/>
      <c r="BS42" s="57"/>
    </row>
    <row r="43" spans="2:71" s="4" customFormat="1" x14ac:dyDescent="0.5"/>
    <row r="54" spans="1:71" ht="30" customHeight="1" x14ac:dyDescent="0.5"/>
    <row r="56" spans="1:71" s="4" customFormat="1" ht="48" customHeight="1" x14ac:dyDescent="0.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</row>
    <row r="57" spans="1:71" s="4" customFormat="1" ht="6" customHeight="1" x14ac:dyDescent="0.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</row>
    <row r="58" spans="1:71" s="4" customFormat="1" x14ac:dyDescent="0.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</row>
    <row r="61" spans="1:71" s="4" customFormat="1" x14ac:dyDescent="0.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</row>
    <row r="62" spans="1:71" s="4" customFormat="1" x14ac:dyDescent="0.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</row>
    <row r="63" spans="1:71" s="4" customFormat="1" x14ac:dyDescent="0.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</row>
    <row r="64" spans="1:71" s="4" customFormat="1" x14ac:dyDescent="0.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</row>
    <row r="65" spans="1:71" s="4" customFormat="1" ht="6" customHeight="1" x14ac:dyDescent="0.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</row>
    <row r="66" spans="1:71" s="4" customFormat="1" x14ac:dyDescent="0.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</row>
    <row r="67" spans="1:71" s="4" customFormat="1" x14ac:dyDescent="0.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</row>
  </sheetData>
  <mergeCells count="28">
    <mergeCell ref="B42:X42"/>
    <mergeCell ref="AM6:AO6"/>
    <mergeCell ref="AP6:AR6"/>
    <mergeCell ref="AS6:AU6"/>
    <mergeCell ref="AV6:AX6"/>
    <mergeCell ref="B6:B7"/>
    <mergeCell ref="C6:E6"/>
    <mergeCell ref="F6:H6"/>
    <mergeCell ref="I6:K6"/>
    <mergeCell ref="L6:N6"/>
    <mergeCell ref="O6:Q6"/>
    <mergeCell ref="R6:T6"/>
    <mergeCell ref="U6:W6"/>
    <mergeCell ref="X6:Z6"/>
    <mergeCell ref="B3:Z3"/>
    <mergeCell ref="F5:AF5"/>
    <mergeCell ref="AG5:BJ5"/>
    <mergeCell ref="BE6:BG6"/>
    <mergeCell ref="BH6:BJ6"/>
    <mergeCell ref="AY6:BA6"/>
    <mergeCell ref="BB6:BD6"/>
    <mergeCell ref="BK5:BM6"/>
    <mergeCell ref="BN5:BP6"/>
    <mergeCell ref="BQ5:BS6"/>
    <mergeCell ref="AA6:AC6"/>
    <mergeCell ref="AD6:AF6"/>
    <mergeCell ref="AG6:AI6"/>
    <mergeCell ref="AJ6:AL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ECEB-04A7-4C3D-BF26-40DE440DA095}">
  <sheetPr>
    <tabColor rgb="FF92D050"/>
  </sheetPr>
  <dimension ref="A1:BG41"/>
  <sheetViews>
    <sheetView showGridLines="0" topLeftCell="A4" zoomScale="91" zoomScaleNormal="91" workbookViewId="0">
      <selection activeCell="J19" sqref="J19"/>
    </sheetView>
  </sheetViews>
  <sheetFormatPr baseColWidth="10" defaultRowHeight="14.35" x14ac:dyDescent="0.5"/>
  <cols>
    <col min="2" max="2" width="18" customWidth="1"/>
    <col min="3" max="3" width="30" customWidth="1"/>
    <col min="4" max="9" width="15.41015625" customWidth="1"/>
    <col min="10" max="10" width="15.5859375" customWidth="1"/>
    <col min="11" max="11" width="29.41015625" customWidth="1"/>
    <col min="12" max="12" width="25.5859375" bestFit="1" customWidth="1"/>
    <col min="13" max="13" width="24.41015625" customWidth="1"/>
    <col min="14" max="14" width="25.5859375" bestFit="1" customWidth="1"/>
    <col min="15" max="15" width="24.41015625" customWidth="1"/>
    <col min="16" max="16" width="30.1171875" bestFit="1" customWidth="1"/>
    <col min="17" max="17" width="30.5859375" bestFit="1" customWidth="1"/>
    <col min="18" max="18" width="29.41015625" customWidth="1"/>
    <col min="19" max="19" width="29.41015625" bestFit="1" customWidth="1"/>
  </cols>
  <sheetData>
    <row r="1" spans="3:59" ht="30" customHeight="1" x14ac:dyDescent="0.9">
      <c r="C1" s="58" t="s">
        <v>97</v>
      </c>
      <c r="D1" s="59" t="s">
        <v>21</v>
      </c>
      <c r="E1" s="59"/>
      <c r="F1" s="59"/>
      <c r="G1" s="59"/>
    </row>
    <row r="3" spans="3:59" s="4" customFormat="1" ht="33.700000000000003" customHeight="1" x14ac:dyDescent="0.5">
      <c r="C3" s="111" t="str">
        <f>CONCATENATE("Plazas turísticas inscritas* en ",D1," según tipología y categoría del establecimiento
Distribución por categoría")</f>
        <v>Plazas turísticas inscritas* en Total Isla según tipología y categoría del establecimiento
Distribución por categoría</v>
      </c>
      <c r="D3" s="111"/>
      <c r="E3" s="111"/>
      <c r="F3" s="111"/>
      <c r="G3" s="111"/>
      <c r="H3" s="111"/>
      <c r="I3" s="60"/>
    </row>
    <row r="4" spans="3:59" s="4" customFormat="1" ht="16.5" customHeight="1" thickBot="1" x14ac:dyDescent="0.55000000000000004">
      <c r="C4" s="112" t="s">
        <v>122</v>
      </c>
      <c r="D4" s="112"/>
      <c r="E4" s="112"/>
      <c r="F4" s="61"/>
      <c r="G4" s="61"/>
      <c r="H4" s="61"/>
      <c r="I4" s="60"/>
    </row>
    <row r="5" spans="3:59" ht="6" customHeight="1" x14ac:dyDescent="0.5">
      <c r="C5" s="62"/>
      <c r="D5" s="62"/>
      <c r="E5" s="62"/>
      <c r="F5" s="62"/>
      <c r="G5" s="62"/>
      <c r="H5" s="62"/>
      <c r="I5" s="60"/>
      <c r="J5" s="4"/>
    </row>
    <row r="6" spans="3:59" s="4" customFormat="1" ht="37.5" customHeight="1" x14ac:dyDescent="0.5">
      <c r="C6" s="13"/>
      <c r="D6" s="14" t="s">
        <v>19</v>
      </c>
      <c r="E6" s="15" t="s">
        <v>20</v>
      </c>
      <c r="F6" s="15" t="s">
        <v>98</v>
      </c>
      <c r="G6" s="63" t="s">
        <v>99</v>
      </c>
      <c r="H6" s="15" t="s">
        <v>100</v>
      </c>
    </row>
    <row r="7" spans="3:59" s="19" customFormat="1" ht="15.7" x14ac:dyDescent="0.55000000000000004">
      <c r="C7" s="64" t="s">
        <v>11</v>
      </c>
      <c r="D7" s="65">
        <f>VLOOKUP($D$1,'plazas aut municipio x cat'!$B$8:$BS$39,5,FALSE)</f>
        <v>87933</v>
      </c>
      <c r="E7" s="66">
        <f>D7/$D$30</f>
        <v>0.36116713010691298</v>
      </c>
      <c r="F7" s="66">
        <f>D7/$D$28</f>
        <v>0.6542926023483191</v>
      </c>
      <c r="G7" s="65">
        <f>VLOOKUP($D$1,'plazas aut municipio x cat'!$B$8:$BS$39,5+1,FALSE)</f>
        <v>1644</v>
      </c>
      <c r="H7" s="67">
        <f>VLOOKUP($D$1,'plazas aut municipio x cat'!$B$8:$BS$39,5+2,FALSE)</f>
        <v>1.9064064528091951E-2</v>
      </c>
    </row>
    <row r="8" spans="3:59" s="4" customFormat="1" x14ac:dyDescent="0.5">
      <c r="C8" s="68" t="s">
        <v>61</v>
      </c>
      <c r="D8" s="23">
        <f>VLOOKUP($D$1,'plazas aut municipio x cat'!$B$8:$BS$39,8,FALSE)</f>
        <v>1218</v>
      </c>
      <c r="E8" s="22">
        <f t="shared" ref="E8:E30" si="0">D8/$D$30</f>
        <v>5.0026902808981838E-3</v>
      </c>
      <c r="F8" s="22">
        <f t="shared" ref="F8:F28" si="1">D8/$D$28</f>
        <v>9.0629045939550866E-3</v>
      </c>
      <c r="G8" s="23">
        <f>VLOOKUP($D$1,'plazas aut municipio x cat'!$B$8:$BS$39,8+1,FALSE)</f>
        <v>31</v>
      </c>
      <c r="H8" s="69">
        <f>VLOOKUP($D$1,'plazas aut municipio x cat'!$B$8:$BS$39,8+2,FALSE)</f>
        <v>2.6116259477674708E-2</v>
      </c>
      <c r="J8"/>
      <c r="AF8" s="4" t="e">
        <v>#REF!</v>
      </c>
      <c r="BG8" s="4">
        <v>0</v>
      </c>
    </row>
    <row r="9" spans="3:59" s="4" customFormat="1" x14ac:dyDescent="0.5">
      <c r="C9" s="68" t="s">
        <v>62</v>
      </c>
      <c r="D9" s="23">
        <f>VLOOKUP($D$1,'plazas aut municipio x cat'!$B$8:$BS$39,11,FALSE)</f>
        <v>1953</v>
      </c>
      <c r="E9" s="22">
        <f t="shared" si="0"/>
        <v>8.0215551055781223E-3</v>
      </c>
      <c r="F9" s="22">
        <f t="shared" si="1"/>
        <v>1.4531898745479709E-2</v>
      </c>
      <c r="G9" s="23">
        <f>VLOOKUP($D$1,'plazas aut municipio x cat'!$B$8:$BS$39,11+1,FALSE)</f>
        <v>0</v>
      </c>
      <c r="H9" s="69">
        <f>VLOOKUP($D$1,'plazas aut municipio x cat'!$B$8:$BS$39,11+2,FALSE)</f>
        <v>0</v>
      </c>
      <c r="J9"/>
      <c r="AF9" s="4">
        <v>0</v>
      </c>
      <c r="BG9" s="4">
        <v>0</v>
      </c>
    </row>
    <row r="10" spans="3:59" s="4" customFormat="1" x14ac:dyDescent="0.5">
      <c r="C10" s="68" t="s">
        <v>63</v>
      </c>
      <c r="D10" s="23">
        <f>VLOOKUP($D$1,'plazas aut municipio x cat'!$B$8:$BS$39,14,FALSE)</f>
        <v>13421</v>
      </c>
      <c r="E10" s="22">
        <f t="shared" si="0"/>
        <v>5.5124060968747564E-2</v>
      </c>
      <c r="F10" s="22">
        <f t="shared" si="1"/>
        <v>9.9863089126002655E-2</v>
      </c>
      <c r="G10" s="23">
        <f>VLOOKUP($D$1,'plazas aut municipio x cat'!$B$8:$BS$39,14+1,FALSE)</f>
        <v>-286</v>
      </c>
      <c r="H10" s="69">
        <f>VLOOKUP($D$1,'plazas aut municipio x cat'!$B$8:$BS$39,14+2,FALSE)</f>
        <v>-2.0865251331436463E-2</v>
      </c>
      <c r="J10"/>
      <c r="AF10" s="4">
        <v>0</v>
      </c>
      <c r="BG10" s="4">
        <v>0</v>
      </c>
    </row>
    <row r="11" spans="3:59" s="4" customFormat="1" x14ac:dyDescent="0.5">
      <c r="C11" s="68" t="s">
        <v>64</v>
      </c>
      <c r="D11" s="23">
        <f>VLOOKUP($D$1,'plazas aut municipio x cat'!$B$8:$BS$39,17,FALSE)</f>
        <v>54391</v>
      </c>
      <c r="E11" s="22">
        <f t="shared" si="0"/>
        <v>0.22340010432539667</v>
      </c>
      <c r="F11" s="22">
        <f t="shared" si="1"/>
        <v>0.40471300802119142</v>
      </c>
      <c r="G11" s="23">
        <f>VLOOKUP($D$1,'plazas aut municipio x cat'!$B$8:$BS$39,17+1,FALSE)</f>
        <v>284</v>
      </c>
      <c r="H11" s="69">
        <f>VLOOKUP($D$1,'plazas aut municipio x cat'!$B$8:$BS$39,17+2,FALSE)</f>
        <v>5.2488587428614064E-3</v>
      </c>
      <c r="J11"/>
      <c r="AF11" s="4">
        <v>0</v>
      </c>
      <c r="BG11" s="4">
        <v>0</v>
      </c>
    </row>
    <row r="12" spans="3:59" s="4" customFormat="1" x14ac:dyDescent="0.5">
      <c r="C12" s="68" t="s">
        <v>65</v>
      </c>
      <c r="D12" s="23">
        <f>VLOOKUP($D$1,'plazas aut municipio x cat'!$B$8:$BS$39,20,FALSE)</f>
        <v>10381</v>
      </c>
      <c r="E12" s="22">
        <f t="shared" si="0"/>
        <v>4.2637871761908086E-2</v>
      </c>
      <c r="F12" s="22">
        <f t="shared" si="1"/>
        <v>7.7243031682962038E-2</v>
      </c>
      <c r="G12" s="23">
        <f>VLOOKUP($D$1,'plazas aut municipio x cat'!$B$8:$BS$39,20+1,FALSE)</f>
        <v>1072</v>
      </c>
      <c r="H12" s="69">
        <f>VLOOKUP($D$1,'plazas aut municipio x cat'!$B$8:$BS$39,20+2,FALSE)</f>
        <v>0.11515737458373621</v>
      </c>
      <c r="J12"/>
      <c r="AF12" s="4">
        <v>0</v>
      </c>
      <c r="BG12" s="4">
        <v>0</v>
      </c>
    </row>
    <row r="13" spans="3:59" s="4" customFormat="1" x14ac:dyDescent="0.5">
      <c r="C13" s="68" t="s">
        <v>66</v>
      </c>
      <c r="D13" s="23">
        <f>VLOOKUP($D$1,'plazas aut municipio x cat'!$B$8:$BS$39,23,FALSE)</f>
        <v>2822</v>
      </c>
      <c r="E13" s="22">
        <f t="shared" si="0"/>
        <v>1.1590798007138485E-2</v>
      </c>
      <c r="F13" s="22">
        <f t="shared" si="1"/>
        <v>2.0997961218506778E-2</v>
      </c>
      <c r="G13" s="23">
        <f>VLOOKUP($D$1,'plazas aut municipio x cat'!$B$8:$BS$39,23+1,FALSE)</f>
        <v>0</v>
      </c>
      <c r="H13" s="69">
        <f>VLOOKUP($D$1,'plazas aut municipio x cat'!$B$8:$BS$39,23+2,FALSE)</f>
        <v>0</v>
      </c>
      <c r="J13"/>
      <c r="AF13" s="4">
        <v>0</v>
      </c>
      <c r="BG13" s="4">
        <v>0</v>
      </c>
    </row>
    <row r="14" spans="3:59" s="4" customFormat="1" x14ac:dyDescent="0.5">
      <c r="C14" s="68" t="s">
        <v>67</v>
      </c>
      <c r="D14" s="23">
        <f>VLOOKUP($D$1,'plazas aut municipio x cat'!$B$8:$BS$39,26,FALSE)</f>
        <v>3587</v>
      </c>
      <c r="E14" s="22">
        <f t="shared" si="0"/>
        <v>1.473288180425434E-2</v>
      </c>
      <c r="F14" s="22">
        <f t="shared" si="1"/>
        <v>2.6690179621114037E-2</v>
      </c>
      <c r="G14" s="23">
        <f>VLOOKUP($D$1,'plazas aut municipio x cat'!$B$8:$BS$39,26+1,FALSE)</f>
        <v>544</v>
      </c>
      <c r="H14" s="69">
        <f>VLOOKUP($D$1,'plazas aut municipio x cat'!$B$8:$BS$39,26+2,FALSE)</f>
        <v>0.17877094972067042</v>
      </c>
      <c r="J14"/>
      <c r="AF14" s="4">
        <v>0</v>
      </c>
      <c r="BG14" s="4">
        <v>0</v>
      </c>
    </row>
    <row r="15" spans="3:59" s="4" customFormat="1" x14ac:dyDescent="0.5">
      <c r="C15" s="70" t="s">
        <v>68</v>
      </c>
      <c r="D15" s="23">
        <f>VLOOKUP($D$1,'plazas aut municipio x cat'!$B$8:$BS$39,29,FALSE)</f>
        <v>160</v>
      </c>
      <c r="E15" s="22">
        <f t="shared" si="0"/>
        <v>6.5716785299155126E-4</v>
      </c>
      <c r="F15" s="22">
        <f t="shared" si="1"/>
        <v>1.1905293391074006E-3</v>
      </c>
      <c r="G15" s="23">
        <f>VLOOKUP($D$1,'plazas aut municipio x cat'!$B$8:$BS$39,29+1,FALSE)</f>
        <v>0</v>
      </c>
      <c r="H15" s="69">
        <f>VLOOKUP($D$1,'plazas aut municipio x cat'!$B$8:$BS$39,29+2,FALSE)</f>
        <v>0</v>
      </c>
      <c r="J15"/>
      <c r="AF15" s="4">
        <v>0</v>
      </c>
      <c r="BG15" s="4">
        <v>0</v>
      </c>
    </row>
    <row r="16" spans="3:59" s="4" customFormat="1" x14ac:dyDescent="0.5">
      <c r="C16" s="64" t="s">
        <v>12</v>
      </c>
      <c r="D16" s="65">
        <f>VLOOKUP($D$1,'plazas aut municipio x cat'!$B$8:$BS$39,32,FALSE)</f>
        <v>44872</v>
      </c>
      <c r="E16" s="66">
        <f t="shared" si="0"/>
        <v>0.18430272437148057</v>
      </c>
      <c r="F16" s="66">
        <f t="shared" si="1"/>
        <v>0.3338839531526705</v>
      </c>
      <c r="G16" s="65">
        <f>VLOOKUP($D$1,'plazas aut municipio x cat'!$B$8:$BS$39,32+1,FALSE)</f>
        <v>-2861</v>
      </c>
      <c r="H16" s="67">
        <f>VLOOKUP($D$1,'plazas aut municipio x cat'!$B$8:$BS$39,32+2,FALSE)</f>
        <v>-5.3502621438948905E-2</v>
      </c>
      <c r="J16"/>
      <c r="AF16" s="4">
        <v>0</v>
      </c>
      <c r="BG16" s="4">
        <v>0</v>
      </c>
    </row>
    <row r="17" spans="1:59" s="4" customFormat="1" x14ac:dyDescent="0.5">
      <c r="C17" s="68" t="s">
        <v>70</v>
      </c>
      <c r="D17" s="23">
        <f>VLOOKUP($D$1,'plazas aut municipio x cat'!$B$8:$BS$39,35,FALSE)</f>
        <v>6577</v>
      </c>
      <c r="E17" s="22">
        <f t="shared" si="0"/>
        <v>2.7013706057033956E-2</v>
      </c>
      <c r="F17" s="22">
        <f t="shared" si="1"/>
        <v>4.8938196645683586E-2</v>
      </c>
      <c r="G17" s="23">
        <f>VLOOKUP($D$1,'plazas aut municipio x cat'!$B$8:$BS$39,35+1,FALSE)</f>
        <v>-469</v>
      </c>
      <c r="H17" s="69">
        <f>VLOOKUP($D$1,'plazas aut municipio x cat'!$B$8:$BS$39,35+2,FALSE)</f>
        <v>-6.6562588702810066E-2</v>
      </c>
      <c r="J17" s="32"/>
      <c r="AF17" s="4">
        <v>0</v>
      </c>
      <c r="BG17" s="4">
        <v>0</v>
      </c>
    </row>
    <row r="18" spans="1:59" s="4" customFormat="1" x14ac:dyDescent="0.5">
      <c r="C18" s="68" t="s">
        <v>71</v>
      </c>
      <c r="D18" s="23">
        <f>VLOOKUP($D$1,'plazas aut municipio x cat'!$B$8:$BS$39,38,FALSE)</f>
        <v>10212</v>
      </c>
      <c r="E18" s="22">
        <f t="shared" si="0"/>
        <v>4.1943738217185764E-2</v>
      </c>
      <c r="F18" s="22">
        <f t="shared" si="1"/>
        <v>7.5985535068529841E-2</v>
      </c>
      <c r="G18" s="23">
        <f>VLOOKUP($D$1,'plazas aut municipio x cat'!$B$8:$BS$39,38+1,FALSE)</f>
        <v>-1074</v>
      </c>
      <c r="H18" s="69">
        <f>VLOOKUP($D$1,'plazas aut municipio x cat'!$B$8:$BS$39,38+2,FALSE)</f>
        <v>-9.5162147793726781E-2</v>
      </c>
      <c r="J18" s="32"/>
      <c r="AF18" s="4">
        <v>0</v>
      </c>
      <c r="BG18" s="4">
        <v>0</v>
      </c>
    </row>
    <row r="19" spans="1:59" s="4" customFormat="1" x14ac:dyDescent="0.5">
      <c r="C19" s="68" t="s">
        <v>72</v>
      </c>
      <c r="D19" s="23">
        <f>VLOOKUP($D$1,'plazas aut municipio x cat'!$B$8:$BS$39,41,FALSE)</f>
        <v>17354</v>
      </c>
      <c r="E19" s="22">
        <f t="shared" si="0"/>
        <v>7.1278068255096125E-2</v>
      </c>
      <c r="F19" s="22">
        <f t="shared" si="1"/>
        <v>0.12912778844293643</v>
      </c>
      <c r="G19" s="23">
        <f>VLOOKUP($D$1,'plazas aut municipio x cat'!$B$8:$BS$39,41+1,FALSE)</f>
        <v>-421</v>
      </c>
      <c r="H19" s="69">
        <f>VLOOKUP($D$1,'plazas aut municipio x cat'!$B$8:$BS$39,41+2,FALSE)</f>
        <v>-2.3684950773558366E-2</v>
      </c>
      <c r="J19" s="32"/>
      <c r="AF19" s="4">
        <v>0</v>
      </c>
      <c r="BG19" s="4">
        <v>0</v>
      </c>
    </row>
    <row r="20" spans="1:59" s="4" customFormat="1" x14ac:dyDescent="0.5">
      <c r="C20" s="68" t="s">
        <v>73</v>
      </c>
      <c r="D20" s="23">
        <f>VLOOKUP($D$1,'plazas aut municipio x cat'!$B$8:$BS$39,44,FALSE)</f>
        <v>218</v>
      </c>
      <c r="E20" s="22">
        <f t="shared" si="0"/>
        <v>8.9539119970098865E-4</v>
      </c>
      <c r="F20" s="22">
        <f t="shared" si="1"/>
        <v>1.6220962245338333E-3</v>
      </c>
      <c r="G20" s="23">
        <f>VLOOKUP($D$1,'plazas aut municipio x cat'!$B$8:$BS$39,44+1,FALSE)</f>
        <v>0</v>
      </c>
      <c r="H20" s="69">
        <f>VLOOKUP($D$1,'plazas aut municipio x cat'!$B$8:$BS$39,44+2,FALSE)</f>
        <v>0</v>
      </c>
      <c r="J20" s="32"/>
      <c r="AF20" s="4">
        <v>0</v>
      </c>
      <c r="BG20" s="4">
        <v>0</v>
      </c>
    </row>
    <row r="21" spans="1:59" s="4" customFormat="1" x14ac:dyDescent="0.5">
      <c r="C21" s="68" t="s">
        <v>63</v>
      </c>
      <c r="D21" s="23">
        <f>VLOOKUP($D$1,'plazas aut municipio x cat'!$B$8:$BS$39,47,FALSE)</f>
        <v>6819</v>
      </c>
      <c r="E21" s="22">
        <f t="shared" si="0"/>
        <v>2.8007672434683675E-2</v>
      </c>
      <c r="F21" s="22">
        <f t="shared" si="1"/>
        <v>5.0738872271083528E-2</v>
      </c>
      <c r="G21" s="23">
        <f>VLOOKUP($D$1,'plazas aut municipio x cat'!$B$8:$BS$39,47+1,FALSE)</f>
        <v>-471</v>
      </c>
      <c r="H21" s="69">
        <f>VLOOKUP($D$1,'plazas aut municipio x cat'!$B$8:$BS$39,47+2,FALSE)</f>
        <v>-6.4609053497942437E-2</v>
      </c>
      <c r="J21" s="32"/>
      <c r="AF21" s="4">
        <v>0</v>
      </c>
      <c r="BG21" s="4">
        <v>0</v>
      </c>
    </row>
    <row r="22" spans="1:59" s="4" customFormat="1" x14ac:dyDescent="0.5">
      <c r="C22" s="68" t="s">
        <v>64</v>
      </c>
      <c r="D22" s="23">
        <f>VLOOKUP($D$1,'plazas aut municipio x cat'!$B$8:$BS$39,50,FALSE)</f>
        <v>1825</v>
      </c>
      <c r="E22" s="22">
        <f t="shared" si="0"/>
        <v>7.4958208231848816E-3</v>
      </c>
      <c r="F22" s="22">
        <f t="shared" si="1"/>
        <v>1.3579475274193788E-2</v>
      </c>
      <c r="G22" s="23">
        <f>VLOOKUP($D$1,'plazas aut municipio x cat'!$B$8:$BS$39,50+1,FALSE)</f>
        <v>-266</v>
      </c>
      <c r="H22" s="69">
        <f>VLOOKUP($D$1,'plazas aut municipio x cat'!$B$8:$BS$39,50+2,FALSE)</f>
        <v>-0.12721186035389764</v>
      </c>
      <c r="J22" s="32"/>
      <c r="AF22" s="4">
        <v>0</v>
      </c>
      <c r="BG22" s="4">
        <v>0</v>
      </c>
    </row>
    <row r="23" spans="1:59" s="4" customFormat="1" x14ac:dyDescent="0.5">
      <c r="C23" s="68" t="s">
        <v>65</v>
      </c>
      <c r="D23" s="23">
        <f>VLOOKUP($D$1,'plazas aut municipio x cat'!$B$8:$BS$39,53,FALSE)</f>
        <v>1424</v>
      </c>
      <c r="E23" s="22">
        <f t="shared" si="0"/>
        <v>5.8487938916248067E-3</v>
      </c>
      <c r="F23" s="22">
        <f t="shared" si="1"/>
        <v>1.0595711118055866E-2</v>
      </c>
      <c r="G23" s="23">
        <f>VLOOKUP($D$1,'plazas aut municipio x cat'!$B$8:$BS$39,53+1,FALSE)</f>
        <v>0</v>
      </c>
      <c r="H23" s="69">
        <f>VLOOKUP($D$1,'plazas aut municipio x cat'!$B$8:$BS$39,53+2,FALSE)</f>
        <v>0</v>
      </c>
      <c r="J23" s="32"/>
      <c r="AF23" s="4">
        <v>0</v>
      </c>
      <c r="BG23" s="4">
        <v>0</v>
      </c>
    </row>
    <row r="24" spans="1:59" s="4" customFormat="1" x14ac:dyDescent="0.5">
      <c r="C24" s="68" t="s">
        <v>74</v>
      </c>
      <c r="D24" s="23">
        <f>VLOOKUP($D$1,'plazas aut municipio x cat'!$B$8:$BS$39,56,FALSE)</f>
        <v>345</v>
      </c>
      <c r="E24" s="22">
        <f t="shared" si="0"/>
        <v>1.4170181830130324E-3</v>
      </c>
      <c r="F24" s="22">
        <f t="shared" si="1"/>
        <v>2.5670788874503328E-3</v>
      </c>
      <c r="G24" s="23">
        <f>VLOOKUP($D$1,'plazas aut municipio x cat'!$B$8:$BS$39,56+1,FALSE)</f>
        <v>0</v>
      </c>
      <c r="H24" s="69">
        <f>VLOOKUP($D$1,'plazas aut municipio x cat'!$B$8:$BS$39,56+2,FALSE)</f>
        <v>0</v>
      </c>
      <c r="J24" s="32"/>
      <c r="AF24" s="4">
        <v>0</v>
      </c>
      <c r="BG24" s="4">
        <v>0</v>
      </c>
    </row>
    <row r="25" spans="1:59" s="4" customFormat="1" x14ac:dyDescent="0.5">
      <c r="C25" s="70" t="s">
        <v>75</v>
      </c>
      <c r="D25" s="23">
        <f>VLOOKUP($D$1,'plazas aut municipio x cat'!$B$8:$BS$39,59,FALSE)</f>
        <v>98</v>
      </c>
      <c r="E25" s="22">
        <f t="shared" si="0"/>
        <v>4.0251530995732515E-4</v>
      </c>
      <c r="F25" s="22">
        <f t="shared" si="1"/>
        <v>7.2919922020328284E-4</v>
      </c>
      <c r="G25" s="23">
        <f>VLOOKUP($D$1,'plazas aut municipio x cat'!$B$8:$BS$39,59+1,FALSE)</f>
        <v>0</v>
      </c>
      <c r="H25" s="69">
        <f>VLOOKUP($D$1,'plazas aut municipio x cat'!$B$8:$BS$39,59+2,FALSE)</f>
        <v>0</v>
      </c>
      <c r="J25" s="32"/>
      <c r="AF25" s="4">
        <v>0</v>
      </c>
      <c r="BG25" s="4">
        <v>0</v>
      </c>
    </row>
    <row r="26" spans="1:59" s="4" customFormat="1" x14ac:dyDescent="0.5">
      <c r="C26" s="64" t="s">
        <v>13</v>
      </c>
      <c r="D26" s="65">
        <f>VLOOKUP($D$1,'plazas aut municipio x cat'!$B$8:$BS$39,65,FALSE)</f>
        <v>527</v>
      </c>
      <c r="E26" s="66">
        <f t="shared" si="0"/>
        <v>2.164546615790922E-3</v>
      </c>
      <c r="F26" s="66">
        <f t="shared" si="1"/>
        <v>3.9213060106850009E-3</v>
      </c>
      <c r="G26" s="65">
        <f>VLOOKUP($D$1,'plazas aut municipio x cat'!$B$8:$BS$39,65+1,FALSE)</f>
        <v>-17</v>
      </c>
      <c r="H26" s="67">
        <f>VLOOKUP($D$1,'plazas aut municipio x cat'!$B$8:$BS$39,65+2,FALSE)</f>
        <v>-2.9465930018416242E-2</v>
      </c>
      <c r="J26" s="32"/>
      <c r="AF26" s="4">
        <v>0</v>
      </c>
      <c r="BG26" s="4">
        <v>0</v>
      </c>
    </row>
    <row r="27" spans="1:59" s="4" customFormat="1" x14ac:dyDescent="0.5">
      <c r="C27" s="64" t="s">
        <v>101</v>
      </c>
      <c r="D27" s="65">
        <f>VLOOKUP($D$1,'plazas aut municipio x cat'!$B$8:$BS$39,68,FALSE)</f>
        <v>1062</v>
      </c>
      <c r="E27" s="66">
        <f t="shared" si="0"/>
        <v>4.361951624231422E-3</v>
      </c>
      <c r="F27" s="66">
        <f t="shared" si="1"/>
        <v>7.902138488325371E-3</v>
      </c>
      <c r="G27" s="65">
        <f>VLOOKUP($D$1,'plazas aut municipio x cat'!$B$8:$BS$39,68+1,FALSE)</f>
        <v>-23</v>
      </c>
      <c r="H27" s="67">
        <f>VLOOKUP($D$1,'plazas aut municipio x cat'!$B$8:$BS$39,68+2,FALSE)</f>
        <v>-2.0295202952029467E-2</v>
      </c>
      <c r="J27" s="32"/>
      <c r="AF27" s="4">
        <v>0</v>
      </c>
      <c r="BG27" s="4">
        <v>0</v>
      </c>
    </row>
    <row r="28" spans="1:59" s="4" customFormat="1" ht="28.7" x14ac:dyDescent="0.5">
      <c r="A28" s="1">
        <f>VLOOKUP($D$1,'plazas aut municipio x cat'!$B$8:$BS$39,2,FALSE)-VLOOKUP($D$1,'plazas aut municipio x cat'!$B$8:$BS$39,3,FALSE)-(VLOOKUP($D$1,'plazas aut municipio x cat'!$B$8:$BS$39,62,FALSE)-VLOOKUP($D$1,'plazas aut municipio x cat'!$B$8:$BS$39,63,FALSE))</f>
        <v>135651</v>
      </c>
      <c r="C28" s="71" t="s">
        <v>102</v>
      </c>
      <c r="D28" s="72">
        <f>D7+D16+D27+D26</f>
        <v>134394</v>
      </c>
      <c r="E28" s="73">
        <f t="shared" si="0"/>
        <v>0.55199635271841585</v>
      </c>
      <c r="F28" s="73">
        <f t="shared" si="1"/>
        <v>1</v>
      </c>
      <c r="G28" s="72">
        <f>G7+G16+G27+G26</f>
        <v>-1257</v>
      </c>
      <c r="H28" s="74">
        <f>H7+H16+H27+H26</f>
        <v>-8.4199689881302664E-2</v>
      </c>
      <c r="AF28" s="4">
        <v>0</v>
      </c>
      <c r="BG28" s="4">
        <v>0</v>
      </c>
    </row>
    <row r="29" spans="1:59" s="4" customFormat="1" ht="35.25" customHeight="1" x14ac:dyDescent="0.5">
      <c r="C29" s="64" t="s">
        <v>16</v>
      </c>
      <c r="D29" s="72">
        <f>VLOOKUP($D$1,'plazas aut municipio x cat'!$B$8:$BS$39,62,FALSE)</f>
        <v>109075</v>
      </c>
      <c r="E29" s="75">
        <f>D29/$D$30</f>
        <v>0.44800364728158409</v>
      </c>
      <c r="F29" s="75"/>
      <c r="G29" s="72">
        <f>VLOOKUP($D$1,'plazas aut municipio x cat'!$B$8:$BS$39,62+1,FALSE)</f>
        <v>43678</v>
      </c>
      <c r="H29" s="74">
        <f>VLOOKUP($D$1,'plazas aut municipio x cat'!$B$8:$BS$39,62+2,FALSE)</f>
        <v>0.63689196720006369</v>
      </c>
      <c r="J29" s="32"/>
      <c r="AF29" s="4">
        <v>0</v>
      </c>
      <c r="BG29" s="4">
        <v>0</v>
      </c>
    </row>
    <row r="30" spans="1:59" s="4" customFormat="1" ht="21.75" customHeight="1" x14ac:dyDescent="0.5">
      <c r="C30" s="76" t="s">
        <v>15</v>
      </c>
      <c r="D30" s="17">
        <f>VLOOKUP($D$1,'plazas aut municipio x cat'!$B$8:$BS$39,2,FALSE)</f>
        <v>243469</v>
      </c>
      <c r="E30" s="18">
        <f t="shared" si="0"/>
        <v>1</v>
      </c>
      <c r="F30" s="18"/>
      <c r="G30" s="17">
        <f>VLOOKUP($D$1,'plazas aut municipio x cat'!$B$8:$BS$39,3,FALSE)</f>
        <v>42421</v>
      </c>
      <c r="H30" s="77">
        <f>VLOOKUP($D$1,'plazas aut municipio x cat'!$B$8:$BS$39,4,FALSE)</f>
        <v>0.21099936333611868</v>
      </c>
      <c r="I30" s="32"/>
      <c r="J30" s="32"/>
      <c r="AF30" s="4">
        <v>0</v>
      </c>
      <c r="BG30" s="4">
        <v>0</v>
      </c>
    </row>
    <row r="31" spans="1:59" s="4" customFormat="1" ht="11.25" customHeight="1" x14ac:dyDescent="0.5">
      <c r="C31" s="28"/>
      <c r="D31" s="28"/>
      <c r="E31" s="28"/>
      <c r="F31" s="28"/>
      <c r="G31" s="28"/>
      <c r="H31" s="28"/>
      <c r="I31" s="32"/>
      <c r="J31" s="32"/>
      <c r="AF31" s="4">
        <v>0</v>
      </c>
      <c r="BG31" s="4">
        <v>0</v>
      </c>
    </row>
    <row r="32" spans="1:59" s="4" customFormat="1" ht="36.75" customHeight="1" x14ac:dyDescent="0.5">
      <c r="C32" s="108" t="s">
        <v>103</v>
      </c>
      <c r="D32" s="108"/>
      <c r="E32" s="108"/>
      <c r="F32" s="108"/>
      <c r="G32" s="108"/>
      <c r="H32" s="108"/>
      <c r="I32" s="32"/>
      <c r="AF32" s="4">
        <v>0</v>
      </c>
      <c r="BG32" s="4">
        <v>0</v>
      </c>
    </row>
    <row r="33" spans="3:59" s="4" customFormat="1" x14ac:dyDescent="0.5">
      <c r="C33" s="78"/>
      <c r="D33"/>
      <c r="J33" s="32"/>
      <c r="AF33" s="4">
        <v>0</v>
      </c>
      <c r="BG33" s="4">
        <v>0</v>
      </c>
    </row>
    <row r="34" spans="3:59" s="4" customFormat="1" x14ac:dyDescent="0.5">
      <c r="C34" s="78"/>
      <c r="D34"/>
      <c r="J34" s="32"/>
      <c r="AF34" s="4">
        <v>0</v>
      </c>
      <c r="BG34" s="4">
        <v>0</v>
      </c>
    </row>
    <row r="35" spans="3:59" s="4" customFormat="1" x14ac:dyDescent="0.5">
      <c r="C35" s="78"/>
      <c r="D35"/>
      <c r="J35" s="32"/>
      <c r="AF35" s="4">
        <v>0</v>
      </c>
      <c r="BG35" s="4">
        <v>0</v>
      </c>
    </row>
    <row r="36" spans="3:59" s="4" customFormat="1" ht="15.7" x14ac:dyDescent="0.5">
      <c r="C36" s="17"/>
      <c r="D36" s="52"/>
      <c r="E36" s="51"/>
      <c r="J36" s="32"/>
      <c r="AF36" s="4">
        <v>0</v>
      </c>
      <c r="BG36" s="4">
        <v>0</v>
      </c>
    </row>
    <row r="37" spans="3:59" s="4" customFormat="1" x14ac:dyDescent="0.5">
      <c r="C37" s="78"/>
      <c r="D37" s="79"/>
      <c r="J37" s="32"/>
      <c r="AF37" s="4">
        <v>0</v>
      </c>
      <c r="BG37" s="4">
        <v>0</v>
      </c>
    </row>
    <row r="38" spans="3:59" s="4" customFormat="1" x14ac:dyDescent="0.5">
      <c r="C38" s="78"/>
      <c r="D38" s="79"/>
      <c r="AF38" s="4">
        <v>0</v>
      </c>
      <c r="BG38" s="4">
        <v>0</v>
      </c>
    </row>
    <row r="39" spans="3:59" x14ac:dyDescent="0.5">
      <c r="C39" s="78"/>
      <c r="E39" s="4"/>
      <c r="F39" s="4"/>
      <c r="G39" s="4"/>
      <c r="H39" s="4"/>
      <c r="I39" s="4"/>
      <c r="AF39" s="4">
        <v>0</v>
      </c>
      <c r="BG39" s="4">
        <v>0</v>
      </c>
    </row>
    <row r="40" spans="3:59" x14ac:dyDescent="0.5">
      <c r="C40" s="78"/>
      <c r="E40" s="4"/>
      <c r="F40" s="4"/>
      <c r="G40" s="4"/>
      <c r="H40" s="4"/>
      <c r="I40" s="4"/>
    </row>
    <row r="41" spans="3:59" x14ac:dyDescent="0.5">
      <c r="C41" s="78"/>
    </row>
  </sheetData>
  <mergeCells count="3">
    <mergeCell ref="C3:H3"/>
    <mergeCell ref="C4:E4"/>
    <mergeCell ref="C32:H3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73CAEB-4EB6-4237-802E-61D7266C5A04}">
          <x14:formula1>
            <xm:f>'plazas aut municipio x cat'!$B$8:$B$39</xm:f>
          </x14:formula1>
          <xm:sqref>D1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0866-F09D-402C-A787-9AD8E792ED9D}">
  <sheetPr>
    <tabColor rgb="FF92D050"/>
  </sheetPr>
  <dimension ref="A1:BJ42"/>
  <sheetViews>
    <sheetView showGridLines="0" zoomScaleNormal="100" workbookViewId="0"/>
  </sheetViews>
  <sheetFormatPr baseColWidth="10" defaultRowHeight="14.35" x14ac:dyDescent="0.5"/>
  <cols>
    <col min="1" max="1" width="17.703125" customWidth="1"/>
    <col min="2" max="2" width="23" customWidth="1"/>
    <col min="3" max="3" width="14.29296875" customWidth="1"/>
    <col min="4" max="4" width="11.41015625" customWidth="1"/>
    <col min="5" max="5" width="14.29296875" customWidth="1"/>
    <col min="6" max="6" width="12.41015625" customWidth="1"/>
    <col min="7" max="7" width="14.29296875" customWidth="1"/>
    <col min="8" max="8" width="11.41015625" customWidth="1"/>
    <col min="9" max="9" width="15.87890625" customWidth="1"/>
    <col min="10" max="10" width="11.41015625" customWidth="1"/>
    <col min="11" max="11" width="14.29296875" customWidth="1"/>
    <col min="12" max="12" width="11.41015625" customWidth="1"/>
    <col min="13" max="13" width="14.29296875" customWidth="1"/>
    <col min="14" max="14" width="11.41015625" customWidth="1"/>
    <col min="17" max="17" width="26" customWidth="1"/>
  </cols>
  <sheetData>
    <row r="1" spans="2:62" ht="30" customHeight="1" x14ac:dyDescent="0.5"/>
    <row r="3" spans="2:62" s="4" customFormat="1" ht="56.25" customHeight="1" thickBot="1" x14ac:dyDescent="0.55000000000000004">
      <c r="B3" s="91" t="s">
        <v>123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2:62" s="4" customFormat="1" ht="6" customHeight="1" x14ac:dyDescent="0.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2:62" s="4" customFormat="1" x14ac:dyDescent="0.5">
      <c r="B5" s="92" t="s">
        <v>14</v>
      </c>
      <c r="C5" s="93" t="s">
        <v>15</v>
      </c>
      <c r="D5" s="94"/>
      <c r="E5" s="93" t="s">
        <v>11</v>
      </c>
      <c r="F5" s="94"/>
      <c r="G5" s="93" t="s">
        <v>12</v>
      </c>
      <c r="H5" s="94"/>
      <c r="I5" s="93" t="s">
        <v>16</v>
      </c>
      <c r="J5" s="94"/>
      <c r="K5" s="93" t="s">
        <v>17</v>
      </c>
      <c r="L5" s="94"/>
      <c r="M5" s="93" t="s">
        <v>18</v>
      </c>
      <c r="N5" s="94"/>
    </row>
    <row r="6" spans="2:62" s="4" customFormat="1" ht="26" x14ac:dyDescent="0.5">
      <c r="B6" s="92"/>
      <c r="C6" s="14" t="s">
        <v>104</v>
      </c>
      <c r="D6" s="15" t="s">
        <v>20</v>
      </c>
      <c r="E6" s="14" t="str">
        <f>C6</f>
        <v>Establecimientos</v>
      </c>
      <c r="F6" s="15" t="s">
        <v>20</v>
      </c>
      <c r="G6" s="14" t="str">
        <f>E6</f>
        <v>Establecimientos</v>
      </c>
      <c r="H6" s="15" t="s">
        <v>20</v>
      </c>
      <c r="I6" s="14" t="str">
        <f>G6</f>
        <v>Establecimientos</v>
      </c>
      <c r="J6" s="15" t="s">
        <v>20</v>
      </c>
      <c r="K6" s="14" t="str">
        <f>G6</f>
        <v>Establecimientos</v>
      </c>
      <c r="L6" s="15" t="s">
        <v>20</v>
      </c>
      <c r="M6" s="14" t="str">
        <f>K6</f>
        <v>Establecimientos</v>
      </c>
      <c r="N6" s="15" t="s">
        <v>20</v>
      </c>
      <c r="Q6" s="80" t="s">
        <v>105</v>
      </c>
      <c r="R6" s="80" t="s">
        <v>106</v>
      </c>
      <c r="S6" s="80" t="s">
        <v>107</v>
      </c>
    </row>
    <row r="7" spans="2:62" s="19" customFormat="1" ht="15.7" x14ac:dyDescent="0.55000000000000004">
      <c r="B7" s="16" t="s">
        <v>21</v>
      </c>
      <c r="C7" s="17">
        <f>E7+G7+K7+M7+I7</f>
        <v>26992</v>
      </c>
      <c r="D7" s="18">
        <f>C7/$C$7</f>
        <v>1</v>
      </c>
      <c r="E7" s="17">
        <f>SUM(E8:E38)</f>
        <v>283</v>
      </c>
      <c r="F7" s="18">
        <f>E7/$E$7</f>
        <v>1</v>
      </c>
      <c r="G7" s="17">
        <v>230</v>
      </c>
      <c r="H7" s="18">
        <f>G7/$G$7</f>
        <v>1</v>
      </c>
      <c r="I7" s="17">
        <f>'estab aut municipio x tip y cat'!BK8</f>
        <v>26291</v>
      </c>
      <c r="J7" s="18">
        <f>I7/$I$7</f>
        <v>1</v>
      </c>
      <c r="K7" s="17">
        <f>SUM(K8:K38)</f>
        <v>23</v>
      </c>
      <c r="L7" s="18">
        <f>K7/$K$7</f>
        <v>1</v>
      </c>
      <c r="M7" s="17">
        <f>SUM(M8:M38)</f>
        <v>165</v>
      </c>
      <c r="N7" s="18">
        <f>M7/$M$7</f>
        <v>1</v>
      </c>
      <c r="Q7" s="55" t="s">
        <v>96</v>
      </c>
      <c r="R7">
        <v>207</v>
      </c>
      <c r="S7">
        <v>892</v>
      </c>
    </row>
    <row r="8" spans="2:62" s="4" customFormat="1" x14ac:dyDescent="0.5">
      <c r="B8" s="20" t="s">
        <v>22</v>
      </c>
      <c r="C8" s="21">
        <f>E8+G8+K8+M8+I8</f>
        <v>4950</v>
      </c>
      <c r="D8" s="22">
        <f>C8/$C$7</f>
        <v>0.18338767042086543</v>
      </c>
      <c r="E8" s="23">
        <v>68</v>
      </c>
      <c r="F8" s="22">
        <f>E8/$E$7</f>
        <v>0.24028268551236748</v>
      </c>
      <c r="G8" s="23">
        <v>50</v>
      </c>
      <c r="H8" s="22">
        <f t="shared" ref="H8:H38" si="0">G8/$G$7</f>
        <v>0.21739130434782608</v>
      </c>
      <c r="I8" s="23">
        <f>'estab aut municipio x tip y cat'!BK9</f>
        <v>4828</v>
      </c>
      <c r="J8" s="22">
        <f t="shared" ref="J8:J38" si="1">I8/$I$7</f>
        <v>0.18363698604085049</v>
      </c>
      <c r="K8" s="23">
        <v>1</v>
      </c>
      <c r="L8" s="22">
        <f>K8/$K$7</f>
        <v>4.3478260869565216E-2</v>
      </c>
      <c r="M8" s="23">
        <v>3</v>
      </c>
      <c r="N8" s="22">
        <f>M8/$M$7</f>
        <v>1.8181818181818181E-2</v>
      </c>
      <c r="Q8" s="55" t="s">
        <v>22</v>
      </c>
      <c r="R8">
        <v>4519</v>
      </c>
      <c r="S8">
        <v>19213</v>
      </c>
      <c r="AI8" s="4">
        <v>44792</v>
      </c>
      <c r="BJ8" s="4">
        <v>98</v>
      </c>
    </row>
    <row r="9" spans="2:62" s="4" customFormat="1" x14ac:dyDescent="0.5">
      <c r="B9" s="20" t="s">
        <v>23</v>
      </c>
      <c r="C9" s="21">
        <f>E9+G9+K9+M9+I9</f>
        <v>65</v>
      </c>
      <c r="D9" s="22">
        <f t="shared" ref="D9:D38" si="2">C9/$C$7</f>
        <v>2.4081209247184352E-3</v>
      </c>
      <c r="E9" s="23">
        <v>0</v>
      </c>
      <c r="F9" s="22">
        <f t="shared" ref="F9:F38" si="3">E9/$E$7</f>
        <v>0</v>
      </c>
      <c r="G9" s="23">
        <v>0</v>
      </c>
      <c r="H9" s="22">
        <f t="shared" si="0"/>
        <v>0</v>
      </c>
      <c r="I9" s="23">
        <f>'estab aut municipio x tip y cat'!BK10</f>
        <v>62</v>
      </c>
      <c r="J9" s="22">
        <f t="shared" si="1"/>
        <v>2.3582214446008138E-3</v>
      </c>
      <c r="K9" s="23">
        <v>0</v>
      </c>
      <c r="L9" s="22">
        <f t="shared" ref="L9:L38" si="4">K9/$K$7</f>
        <v>0</v>
      </c>
      <c r="M9" s="23">
        <v>3</v>
      </c>
      <c r="N9" s="22">
        <f t="shared" ref="N9:N38" si="5">M9/$M$7</f>
        <v>1.8181818181818181E-2</v>
      </c>
      <c r="Q9" s="55" t="s">
        <v>23</v>
      </c>
      <c r="R9">
        <v>58</v>
      </c>
      <c r="S9">
        <v>300</v>
      </c>
      <c r="AI9" s="4">
        <v>0</v>
      </c>
      <c r="BJ9" s="4">
        <v>0</v>
      </c>
    </row>
    <row r="10" spans="2:62" s="4" customFormat="1" x14ac:dyDescent="0.5">
      <c r="B10" s="20" t="s">
        <v>24</v>
      </c>
      <c r="C10" s="21">
        <f>E10+G10+K10+M10+I10</f>
        <v>706</v>
      </c>
      <c r="D10" s="22">
        <f t="shared" si="2"/>
        <v>2.615589804386485E-2</v>
      </c>
      <c r="E10" s="23">
        <v>1</v>
      </c>
      <c r="F10" s="22">
        <f t="shared" si="3"/>
        <v>3.5335689045936395E-3</v>
      </c>
      <c r="G10" s="23">
        <v>6</v>
      </c>
      <c r="H10" s="22">
        <f t="shared" si="0"/>
        <v>2.6086956521739129E-2</v>
      </c>
      <c r="I10" s="23">
        <f>'estab aut municipio x tip y cat'!BK11</f>
        <v>686</v>
      </c>
      <c r="J10" s="22">
        <f t="shared" si="1"/>
        <v>2.6092579209615458E-2</v>
      </c>
      <c r="K10" s="23">
        <v>0</v>
      </c>
      <c r="L10" s="22">
        <f t="shared" si="4"/>
        <v>0</v>
      </c>
      <c r="M10" s="23">
        <v>13</v>
      </c>
      <c r="N10" s="22">
        <f t="shared" si="5"/>
        <v>7.8787878787878782E-2</v>
      </c>
      <c r="Q10" s="55" t="s">
        <v>24</v>
      </c>
      <c r="R10">
        <v>657</v>
      </c>
      <c r="S10">
        <v>2931</v>
      </c>
      <c r="AI10" s="4">
        <v>24</v>
      </c>
      <c r="BJ10" s="4">
        <v>20</v>
      </c>
    </row>
    <row r="11" spans="2:62" s="4" customFormat="1" x14ac:dyDescent="0.5">
      <c r="B11" s="20" t="s">
        <v>25</v>
      </c>
      <c r="C11" s="21">
        <f t="shared" ref="C11:C38" si="6">E11+G11+K11+M11+I11</f>
        <v>5937</v>
      </c>
      <c r="D11" s="22">
        <f t="shared" si="2"/>
        <v>0.21995406046235921</v>
      </c>
      <c r="E11" s="23">
        <v>45</v>
      </c>
      <c r="F11" s="22">
        <f t="shared" si="3"/>
        <v>0.15901060070671377</v>
      </c>
      <c r="G11" s="23">
        <v>70</v>
      </c>
      <c r="H11" s="22">
        <f t="shared" si="0"/>
        <v>0.30434782608695654</v>
      </c>
      <c r="I11" s="23">
        <f>'estab aut municipio x tip y cat'!BK12</f>
        <v>5816</v>
      </c>
      <c r="J11" s="22">
        <f t="shared" si="1"/>
        <v>0.221216385835457</v>
      </c>
      <c r="K11" s="23">
        <v>2</v>
      </c>
      <c r="L11" s="22">
        <f t="shared" si="4"/>
        <v>8.6956521739130432E-2</v>
      </c>
      <c r="M11" s="23">
        <v>4</v>
      </c>
      <c r="N11" s="22">
        <f t="shared" si="5"/>
        <v>2.4242424242424242E-2</v>
      </c>
      <c r="Q11" s="55" t="s">
        <v>25</v>
      </c>
      <c r="R11">
        <v>5445</v>
      </c>
      <c r="S11">
        <v>20361</v>
      </c>
      <c r="AI11" s="4">
        <v>20391</v>
      </c>
      <c r="BJ11" s="4">
        <v>0</v>
      </c>
    </row>
    <row r="12" spans="2:62" s="4" customFormat="1" x14ac:dyDescent="0.5">
      <c r="B12" s="20" t="s">
        <v>26</v>
      </c>
      <c r="C12" s="21">
        <f t="shared" si="6"/>
        <v>95</v>
      </c>
      <c r="D12" s="22">
        <f t="shared" si="2"/>
        <v>3.5195613515115591E-3</v>
      </c>
      <c r="E12" s="23">
        <v>1</v>
      </c>
      <c r="F12" s="22">
        <f t="shared" si="3"/>
        <v>3.5335689045936395E-3</v>
      </c>
      <c r="G12" s="23">
        <v>0</v>
      </c>
      <c r="H12" s="22">
        <f t="shared" si="0"/>
        <v>0</v>
      </c>
      <c r="I12" s="23">
        <f>'estab aut municipio x tip y cat'!BK13</f>
        <v>81</v>
      </c>
      <c r="J12" s="22">
        <f t="shared" si="1"/>
        <v>3.0809022098817087E-3</v>
      </c>
      <c r="K12" s="23">
        <v>0</v>
      </c>
      <c r="L12" s="22">
        <f t="shared" si="4"/>
        <v>0</v>
      </c>
      <c r="M12" s="23">
        <v>13</v>
      </c>
      <c r="N12" s="22">
        <f t="shared" si="5"/>
        <v>7.8787878787878782E-2</v>
      </c>
      <c r="Q12" s="55" t="s">
        <v>80</v>
      </c>
      <c r="R12">
        <v>74</v>
      </c>
      <c r="S12">
        <v>340</v>
      </c>
      <c r="AI12" s="4">
        <v>0</v>
      </c>
      <c r="BJ12" s="4">
        <v>0</v>
      </c>
    </row>
    <row r="13" spans="2:62" s="4" customFormat="1" x14ac:dyDescent="0.5">
      <c r="B13" s="20" t="s">
        <v>27</v>
      </c>
      <c r="C13" s="21">
        <f t="shared" si="6"/>
        <v>556</v>
      </c>
      <c r="D13" s="22">
        <f t="shared" si="2"/>
        <v>2.0598695909899229E-2</v>
      </c>
      <c r="E13" s="23">
        <v>2</v>
      </c>
      <c r="F13" s="22">
        <f t="shared" si="3"/>
        <v>7.0671378091872791E-3</v>
      </c>
      <c r="G13" s="23">
        <v>3</v>
      </c>
      <c r="H13" s="22">
        <f t="shared" si="0"/>
        <v>1.3043478260869565E-2</v>
      </c>
      <c r="I13" s="23">
        <f>'estab aut municipio x tip y cat'!BK14</f>
        <v>550</v>
      </c>
      <c r="J13" s="22">
        <f t="shared" si="1"/>
        <v>2.0919706363394318E-2</v>
      </c>
      <c r="K13" s="23">
        <v>0</v>
      </c>
      <c r="L13" s="22">
        <f t="shared" si="4"/>
        <v>0</v>
      </c>
      <c r="M13" s="23">
        <v>1</v>
      </c>
      <c r="N13" s="22">
        <f t="shared" si="5"/>
        <v>6.0606060606060606E-3</v>
      </c>
      <c r="Q13" s="55" t="s">
        <v>81</v>
      </c>
      <c r="R13">
        <v>319</v>
      </c>
      <c r="S13">
        <v>1372</v>
      </c>
      <c r="AI13" s="4">
        <v>35</v>
      </c>
      <c r="BJ13" s="4">
        <v>0</v>
      </c>
    </row>
    <row r="14" spans="2:62" s="4" customFormat="1" x14ac:dyDescent="0.5">
      <c r="B14" s="20" t="s">
        <v>28</v>
      </c>
      <c r="C14" s="21">
        <f t="shared" si="6"/>
        <v>85</v>
      </c>
      <c r="D14" s="22">
        <f t="shared" si="2"/>
        <v>3.1490812092471844E-3</v>
      </c>
      <c r="E14" s="23">
        <v>0</v>
      </c>
      <c r="F14" s="22">
        <f t="shared" si="3"/>
        <v>0</v>
      </c>
      <c r="G14" s="23">
        <v>1</v>
      </c>
      <c r="H14" s="22">
        <f t="shared" si="0"/>
        <v>4.3478260869565218E-3</v>
      </c>
      <c r="I14" s="23">
        <f>'estab aut municipio x tip y cat'!BK15</f>
        <v>77</v>
      </c>
      <c r="J14" s="22">
        <f t="shared" si="1"/>
        <v>2.9287588908752044E-3</v>
      </c>
      <c r="K14" s="23">
        <v>0</v>
      </c>
      <c r="L14" s="22">
        <f t="shared" si="4"/>
        <v>0</v>
      </c>
      <c r="M14" s="23">
        <v>7</v>
      </c>
      <c r="N14" s="22">
        <f t="shared" si="5"/>
        <v>4.2424242424242427E-2</v>
      </c>
      <c r="Q14" s="55" t="s">
        <v>28</v>
      </c>
      <c r="R14">
        <v>70</v>
      </c>
      <c r="S14">
        <v>335</v>
      </c>
      <c r="AI14" s="4">
        <v>4</v>
      </c>
      <c r="BJ14" s="4">
        <v>0</v>
      </c>
    </row>
    <row r="15" spans="2:62" s="4" customFormat="1" x14ac:dyDescent="0.5">
      <c r="B15" s="20" t="s">
        <v>29</v>
      </c>
      <c r="C15" s="21">
        <f t="shared" si="6"/>
        <v>198</v>
      </c>
      <c r="D15" s="22">
        <f t="shared" si="2"/>
        <v>7.3355068168346176E-3</v>
      </c>
      <c r="E15" s="23">
        <v>3</v>
      </c>
      <c r="F15" s="22">
        <f t="shared" si="3"/>
        <v>1.0600706713780919E-2</v>
      </c>
      <c r="G15" s="23">
        <v>5</v>
      </c>
      <c r="H15" s="22">
        <f t="shared" si="0"/>
        <v>2.1739130434782608E-2</v>
      </c>
      <c r="I15" s="23">
        <f>'estab aut municipio x tip y cat'!BK16</f>
        <v>184</v>
      </c>
      <c r="J15" s="22">
        <f t="shared" si="1"/>
        <v>6.9985926742991899E-3</v>
      </c>
      <c r="K15" s="23">
        <v>2</v>
      </c>
      <c r="L15" s="22">
        <f t="shared" si="4"/>
        <v>8.6956521739130432E-2</v>
      </c>
      <c r="M15" s="23">
        <v>4</v>
      </c>
      <c r="N15" s="22">
        <f t="shared" si="5"/>
        <v>2.4242424242424242E-2</v>
      </c>
      <c r="Q15" s="55" t="s">
        <v>29</v>
      </c>
      <c r="R15">
        <v>171</v>
      </c>
      <c r="S15">
        <v>807</v>
      </c>
      <c r="AI15" s="4">
        <v>30</v>
      </c>
      <c r="BJ15" s="4">
        <v>4</v>
      </c>
    </row>
    <row r="16" spans="2:62" s="4" customFormat="1" x14ac:dyDescent="0.5">
      <c r="B16" s="20" t="s">
        <v>30</v>
      </c>
      <c r="C16" s="21">
        <f t="shared" si="6"/>
        <v>1924</v>
      </c>
      <c r="D16" s="22">
        <f t="shared" si="2"/>
        <v>7.1280379371665675E-2</v>
      </c>
      <c r="E16" s="23">
        <v>8</v>
      </c>
      <c r="F16" s="22">
        <f t="shared" si="3"/>
        <v>2.8268551236749116E-2</v>
      </c>
      <c r="G16" s="23">
        <v>8</v>
      </c>
      <c r="H16" s="22">
        <f t="shared" si="0"/>
        <v>3.4782608695652174E-2</v>
      </c>
      <c r="I16" s="23">
        <f>'estab aut municipio x tip y cat'!BK17</f>
        <v>1894</v>
      </c>
      <c r="J16" s="22">
        <f t="shared" si="1"/>
        <v>7.2039861549579698E-2</v>
      </c>
      <c r="K16" s="23">
        <v>2</v>
      </c>
      <c r="L16" s="22">
        <f t="shared" si="4"/>
        <v>8.6956521739130432E-2</v>
      </c>
      <c r="M16" s="23">
        <v>12</v>
      </c>
      <c r="N16" s="22">
        <f t="shared" si="5"/>
        <v>7.2727272727272724E-2</v>
      </c>
      <c r="Q16" s="55" t="s">
        <v>82</v>
      </c>
      <c r="R16">
        <v>1830</v>
      </c>
      <c r="S16">
        <v>7882</v>
      </c>
      <c r="AI16" s="4">
        <v>460</v>
      </c>
      <c r="BJ16" s="4">
        <v>6</v>
      </c>
    </row>
    <row r="17" spans="2:62" s="4" customFormat="1" x14ac:dyDescent="0.5">
      <c r="B17" s="20" t="s">
        <v>31</v>
      </c>
      <c r="C17" s="21">
        <f t="shared" si="6"/>
        <v>87</v>
      </c>
      <c r="D17" s="22">
        <f t="shared" si="2"/>
        <v>3.2231772377000591E-3</v>
      </c>
      <c r="E17" s="23">
        <v>0</v>
      </c>
      <c r="F17" s="22">
        <f t="shared" si="3"/>
        <v>0</v>
      </c>
      <c r="G17" s="23">
        <v>0</v>
      </c>
      <c r="H17" s="22">
        <f t="shared" si="0"/>
        <v>0</v>
      </c>
      <c r="I17" s="23">
        <f>'estab aut municipio x tip y cat'!BK18</f>
        <v>86</v>
      </c>
      <c r="J17" s="22">
        <f t="shared" si="1"/>
        <v>3.2710813586398386E-3</v>
      </c>
      <c r="K17" s="23">
        <v>0</v>
      </c>
      <c r="L17" s="22">
        <f t="shared" si="4"/>
        <v>0</v>
      </c>
      <c r="M17" s="23">
        <v>1</v>
      </c>
      <c r="N17" s="22">
        <f t="shared" si="5"/>
        <v>6.0606060606060606E-3</v>
      </c>
      <c r="Q17" s="55" t="s">
        <v>31</v>
      </c>
      <c r="R17">
        <v>81</v>
      </c>
      <c r="S17">
        <v>368</v>
      </c>
      <c r="AI17" s="4">
        <v>0</v>
      </c>
      <c r="BJ17" s="4">
        <v>0</v>
      </c>
    </row>
    <row r="18" spans="2:62" s="4" customFormat="1" x14ac:dyDescent="0.5">
      <c r="B18" s="20" t="s">
        <v>32</v>
      </c>
      <c r="C18" s="21">
        <f t="shared" si="6"/>
        <v>767</v>
      </c>
      <c r="D18" s="22">
        <f t="shared" si="2"/>
        <v>2.8415826911677534E-2</v>
      </c>
      <c r="E18" s="23">
        <v>8</v>
      </c>
      <c r="F18" s="22">
        <f t="shared" si="3"/>
        <v>2.8268551236749116E-2</v>
      </c>
      <c r="G18" s="23">
        <v>0</v>
      </c>
      <c r="H18" s="22">
        <f t="shared" si="0"/>
        <v>0</v>
      </c>
      <c r="I18" s="23">
        <f>'estab aut municipio x tip y cat'!BK19</f>
        <v>747</v>
      </c>
      <c r="J18" s="22">
        <f t="shared" si="1"/>
        <v>2.8412764824464646E-2</v>
      </c>
      <c r="K18" s="23">
        <v>1</v>
      </c>
      <c r="L18" s="22">
        <f t="shared" si="4"/>
        <v>4.3478260869565216E-2</v>
      </c>
      <c r="M18" s="23">
        <v>11</v>
      </c>
      <c r="N18" s="22">
        <f t="shared" si="5"/>
        <v>6.6666666666666666E-2</v>
      </c>
      <c r="Q18" s="55" t="s">
        <v>83</v>
      </c>
      <c r="R18">
        <v>712</v>
      </c>
      <c r="S18">
        <v>2990</v>
      </c>
      <c r="AI18" s="4">
        <v>0</v>
      </c>
      <c r="BJ18" s="4">
        <v>0</v>
      </c>
    </row>
    <row r="19" spans="2:62" s="4" customFormat="1" x14ac:dyDescent="0.5">
      <c r="B19" s="20" t="s">
        <v>33</v>
      </c>
      <c r="C19" s="21">
        <f t="shared" si="6"/>
        <v>475</v>
      </c>
      <c r="D19" s="22">
        <f t="shared" si="2"/>
        <v>1.7597806757557795E-2</v>
      </c>
      <c r="E19" s="23">
        <v>1</v>
      </c>
      <c r="F19" s="22">
        <f t="shared" si="3"/>
        <v>3.5335689045936395E-3</v>
      </c>
      <c r="G19" s="23">
        <v>0</v>
      </c>
      <c r="H19" s="22">
        <f t="shared" si="0"/>
        <v>0</v>
      </c>
      <c r="I19" s="23">
        <f>'estab aut municipio x tip y cat'!BK20</f>
        <v>465</v>
      </c>
      <c r="J19" s="22">
        <f t="shared" si="1"/>
        <v>1.7686660834506106E-2</v>
      </c>
      <c r="K19" s="23">
        <v>5</v>
      </c>
      <c r="L19" s="22">
        <f t="shared" si="4"/>
        <v>0.21739130434782608</v>
      </c>
      <c r="M19" s="23">
        <v>4</v>
      </c>
      <c r="N19" s="22">
        <f t="shared" si="5"/>
        <v>2.4242424242424242E-2</v>
      </c>
      <c r="Q19" s="55" t="s">
        <v>84</v>
      </c>
      <c r="R19">
        <v>393</v>
      </c>
      <c r="S19">
        <v>1747</v>
      </c>
      <c r="AI19" s="4">
        <v>0</v>
      </c>
      <c r="BJ19" s="4">
        <v>0</v>
      </c>
    </row>
    <row r="20" spans="2:62" s="4" customFormat="1" x14ac:dyDescent="0.5">
      <c r="B20" s="20" t="s">
        <v>34</v>
      </c>
      <c r="C20" s="21">
        <f t="shared" si="6"/>
        <v>726</v>
      </c>
      <c r="D20" s="22">
        <f t="shared" si="2"/>
        <v>2.68968583283936E-2</v>
      </c>
      <c r="E20" s="23">
        <v>4</v>
      </c>
      <c r="F20" s="22">
        <f t="shared" si="3"/>
        <v>1.4134275618374558E-2</v>
      </c>
      <c r="G20" s="23">
        <v>3</v>
      </c>
      <c r="H20" s="22">
        <f t="shared" si="0"/>
        <v>1.3043478260869565E-2</v>
      </c>
      <c r="I20" s="23">
        <f>'estab aut municipio x tip y cat'!BK21</f>
        <v>698</v>
      </c>
      <c r="J20" s="22">
        <f t="shared" si="1"/>
        <v>2.6549009166634972E-2</v>
      </c>
      <c r="K20" s="23">
        <v>0</v>
      </c>
      <c r="L20" s="22">
        <f t="shared" si="4"/>
        <v>0</v>
      </c>
      <c r="M20" s="23">
        <v>21</v>
      </c>
      <c r="N20" s="22">
        <f t="shared" si="5"/>
        <v>0.12727272727272726</v>
      </c>
      <c r="Q20" s="55" t="s">
        <v>85</v>
      </c>
      <c r="R20">
        <v>681</v>
      </c>
      <c r="S20">
        <v>3037</v>
      </c>
      <c r="AI20" s="4">
        <v>19</v>
      </c>
      <c r="BJ20" s="4">
        <v>0</v>
      </c>
    </row>
    <row r="21" spans="2:62" s="4" customFormat="1" x14ac:dyDescent="0.5">
      <c r="B21" s="20" t="s">
        <v>35</v>
      </c>
      <c r="C21" s="21">
        <f t="shared" si="6"/>
        <v>1107</v>
      </c>
      <c r="D21" s="22">
        <f t="shared" si="2"/>
        <v>4.1012151748666272E-2</v>
      </c>
      <c r="E21" s="23">
        <v>15</v>
      </c>
      <c r="F21" s="22">
        <f t="shared" si="3"/>
        <v>5.3003533568904596E-2</v>
      </c>
      <c r="G21" s="23">
        <v>5</v>
      </c>
      <c r="H21" s="22">
        <f t="shared" si="0"/>
        <v>2.1739130434782608E-2</v>
      </c>
      <c r="I21" s="23">
        <f>'estab aut municipio x tip y cat'!BK22</f>
        <v>1075</v>
      </c>
      <c r="J21" s="22">
        <f t="shared" si="1"/>
        <v>4.0888516982997981E-2</v>
      </c>
      <c r="K21" s="23">
        <v>1</v>
      </c>
      <c r="L21" s="22">
        <f t="shared" si="4"/>
        <v>4.3478260869565216E-2</v>
      </c>
      <c r="M21" s="23">
        <v>11</v>
      </c>
      <c r="N21" s="22">
        <f t="shared" si="5"/>
        <v>6.6666666666666666E-2</v>
      </c>
      <c r="Q21" s="55" t="s">
        <v>86</v>
      </c>
      <c r="R21">
        <v>1022</v>
      </c>
      <c r="S21">
        <v>4222</v>
      </c>
      <c r="AI21" s="4">
        <v>241</v>
      </c>
      <c r="BJ21" s="4">
        <v>6</v>
      </c>
    </row>
    <row r="22" spans="2:62" s="4" customFormat="1" x14ac:dyDescent="0.5">
      <c r="B22" s="20" t="s">
        <v>36</v>
      </c>
      <c r="C22" s="21">
        <f t="shared" si="6"/>
        <v>207</v>
      </c>
      <c r="D22" s="22">
        <f t="shared" si="2"/>
        <v>7.6689389448725545E-3</v>
      </c>
      <c r="E22" s="23">
        <v>0</v>
      </c>
      <c r="F22" s="22">
        <f t="shared" si="3"/>
        <v>0</v>
      </c>
      <c r="G22" s="23">
        <v>0</v>
      </c>
      <c r="H22" s="22">
        <f t="shared" si="0"/>
        <v>0</v>
      </c>
      <c r="I22" s="23">
        <f>'estab aut municipio x tip y cat'!BK23</f>
        <v>202</v>
      </c>
      <c r="J22" s="22">
        <f t="shared" si="1"/>
        <v>7.6832376098284584E-3</v>
      </c>
      <c r="K22" s="23">
        <v>0</v>
      </c>
      <c r="L22" s="22">
        <f t="shared" si="4"/>
        <v>0</v>
      </c>
      <c r="M22" s="23">
        <v>5</v>
      </c>
      <c r="N22" s="22">
        <f t="shared" si="5"/>
        <v>3.0303030303030304E-2</v>
      </c>
      <c r="Q22" s="55" t="s">
        <v>87</v>
      </c>
      <c r="R22">
        <v>197</v>
      </c>
      <c r="S22">
        <v>852</v>
      </c>
      <c r="AI22" s="4">
        <v>0</v>
      </c>
      <c r="BJ22" s="4">
        <v>0</v>
      </c>
    </row>
    <row r="23" spans="2:62" s="4" customFormat="1" x14ac:dyDescent="0.5">
      <c r="B23" s="20" t="s">
        <v>37</v>
      </c>
      <c r="C23" s="21">
        <f t="shared" si="6"/>
        <v>362</v>
      </c>
      <c r="D23" s="22">
        <f t="shared" si="2"/>
        <v>1.3411381149970361E-2</v>
      </c>
      <c r="E23" s="23">
        <v>5</v>
      </c>
      <c r="F23" s="22">
        <f t="shared" si="3"/>
        <v>1.7667844522968199E-2</v>
      </c>
      <c r="G23" s="23">
        <v>3</v>
      </c>
      <c r="H23" s="22">
        <f t="shared" si="0"/>
        <v>1.3043478260869565E-2</v>
      </c>
      <c r="I23" s="23">
        <f>'estab aut municipio x tip y cat'!BK24</f>
        <v>345</v>
      </c>
      <c r="J23" s="22">
        <f t="shared" si="1"/>
        <v>1.312236126431098E-2</v>
      </c>
      <c r="K23" s="23">
        <v>1</v>
      </c>
      <c r="L23" s="22">
        <f t="shared" si="4"/>
        <v>4.3478260869565216E-2</v>
      </c>
      <c r="M23" s="23">
        <v>8</v>
      </c>
      <c r="N23" s="22">
        <f t="shared" si="5"/>
        <v>4.8484848484848485E-2</v>
      </c>
      <c r="Q23" s="55" t="s">
        <v>37</v>
      </c>
      <c r="R23">
        <v>328</v>
      </c>
      <c r="S23">
        <v>1594</v>
      </c>
      <c r="AI23" s="4">
        <v>48</v>
      </c>
      <c r="BJ23" s="4">
        <v>4</v>
      </c>
    </row>
    <row r="24" spans="2:62" s="4" customFormat="1" x14ac:dyDescent="0.5">
      <c r="B24" s="20" t="s">
        <v>38</v>
      </c>
      <c r="C24" s="21">
        <f t="shared" si="6"/>
        <v>1861</v>
      </c>
      <c r="D24" s="22">
        <f t="shared" si="2"/>
        <v>6.8946354475400123E-2</v>
      </c>
      <c r="E24" s="23">
        <v>60</v>
      </c>
      <c r="F24" s="22">
        <f t="shared" si="3"/>
        <v>0.21201413427561838</v>
      </c>
      <c r="G24" s="23">
        <v>24</v>
      </c>
      <c r="H24" s="22">
        <f t="shared" si="0"/>
        <v>0.10434782608695652</v>
      </c>
      <c r="I24" s="23">
        <f>'estab aut municipio x tip y cat'!BK25</f>
        <v>1776</v>
      </c>
      <c r="J24" s="22">
        <f t="shared" si="1"/>
        <v>6.7551633638887831E-2</v>
      </c>
      <c r="K24" s="23">
        <v>0</v>
      </c>
      <c r="L24" s="22">
        <f t="shared" si="4"/>
        <v>0</v>
      </c>
      <c r="M24" s="23">
        <v>1</v>
      </c>
      <c r="N24" s="22">
        <f t="shared" si="5"/>
        <v>6.0606060606060606E-3</v>
      </c>
      <c r="Q24" s="55" t="s">
        <v>88</v>
      </c>
      <c r="R24">
        <v>1677</v>
      </c>
      <c r="S24">
        <v>5864</v>
      </c>
      <c r="AI24" s="4">
        <v>4419</v>
      </c>
      <c r="BJ24" s="4">
        <v>0</v>
      </c>
    </row>
    <row r="25" spans="2:62" s="4" customFormat="1" x14ac:dyDescent="0.5">
      <c r="B25" s="20" t="s">
        <v>39</v>
      </c>
      <c r="C25" s="21">
        <f t="shared" si="6"/>
        <v>306</v>
      </c>
      <c r="D25" s="22">
        <f t="shared" si="2"/>
        <v>1.1336692353289863E-2</v>
      </c>
      <c r="E25" s="23">
        <v>5</v>
      </c>
      <c r="F25" s="22">
        <f t="shared" si="3"/>
        <v>1.7667844522968199E-2</v>
      </c>
      <c r="G25" s="23">
        <v>4</v>
      </c>
      <c r="H25" s="22">
        <f t="shared" si="0"/>
        <v>1.7391304347826087E-2</v>
      </c>
      <c r="I25" s="23">
        <f>'estab aut municipio x tip y cat'!BK26</f>
        <v>280</v>
      </c>
      <c r="J25" s="22">
        <f t="shared" si="1"/>
        <v>1.0650032330455288E-2</v>
      </c>
      <c r="K25" s="23">
        <v>3</v>
      </c>
      <c r="L25" s="22">
        <f t="shared" si="4"/>
        <v>0.13043478260869565</v>
      </c>
      <c r="M25" s="23">
        <v>14</v>
      </c>
      <c r="N25" s="22">
        <f t="shared" si="5"/>
        <v>8.4848484848484854E-2</v>
      </c>
      <c r="Q25" s="55" t="s">
        <v>39</v>
      </c>
      <c r="R25">
        <v>239</v>
      </c>
      <c r="S25">
        <v>1033</v>
      </c>
      <c r="AI25" s="4">
        <v>355</v>
      </c>
      <c r="BJ25" s="4">
        <v>0</v>
      </c>
    </row>
    <row r="26" spans="2:62" s="4" customFormat="1" x14ac:dyDescent="0.5">
      <c r="B26" s="20" t="s">
        <v>40</v>
      </c>
      <c r="C26" s="21">
        <f t="shared" si="6"/>
        <v>403</v>
      </c>
      <c r="D26" s="22">
        <f t="shared" si="2"/>
        <v>1.4930349733254298E-2</v>
      </c>
      <c r="E26" s="23">
        <v>2</v>
      </c>
      <c r="F26" s="22">
        <f t="shared" si="3"/>
        <v>7.0671378091872791E-3</v>
      </c>
      <c r="G26" s="23">
        <v>1</v>
      </c>
      <c r="H26" s="22">
        <f t="shared" si="0"/>
        <v>4.3478260869565218E-3</v>
      </c>
      <c r="I26" s="23">
        <f>'estab aut municipio x tip y cat'!BK27</f>
        <v>396</v>
      </c>
      <c r="J26" s="22">
        <f t="shared" si="1"/>
        <v>1.5062188581643909E-2</v>
      </c>
      <c r="K26" s="23">
        <v>1</v>
      </c>
      <c r="L26" s="22">
        <f t="shared" si="4"/>
        <v>4.3478260869565216E-2</v>
      </c>
      <c r="M26" s="23">
        <v>3</v>
      </c>
      <c r="N26" s="22">
        <f t="shared" si="5"/>
        <v>1.8181818181818181E-2</v>
      </c>
      <c r="Q26" s="55" t="s">
        <v>40</v>
      </c>
      <c r="R26">
        <v>378</v>
      </c>
      <c r="S26">
        <v>1907</v>
      </c>
      <c r="AI26" s="4">
        <v>7</v>
      </c>
      <c r="BJ26" s="4">
        <v>7</v>
      </c>
    </row>
    <row r="27" spans="2:62" s="4" customFormat="1" x14ac:dyDescent="0.5">
      <c r="B27" s="20" t="s">
        <v>41</v>
      </c>
      <c r="C27" s="21">
        <f t="shared" si="6"/>
        <v>61</v>
      </c>
      <c r="D27" s="22">
        <f t="shared" si="2"/>
        <v>2.2599288678126855E-3</v>
      </c>
      <c r="E27" s="23">
        <v>0</v>
      </c>
      <c r="F27" s="22">
        <f t="shared" si="3"/>
        <v>0</v>
      </c>
      <c r="G27" s="23">
        <v>3</v>
      </c>
      <c r="H27" s="22">
        <f t="shared" si="0"/>
        <v>1.3043478260869565E-2</v>
      </c>
      <c r="I27" s="23">
        <f>'estab aut municipio x tip y cat'!BK28</f>
        <v>55</v>
      </c>
      <c r="J27" s="22">
        <f t="shared" si="1"/>
        <v>2.091970636339432E-3</v>
      </c>
      <c r="K27" s="23">
        <v>0</v>
      </c>
      <c r="L27" s="22">
        <f t="shared" si="4"/>
        <v>0</v>
      </c>
      <c r="M27" s="23">
        <v>3</v>
      </c>
      <c r="N27" s="22">
        <f t="shared" si="5"/>
        <v>1.8181818181818181E-2</v>
      </c>
      <c r="Q27" s="55" t="s">
        <v>89</v>
      </c>
      <c r="R27">
        <v>50</v>
      </c>
      <c r="S27">
        <v>217</v>
      </c>
      <c r="AI27" s="4">
        <v>11</v>
      </c>
      <c r="BJ27" s="4">
        <v>0</v>
      </c>
    </row>
    <row r="28" spans="2:62" s="4" customFormat="1" x14ac:dyDescent="0.5">
      <c r="B28" s="20" t="s">
        <v>42</v>
      </c>
      <c r="C28" s="21">
        <f t="shared" si="6"/>
        <v>1342</v>
      </c>
      <c r="D28" s="22">
        <f t="shared" si="2"/>
        <v>4.9718435091879072E-2</v>
      </c>
      <c r="E28" s="23">
        <v>7</v>
      </c>
      <c r="F28" s="22">
        <f t="shared" si="3"/>
        <v>2.4734982332155476E-2</v>
      </c>
      <c r="G28" s="23">
        <v>13</v>
      </c>
      <c r="H28" s="22">
        <f t="shared" si="0"/>
        <v>5.6521739130434782E-2</v>
      </c>
      <c r="I28" s="23">
        <f>'estab aut municipio x tip y cat'!BK29</f>
        <v>1318</v>
      </c>
      <c r="J28" s="22">
        <f t="shared" si="1"/>
        <v>5.0131223612643112E-2</v>
      </c>
      <c r="K28" s="23">
        <v>1</v>
      </c>
      <c r="L28" s="22">
        <f t="shared" si="4"/>
        <v>4.3478260869565216E-2</v>
      </c>
      <c r="M28" s="23">
        <v>3</v>
      </c>
      <c r="N28" s="22">
        <f t="shared" si="5"/>
        <v>1.8181818181818181E-2</v>
      </c>
      <c r="Q28" s="55" t="s">
        <v>90</v>
      </c>
      <c r="R28">
        <v>1251</v>
      </c>
      <c r="S28">
        <v>5044</v>
      </c>
      <c r="AI28" s="4">
        <v>2978</v>
      </c>
      <c r="BJ28" s="4">
        <v>0</v>
      </c>
    </row>
    <row r="29" spans="2:62" s="4" customFormat="1" x14ac:dyDescent="0.5">
      <c r="B29" s="20" t="s">
        <v>43</v>
      </c>
      <c r="C29" s="21">
        <f t="shared" si="6"/>
        <v>2077</v>
      </c>
      <c r="D29" s="22">
        <f t="shared" si="2"/>
        <v>7.6948725548310615E-2</v>
      </c>
      <c r="E29" s="23">
        <v>32</v>
      </c>
      <c r="F29" s="22">
        <f t="shared" si="3"/>
        <v>0.11307420494699646</v>
      </c>
      <c r="G29" s="23">
        <v>5</v>
      </c>
      <c r="H29" s="22">
        <f t="shared" si="0"/>
        <v>2.1739130434782608E-2</v>
      </c>
      <c r="I29" s="23">
        <f>'estab aut municipio x tip y cat'!BK30</f>
        <v>2037</v>
      </c>
      <c r="J29" s="22">
        <f t="shared" si="1"/>
        <v>7.7478985204062226E-2</v>
      </c>
      <c r="K29" s="23">
        <v>0</v>
      </c>
      <c r="L29" s="22">
        <f t="shared" si="4"/>
        <v>0</v>
      </c>
      <c r="M29" s="23">
        <v>3</v>
      </c>
      <c r="N29" s="22">
        <f t="shared" si="5"/>
        <v>1.8181818181818181E-2</v>
      </c>
      <c r="Q29" s="55" t="s">
        <v>91</v>
      </c>
      <c r="R29">
        <v>1926</v>
      </c>
      <c r="S29">
        <v>8407</v>
      </c>
      <c r="AI29" s="4">
        <v>50</v>
      </c>
      <c r="BJ29" s="4">
        <v>6</v>
      </c>
    </row>
    <row r="30" spans="2:62" s="4" customFormat="1" x14ac:dyDescent="0.5">
      <c r="B30" s="20" t="s">
        <v>44</v>
      </c>
      <c r="C30" s="21">
        <f t="shared" si="6"/>
        <v>365</v>
      </c>
      <c r="D30" s="22">
        <f t="shared" si="2"/>
        <v>1.3522525192649675E-2</v>
      </c>
      <c r="E30" s="23">
        <v>0</v>
      </c>
      <c r="F30" s="22">
        <f t="shared" si="3"/>
        <v>0</v>
      </c>
      <c r="G30" s="23">
        <v>0</v>
      </c>
      <c r="H30" s="22">
        <f t="shared" si="0"/>
        <v>0</v>
      </c>
      <c r="I30" s="23">
        <f>'estab aut municipio x tip y cat'!BK31</f>
        <v>365</v>
      </c>
      <c r="J30" s="22">
        <f t="shared" si="1"/>
        <v>1.3883077859343501E-2</v>
      </c>
      <c r="K30" s="23">
        <v>0</v>
      </c>
      <c r="L30" s="22">
        <f t="shared" si="4"/>
        <v>0</v>
      </c>
      <c r="M30" s="23">
        <v>0</v>
      </c>
      <c r="N30" s="22">
        <f t="shared" si="5"/>
        <v>0</v>
      </c>
      <c r="Q30" s="55" t="s">
        <v>44</v>
      </c>
      <c r="R30">
        <v>349</v>
      </c>
      <c r="S30">
        <v>1658</v>
      </c>
      <c r="AI30" s="4">
        <v>0</v>
      </c>
      <c r="BJ30" s="4">
        <v>0</v>
      </c>
    </row>
    <row r="31" spans="2:62" s="4" customFormat="1" x14ac:dyDescent="0.5">
      <c r="B31" s="20" t="s">
        <v>45</v>
      </c>
      <c r="C31" s="21">
        <f t="shared" si="6"/>
        <v>1374</v>
      </c>
      <c r="D31" s="22">
        <f t="shared" si="2"/>
        <v>5.0903971547125074E-2</v>
      </c>
      <c r="E31" s="23">
        <v>8</v>
      </c>
      <c r="F31" s="22">
        <f t="shared" si="3"/>
        <v>2.8268551236749116E-2</v>
      </c>
      <c r="G31" s="23">
        <v>15</v>
      </c>
      <c r="H31" s="22">
        <f t="shared" si="0"/>
        <v>6.5217391304347824E-2</v>
      </c>
      <c r="I31" s="23">
        <f>'estab aut municipio x tip y cat'!BK32</f>
        <v>1351</v>
      </c>
      <c r="J31" s="22">
        <f t="shared" si="1"/>
        <v>5.1386405994446771E-2</v>
      </c>
      <c r="K31" s="23">
        <v>0</v>
      </c>
      <c r="L31" s="22">
        <f t="shared" si="4"/>
        <v>0</v>
      </c>
      <c r="M31" s="23">
        <v>0</v>
      </c>
      <c r="N31" s="22">
        <f t="shared" si="5"/>
        <v>0</v>
      </c>
      <c r="Q31" s="55" t="s">
        <v>92</v>
      </c>
      <c r="R31">
        <v>1277</v>
      </c>
      <c r="S31">
        <v>4972</v>
      </c>
      <c r="AI31" s="4">
        <v>3010</v>
      </c>
      <c r="BJ31" s="4">
        <v>0</v>
      </c>
    </row>
    <row r="32" spans="2:62" s="4" customFormat="1" x14ac:dyDescent="0.5">
      <c r="B32" s="20" t="s">
        <v>46</v>
      </c>
      <c r="C32" s="21">
        <f t="shared" si="6"/>
        <v>136</v>
      </c>
      <c r="D32" s="22">
        <f t="shared" si="2"/>
        <v>5.0385299347954953E-3</v>
      </c>
      <c r="E32" s="23">
        <v>1</v>
      </c>
      <c r="F32" s="22">
        <f t="shared" si="3"/>
        <v>3.5335689045936395E-3</v>
      </c>
      <c r="G32" s="23">
        <v>0</v>
      </c>
      <c r="H32" s="22">
        <f t="shared" si="0"/>
        <v>0</v>
      </c>
      <c r="I32" s="23">
        <f>'estab aut municipio x tip y cat'!BK33</f>
        <v>133</v>
      </c>
      <c r="J32" s="22">
        <f t="shared" si="1"/>
        <v>5.0587653569662619E-3</v>
      </c>
      <c r="K32" s="23">
        <v>0</v>
      </c>
      <c r="L32" s="22">
        <f t="shared" si="4"/>
        <v>0</v>
      </c>
      <c r="M32" s="23">
        <v>2</v>
      </c>
      <c r="N32" s="22">
        <f t="shared" si="5"/>
        <v>1.2121212121212121E-2</v>
      </c>
      <c r="Q32" s="55" t="s">
        <v>46</v>
      </c>
      <c r="R32">
        <v>126</v>
      </c>
      <c r="S32">
        <v>651</v>
      </c>
      <c r="AI32" s="4">
        <v>0</v>
      </c>
      <c r="BJ32" s="4">
        <v>0</v>
      </c>
    </row>
    <row r="33" spans="1:62" s="4" customFormat="1" x14ac:dyDescent="0.5">
      <c r="B33" s="20" t="s">
        <v>47</v>
      </c>
      <c r="C33" s="21">
        <f t="shared" si="6"/>
        <v>133</v>
      </c>
      <c r="D33" s="22">
        <f t="shared" si="2"/>
        <v>4.9273858921161824E-3</v>
      </c>
      <c r="E33" s="23">
        <v>1</v>
      </c>
      <c r="F33" s="22">
        <f t="shared" si="3"/>
        <v>3.5335689045936395E-3</v>
      </c>
      <c r="G33" s="23">
        <v>2</v>
      </c>
      <c r="H33" s="22">
        <f t="shared" si="0"/>
        <v>8.6956521739130436E-3</v>
      </c>
      <c r="I33" s="23">
        <f>'estab aut municipio x tip y cat'!BK34</f>
        <v>127</v>
      </c>
      <c r="J33" s="22">
        <f t="shared" si="1"/>
        <v>4.830550378456506E-3</v>
      </c>
      <c r="K33" s="23">
        <v>1</v>
      </c>
      <c r="L33" s="22">
        <f t="shared" si="4"/>
        <v>4.3478260869565216E-2</v>
      </c>
      <c r="M33" s="23">
        <v>2</v>
      </c>
      <c r="N33" s="22">
        <f t="shared" si="5"/>
        <v>1.2121212121212121E-2</v>
      </c>
      <c r="Q33" s="55" t="s">
        <v>47</v>
      </c>
      <c r="R33">
        <v>118</v>
      </c>
      <c r="S33">
        <v>491</v>
      </c>
      <c r="AI33" s="4">
        <v>14</v>
      </c>
      <c r="BJ33" s="4">
        <v>10</v>
      </c>
    </row>
    <row r="34" spans="1:62" s="4" customFormat="1" x14ac:dyDescent="0.5">
      <c r="B34" s="20" t="s">
        <v>48</v>
      </c>
      <c r="C34" s="21">
        <f t="shared" si="6"/>
        <v>398</v>
      </c>
      <c r="D34" s="22">
        <f t="shared" si="2"/>
        <v>1.474510966212211E-2</v>
      </c>
      <c r="E34" s="23">
        <v>1</v>
      </c>
      <c r="F34" s="22">
        <f t="shared" si="3"/>
        <v>3.5335689045936395E-3</v>
      </c>
      <c r="G34" s="23">
        <v>1</v>
      </c>
      <c r="H34" s="22">
        <f t="shared" si="0"/>
        <v>4.3478260869565218E-3</v>
      </c>
      <c r="I34" s="23">
        <f>'estab aut municipio x tip y cat'!BK35</f>
        <v>391</v>
      </c>
      <c r="J34" s="22">
        <f t="shared" si="1"/>
        <v>1.4872009432885778E-2</v>
      </c>
      <c r="K34" s="23">
        <v>0</v>
      </c>
      <c r="L34" s="22">
        <f t="shared" si="4"/>
        <v>0</v>
      </c>
      <c r="M34" s="23">
        <v>5</v>
      </c>
      <c r="N34" s="22">
        <f t="shared" si="5"/>
        <v>3.0303030303030304E-2</v>
      </c>
      <c r="Q34" s="55" t="s">
        <v>48</v>
      </c>
      <c r="R34">
        <v>376</v>
      </c>
      <c r="S34">
        <v>1692</v>
      </c>
      <c r="AI34" s="4">
        <v>272</v>
      </c>
      <c r="BJ34" s="4">
        <v>0</v>
      </c>
    </row>
    <row r="35" spans="1:62" s="4" customFormat="1" x14ac:dyDescent="0.5">
      <c r="B35" s="20" t="s">
        <v>49</v>
      </c>
      <c r="C35" s="21">
        <f t="shared" si="6"/>
        <v>61</v>
      </c>
      <c r="D35" s="22">
        <f t="shared" si="2"/>
        <v>2.2599288678126855E-3</v>
      </c>
      <c r="E35" s="23">
        <v>0</v>
      </c>
      <c r="F35" s="22">
        <f t="shared" si="3"/>
        <v>0</v>
      </c>
      <c r="G35" s="23">
        <v>0</v>
      </c>
      <c r="H35" s="22">
        <f t="shared" si="0"/>
        <v>0</v>
      </c>
      <c r="I35" s="23">
        <f>'estab aut municipio x tip y cat'!BK36</f>
        <v>57</v>
      </c>
      <c r="J35" s="22">
        <f t="shared" si="1"/>
        <v>2.1680422958426839E-3</v>
      </c>
      <c r="K35" s="23">
        <v>1</v>
      </c>
      <c r="L35" s="22">
        <f t="shared" si="4"/>
        <v>4.3478260869565216E-2</v>
      </c>
      <c r="M35" s="23">
        <v>3</v>
      </c>
      <c r="N35" s="22">
        <f t="shared" si="5"/>
        <v>1.8181818181818181E-2</v>
      </c>
      <c r="Q35" s="55" t="s">
        <v>49</v>
      </c>
      <c r="R35">
        <v>51</v>
      </c>
      <c r="S35">
        <v>232</v>
      </c>
      <c r="AI35" s="4">
        <v>0</v>
      </c>
      <c r="BJ35" s="4">
        <v>0</v>
      </c>
    </row>
    <row r="36" spans="1:62" s="4" customFormat="1" x14ac:dyDescent="0.5">
      <c r="B36" s="20" t="s">
        <v>50</v>
      </c>
      <c r="C36" s="21">
        <f t="shared" si="6"/>
        <v>82</v>
      </c>
      <c r="D36" s="22">
        <f t="shared" si="2"/>
        <v>3.037937166567872E-3</v>
      </c>
      <c r="E36" s="23">
        <v>1</v>
      </c>
      <c r="F36" s="22">
        <f t="shared" si="3"/>
        <v>3.5335689045936395E-3</v>
      </c>
      <c r="G36" s="23">
        <v>3</v>
      </c>
      <c r="H36" s="22">
        <f t="shared" si="0"/>
        <v>1.3043478260869565E-2</v>
      </c>
      <c r="I36" s="23">
        <f>'estab aut municipio x tip y cat'!BK37</f>
        <v>75</v>
      </c>
      <c r="J36" s="22">
        <f t="shared" si="1"/>
        <v>2.8526872313719524E-3</v>
      </c>
      <c r="K36" s="23">
        <v>0</v>
      </c>
      <c r="L36" s="22">
        <f t="shared" si="4"/>
        <v>0</v>
      </c>
      <c r="M36" s="23">
        <v>3</v>
      </c>
      <c r="N36" s="22">
        <f t="shared" si="5"/>
        <v>1.8181818181818181E-2</v>
      </c>
      <c r="Q36" s="55" t="s">
        <v>50</v>
      </c>
      <c r="R36">
        <v>73</v>
      </c>
      <c r="S36">
        <v>331</v>
      </c>
      <c r="AI36" s="4">
        <v>17</v>
      </c>
      <c r="BJ36" s="4">
        <v>7</v>
      </c>
    </row>
    <row r="37" spans="1:62" s="4" customFormat="1" x14ac:dyDescent="0.5">
      <c r="B37" s="20" t="s">
        <v>51</v>
      </c>
      <c r="C37" s="21">
        <f t="shared" si="6"/>
        <v>64</v>
      </c>
      <c r="D37" s="22">
        <f t="shared" si="2"/>
        <v>2.3710729104919974E-3</v>
      </c>
      <c r="E37" s="23">
        <v>0</v>
      </c>
      <c r="F37" s="22">
        <f t="shared" si="3"/>
        <v>0</v>
      </c>
      <c r="G37" s="23">
        <v>0</v>
      </c>
      <c r="H37" s="22">
        <f t="shared" si="0"/>
        <v>0</v>
      </c>
      <c r="I37" s="23">
        <f>'estab aut municipio x tip y cat'!BK38</f>
        <v>63</v>
      </c>
      <c r="J37" s="22">
        <f t="shared" si="1"/>
        <v>2.3962572743524398E-3</v>
      </c>
      <c r="K37" s="23">
        <v>0</v>
      </c>
      <c r="L37" s="22">
        <f t="shared" si="4"/>
        <v>0</v>
      </c>
      <c r="M37" s="23">
        <v>1</v>
      </c>
      <c r="N37" s="22">
        <f t="shared" si="5"/>
        <v>6.0606060606060606E-3</v>
      </c>
      <c r="Q37" s="55" t="s">
        <v>93</v>
      </c>
      <c r="R37">
        <v>59</v>
      </c>
      <c r="S37">
        <v>319</v>
      </c>
      <c r="AI37" s="4">
        <v>0</v>
      </c>
      <c r="BJ37" s="4">
        <v>0</v>
      </c>
    </row>
    <row r="38" spans="1:62" s="4" customFormat="1" x14ac:dyDescent="0.5">
      <c r="B38" s="20" t="s">
        <v>52</v>
      </c>
      <c r="C38" s="21">
        <f t="shared" si="6"/>
        <v>78</v>
      </c>
      <c r="D38" s="22">
        <f t="shared" si="2"/>
        <v>2.8897451096621223E-3</v>
      </c>
      <c r="E38" s="23">
        <v>4</v>
      </c>
      <c r="F38" s="22">
        <f t="shared" si="3"/>
        <v>1.4134275618374558E-2</v>
      </c>
      <c r="G38" s="23">
        <v>1</v>
      </c>
      <c r="H38" s="22">
        <f t="shared" si="0"/>
        <v>4.3478260869565218E-3</v>
      </c>
      <c r="I38" s="23">
        <f>'estab aut municipio x tip y cat'!BK39</f>
        <v>71</v>
      </c>
      <c r="J38" s="22">
        <f t="shared" si="1"/>
        <v>2.7005439123654481E-3</v>
      </c>
      <c r="K38" s="23">
        <v>1</v>
      </c>
      <c r="L38" s="22">
        <f t="shared" si="4"/>
        <v>4.3478260869565216E-2</v>
      </c>
      <c r="M38" s="23">
        <v>1</v>
      </c>
      <c r="N38" s="22">
        <f t="shared" si="5"/>
        <v>6.0606060606060606E-3</v>
      </c>
      <c r="Q38" s="55" t="s">
        <v>94</v>
      </c>
      <c r="R38">
        <v>70</v>
      </c>
      <c r="S38">
        <v>447</v>
      </c>
      <c r="AI38" s="4">
        <v>6</v>
      </c>
      <c r="BJ38" s="4">
        <v>6</v>
      </c>
    </row>
    <row r="39" spans="1:62" s="4" customFormat="1" ht="15" customHeight="1" x14ac:dyDescent="0.5">
      <c r="B39" s="20"/>
      <c r="C39" s="21"/>
      <c r="D39" s="22"/>
      <c r="E39" s="23"/>
      <c r="F39" s="22"/>
      <c r="G39" s="23"/>
      <c r="H39" s="22"/>
      <c r="I39" s="23"/>
      <c r="J39" s="22"/>
      <c r="K39" s="23"/>
      <c r="L39" s="22"/>
      <c r="M39" s="23"/>
      <c r="N39" s="22"/>
      <c r="Q39" s="55" t="s">
        <v>95</v>
      </c>
      <c r="R39">
        <v>1</v>
      </c>
      <c r="S39">
        <v>4</v>
      </c>
      <c r="AI39" s="4">
        <v>0</v>
      </c>
      <c r="BJ39" s="4">
        <v>0</v>
      </c>
    </row>
    <row r="40" spans="1:62" s="4" customFormat="1" ht="6" customHeight="1" x14ac:dyDescent="0.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  <c r="Q40" s="53" t="s">
        <v>79</v>
      </c>
      <c r="R40" s="81">
        <v>24785</v>
      </c>
      <c r="S40" s="81">
        <v>102512</v>
      </c>
    </row>
    <row r="41" spans="1:62" s="4" customFormat="1" ht="23.25" customHeight="1" x14ac:dyDescent="0.5">
      <c r="B41" s="89" t="s">
        <v>53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62" x14ac:dyDescent="0.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31"/>
      <c r="N42" s="4"/>
      <c r="O42" s="4"/>
    </row>
  </sheetData>
  <mergeCells count="9">
    <mergeCell ref="B41:N41"/>
    <mergeCell ref="B3:N3"/>
    <mergeCell ref="B5:B6"/>
    <mergeCell ref="C5:D5"/>
    <mergeCell ref="E5:F5"/>
    <mergeCell ref="G5:H5"/>
    <mergeCell ref="I5:J5"/>
    <mergeCell ref="K5:L5"/>
    <mergeCell ref="M5:N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42E6-74DC-42E9-BE90-BA4B712BB3AA}">
  <sheetPr>
    <tabColor rgb="FF92D050"/>
  </sheetPr>
  <dimension ref="A1:BS80"/>
  <sheetViews>
    <sheetView showGridLines="0" zoomScaleNormal="100" workbookViewId="0">
      <pane xSplit="2" ySplit="7" topLeftCell="C8" activePane="bottomRight" state="frozen"/>
      <selection activeCell="B13" sqref="B13"/>
      <selection pane="topRight" activeCell="B13" sqref="B13"/>
      <selection pane="bottomLeft" activeCell="B13" sqref="B13"/>
      <selection pane="bottomRight" activeCell="C8" sqref="C8"/>
    </sheetView>
  </sheetViews>
  <sheetFormatPr baseColWidth="10" defaultRowHeight="14.35" x14ac:dyDescent="0.5"/>
  <cols>
    <col min="1" max="1" width="17.703125" customWidth="1"/>
    <col min="2" max="2" width="23" customWidth="1"/>
    <col min="3" max="71" width="8.41015625" customWidth="1"/>
  </cols>
  <sheetData>
    <row r="1" spans="1:71" ht="30" customHeight="1" x14ac:dyDescent="0.5">
      <c r="F1" s="1"/>
      <c r="H1" s="1"/>
      <c r="I1" s="1"/>
      <c r="K1" s="1"/>
      <c r="L1" s="1"/>
      <c r="N1" s="32"/>
      <c r="O1" s="32"/>
      <c r="Q1" s="1"/>
      <c r="R1" s="1"/>
      <c r="T1" s="1"/>
      <c r="U1" s="1"/>
      <c r="W1" s="1"/>
      <c r="X1" s="1"/>
      <c r="Z1" s="1"/>
      <c r="AA1" s="1"/>
      <c r="AC1" s="1"/>
      <c r="AD1" s="1"/>
      <c r="AF1" s="1"/>
      <c r="AG1" s="1"/>
      <c r="AI1" s="1"/>
      <c r="AJ1" s="1"/>
      <c r="AL1" s="1"/>
      <c r="AM1" s="1"/>
      <c r="AO1" s="1"/>
      <c r="AP1" s="1"/>
      <c r="AR1" s="1"/>
      <c r="AS1" s="1"/>
      <c r="AU1" s="1"/>
      <c r="AV1" s="1"/>
      <c r="AX1" s="1"/>
      <c r="AY1" s="1"/>
      <c r="BA1" s="1"/>
      <c r="BB1" s="1"/>
      <c r="BD1" s="1"/>
      <c r="BE1" s="1"/>
      <c r="BG1" s="1"/>
      <c r="BH1" s="1"/>
      <c r="BJ1" s="1"/>
      <c r="BK1" s="1"/>
      <c r="BM1" s="1"/>
      <c r="BN1" s="1"/>
      <c r="BP1" s="1"/>
      <c r="BQ1" s="1"/>
      <c r="BS1" s="1"/>
    </row>
    <row r="3" spans="1:71" s="4" customFormat="1" ht="56.25" customHeight="1" thickBot="1" x14ac:dyDescent="0.55000000000000004">
      <c r="B3" s="91" t="s">
        <v>124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</row>
    <row r="4" spans="1:71" s="4" customFormat="1" ht="6" customHeight="1" x14ac:dyDescent="0.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1:71" s="4" customFormat="1" x14ac:dyDescent="0.5">
      <c r="B5" s="13"/>
      <c r="C5" s="102" t="s">
        <v>15</v>
      </c>
      <c r="D5" s="102"/>
      <c r="E5" s="102"/>
      <c r="F5" s="104" t="s">
        <v>58</v>
      </c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6" t="s">
        <v>59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95" t="s">
        <v>16</v>
      </c>
      <c r="BL5" s="96"/>
      <c r="BM5" s="96"/>
      <c r="BN5" s="98" t="s">
        <v>17</v>
      </c>
      <c r="BO5" s="99"/>
      <c r="BP5" s="100"/>
      <c r="BQ5" s="95" t="s">
        <v>18</v>
      </c>
      <c r="BR5" s="96"/>
      <c r="BS5" s="96"/>
    </row>
    <row r="6" spans="1:71" s="4" customFormat="1" x14ac:dyDescent="0.5">
      <c r="B6" s="92" t="s">
        <v>14</v>
      </c>
      <c r="C6" s="102"/>
      <c r="D6" s="102"/>
      <c r="E6" s="102"/>
      <c r="F6" s="93" t="s">
        <v>60</v>
      </c>
      <c r="G6" s="92"/>
      <c r="H6" s="94"/>
      <c r="I6" s="93" t="s">
        <v>61</v>
      </c>
      <c r="J6" s="92"/>
      <c r="K6" s="94"/>
      <c r="L6" s="93" t="s">
        <v>62</v>
      </c>
      <c r="M6" s="92"/>
      <c r="N6" s="94"/>
      <c r="O6" s="93" t="s">
        <v>63</v>
      </c>
      <c r="P6" s="92"/>
      <c r="Q6" s="94"/>
      <c r="R6" s="93" t="s">
        <v>64</v>
      </c>
      <c r="S6" s="92"/>
      <c r="T6" s="94"/>
      <c r="U6" s="93" t="s">
        <v>65</v>
      </c>
      <c r="V6" s="92"/>
      <c r="W6" s="94"/>
      <c r="X6" s="93" t="s">
        <v>66</v>
      </c>
      <c r="Y6" s="92"/>
      <c r="Z6" s="94"/>
      <c r="AA6" s="93" t="s">
        <v>67</v>
      </c>
      <c r="AB6" s="92"/>
      <c r="AC6" s="94"/>
      <c r="AD6" s="93" t="s">
        <v>68</v>
      </c>
      <c r="AE6" s="92"/>
      <c r="AF6" s="92"/>
      <c r="AG6" s="98" t="s">
        <v>69</v>
      </c>
      <c r="AH6" s="99"/>
      <c r="AI6" s="100"/>
      <c r="AJ6" s="98" t="s">
        <v>70</v>
      </c>
      <c r="AK6" s="99"/>
      <c r="AL6" s="100"/>
      <c r="AM6" s="98" t="s">
        <v>71</v>
      </c>
      <c r="AN6" s="99"/>
      <c r="AO6" s="100"/>
      <c r="AP6" s="98" t="s">
        <v>72</v>
      </c>
      <c r="AQ6" s="99"/>
      <c r="AR6" s="100"/>
      <c r="AS6" s="98" t="s">
        <v>73</v>
      </c>
      <c r="AT6" s="99"/>
      <c r="AU6" s="100"/>
      <c r="AV6" s="98" t="s">
        <v>63</v>
      </c>
      <c r="AW6" s="99"/>
      <c r="AX6" s="100"/>
      <c r="AY6" s="98" t="s">
        <v>64</v>
      </c>
      <c r="AZ6" s="99"/>
      <c r="BA6" s="100"/>
      <c r="BB6" s="98" t="s">
        <v>65</v>
      </c>
      <c r="BC6" s="99"/>
      <c r="BD6" s="100"/>
      <c r="BE6" s="98" t="s">
        <v>74</v>
      </c>
      <c r="BF6" s="99"/>
      <c r="BG6" s="100"/>
      <c r="BH6" s="98" t="s">
        <v>75</v>
      </c>
      <c r="BI6" s="99"/>
      <c r="BJ6" s="99"/>
      <c r="BK6" s="97"/>
      <c r="BL6" s="92"/>
      <c r="BM6" s="92"/>
      <c r="BN6" s="101"/>
      <c r="BO6" s="102"/>
      <c r="BP6" s="103"/>
      <c r="BQ6" s="97"/>
      <c r="BR6" s="92"/>
      <c r="BS6" s="92"/>
    </row>
    <row r="7" spans="1:71" s="4" customFormat="1" ht="72.75" customHeight="1" x14ac:dyDescent="0.5">
      <c r="B7" s="92"/>
      <c r="C7" s="38" t="s">
        <v>19</v>
      </c>
      <c r="D7" s="39" t="s">
        <v>76</v>
      </c>
      <c r="E7" s="40" t="s">
        <v>77</v>
      </c>
      <c r="F7" s="14" t="s">
        <v>19</v>
      </c>
      <c r="G7" s="41" t="s">
        <v>76</v>
      </c>
      <c r="H7" s="15" t="s">
        <v>77</v>
      </c>
      <c r="I7" s="14" t="s">
        <v>19</v>
      </c>
      <c r="J7" s="41" t="s">
        <v>76</v>
      </c>
      <c r="K7" s="15" t="s">
        <v>77</v>
      </c>
      <c r="L7" s="14" t="s">
        <v>19</v>
      </c>
      <c r="M7" s="41" t="s">
        <v>76</v>
      </c>
      <c r="N7" s="15" t="s">
        <v>77</v>
      </c>
      <c r="O7" s="14" t="s">
        <v>19</v>
      </c>
      <c r="P7" s="41" t="s">
        <v>76</v>
      </c>
      <c r="Q7" s="15" t="s">
        <v>77</v>
      </c>
      <c r="R7" s="14" t="s">
        <v>19</v>
      </c>
      <c r="S7" s="41" t="s">
        <v>76</v>
      </c>
      <c r="T7" s="15" t="s">
        <v>77</v>
      </c>
      <c r="U7" s="14" t="s">
        <v>19</v>
      </c>
      <c r="V7" s="41" t="s">
        <v>76</v>
      </c>
      <c r="W7" s="15" t="s">
        <v>77</v>
      </c>
      <c r="X7" s="14" t="s">
        <v>19</v>
      </c>
      <c r="Y7" s="41" t="s">
        <v>76</v>
      </c>
      <c r="Z7" s="15" t="s">
        <v>77</v>
      </c>
      <c r="AA7" s="14" t="s">
        <v>19</v>
      </c>
      <c r="AB7" s="41" t="s">
        <v>76</v>
      </c>
      <c r="AC7" s="15" t="s">
        <v>77</v>
      </c>
      <c r="AD7" s="14" t="s">
        <v>19</v>
      </c>
      <c r="AE7" s="41" t="s">
        <v>76</v>
      </c>
      <c r="AF7" s="42" t="s">
        <v>77</v>
      </c>
      <c r="AG7" s="43" t="s">
        <v>19</v>
      </c>
      <c r="AH7" s="44" t="s">
        <v>76</v>
      </c>
      <c r="AI7" s="45" t="s">
        <v>77</v>
      </c>
      <c r="AJ7" s="43" t="s">
        <v>19</v>
      </c>
      <c r="AK7" s="44" t="s">
        <v>76</v>
      </c>
      <c r="AL7" s="45" t="s">
        <v>77</v>
      </c>
      <c r="AM7" s="43" t="s">
        <v>19</v>
      </c>
      <c r="AN7" s="44" t="s">
        <v>76</v>
      </c>
      <c r="AO7" s="45" t="s">
        <v>77</v>
      </c>
      <c r="AP7" s="43" t="s">
        <v>19</v>
      </c>
      <c r="AQ7" s="44" t="s">
        <v>76</v>
      </c>
      <c r="AR7" s="45" t="s">
        <v>77</v>
      </c>
      <c r="AS7" s="43" t="s">
        <v>19</v>
      </c>
      <c r="AT7" s="44" t="s">
        <v>76</v>
      </c>
      <c r="AU7" s="45" t="s">
        <v>77</v>
      </c>
      <c r="AV7" s="43" t="s">
        <v>19</v>
      </c>
      <c r="AW7" s="44" t="s">
        <v>76</v>
      </c>
      <c r="AX7" s="45" t="s">
        <v>77</v>
      </c>
      <c r="AY7" s="43" t="s">
        <v>19</v>
      </c>
      <c r="AZ7" s="44" t="s">
        <v>76</v>
      </c>
      <c r="BA7" s="45" t="s">
        <v>77</v>
      </c>
      <c r="BB7" s="43" t="s">
        <v>19</v>
      </c>
      <c r="BC7" s="44" t="s">
        <v>76</v>
      </c>
      <c r="BD7" s="45" t="s">
        <v>77</v>
      </c>
      <c r="BE7" s="43" t="s">
        <v>19</v>
      </c>
      <c r="BF7" s="44" t="s">
        <v>76</v>
      </c>
      <c r="BG7" s="45" t="s">
        <v>77</v>
      </c>
      <c r="BH7" s="43" t="s">
        <v>19</v>
      </c>
      <c r="BI7" s="44" t="s">
        <v>76</v>
      </c>
      <c r="BJ7" s="46" t="s">
        <v>77</v>
      </c>
      <c r="BK7" s="47" t="s">
        <v>19</v>
      </c>
      <c r="BL7" s="41" t="s">
        <v>76</v>
      </c>
      <c r="BM7" s="48" t="s">
        <v>77</v>
      </c>
      <c r="BN7" s="49" t="s">
        <v>19</v>
      </c>
      <c r="BO7" s="39" t="s">
        <v>76</v>
      </c>
      <c r="BP7" s="40" t="s">
        <v>77</v>
      </c>
      <c r="BQ7" s="14" t="s">
        <v>19</v>
      </c>
      <c r="BR7" s="41" t="s">
        <v>76</v>
      </c>
      <c r="BS7" s="15" t="s">
        <v>77</v>
      </c>
    </row>
    <row r="8" spans="1:71" s="19" customFormat="1" ht="15.7" x14ac:dyDescent="0.55000000000000004">
      <c r="B8" s="16" t="s">
        <v>21</v>
      </c>
      <c r="C8" s="17">
        <f t="shared" ref="C8:D39" si="0">F8+AG8+BK8+BN8+BQ8</f>
        <v>26992</v>
      </c>
      <c r="D8" s="52">
        <f>G8+AH8+BL8+BO8+BR8</f>
        <v>10318</v>
      </c>
      <c r="E8" s="51">
        <f>C8/(C8-D8)-1</f>
        <v>0.61880772460117539</v>
      </c>
      <c r="F8" s="17">
        <v>283</v>
      </c>
      <c r="G8" s="52">
        <v>7</v>
      </c>
      <c r="H8" s="51">
        <v>2.5362318840579601E-2</v>
      </c>
      <c r="I8" s="17">
        <v>43</v>
      </c>
      <c r="J8" s="52">
        <v>1</v>
      </c>
      <c r="K8" s="18">
        <v>2.3809523809523725E-2</v>
      </c>
      <c r="L8" s="17">
        <v>30</v>
      </c>
      <c r="M8" s="52">
        <v>0</v>
      </c>
      <c r="N8" s="18">
        <v>0</v>
      </c>
      <c r="O8" s="17">
        <v>54</v>
      </c>
      <c r="P8" s="52">
        <v>0</v>
      </c>
      <c r="Q8" s="18">
        <v>0</v>
      </c>
      <c r="R8" s="17">
        <v>112</v>
      </c>
      <c r="S8" s="52">
        <v>2</v>
      </c>
      <c r="T8" s="18">
        <v>1.8181818181818077E-2</v>
      </c>
      <c r="U8" s="17">
        <v>18</v>
      </c>
      <c r="V8" s="52">
        <v>1</v>
      </c>
      <c r="W8" s="18">
        <v>5.8823529411764719E-2</v>
      </c>
      <c r="X8" s="17">
        <v>4</v>
      </c>
      <c r="Y8" s="52">
        <v>0</v>
      </c>
      <c r="Z8" s="18">
        <v>0</v>
      </c>
      <c r="AA8" s="17">
        <v>9</v>
      </c>
      <c r="AB8" s="52">
        <v>1</v>
      </c>
      <c r="AC8" s="18">
        <v>0.125</v>
      </c>
      <c r="AD8" s="17">
        <v>13</v>
      </c>
      <c r="AE8" s="52">
        <v>2</v>
      </c>
      <c r="AF8" s="18">
        <v>0.18181818181818188</v>
      </c>
      <c r="AG8" s="17">
        <v>230</v>
      </c>
      <c r="AH8" s="52">
        <v>0</v>
      </c>
      <c r="AI8" s="18">
        <v>0</v>
      </c>
      <c r="AJ8" s="17">
        <v>45</v>
      </c>
      <c r="AK8" s="52">
        <v>-2</v>
      </c>
      <c r="AL8" s="18">
        <v>-4.2553191489361653E-2</v>
      </c>
      <c r="AM8" s="17">
        <v>52</v>
      </c>
      <c r="AN8" s="52">
        <v>-1</v>
      </c>
      <c r="AO8" s="18">
        <v>-1.8867924528301883E-2</v>
      </c>
      <c r="AP8" s="17">
        <v>43</v>
      </c>
      <c r="AQ8" s="52">
        <v>0</v>
      </c>
      <c r="AR8" s="18">
        <v>0</v>
      </c>
      <c r="AS8" s="17">
        <v>1</v>
      </c>
      <c r="AT8" s="52">
        <v>0</v>
      </c>
      <c r="AU8" s="18">
        <v>0</v>
      </c>
      <c r="AV8" s="17">
        <v>24</v>
      </c>
      <c r="AW8" s="52">
        <v>0</v>
      </c>
      <c r="AX8" s="18">
        <v>0</v>
      </c>
      <c r="AY8" s="17">
        <v>9</v>
      </c>
      <c r="AZ8" s="52">
        <v>0</v>
      </c>
      <c r="BA8" s="18">
        <v>0</v>
      </c>
      <c r="BB8" s="17">
        <v>4</v>
      </c>
      <c r="BC8" s="52">
        <v>0</v>
      </c>
      <c r="BD8" s="18">
        <v>0</v>
      </c>
      <c r="BE8" s="17">
        <v>34</v>
      </c>
      <c r="BF8" s="52">
        <v>3</v>
      </c>
      <c r="BG8" s="18">
        <v>9.6774193548387011E-2</v>
      </c>
      <c r="BH8" s="17">
        <v>18</v>
      </c>
      <c r="BI8" s="52">
        <v>0</v>
      </c>
      <c r="BJ8" s="18">
        <v>0</v>
      </c>
      <c r="BK8" s="17">
        <v>26291</v>
      </c>
      <c r="BL8" s="52">
        <v>10311</v>
      </c>
      <c r="BM8" s="18">
        <v>0.64520367936925105</v>
      </c>
      <c r="BN8" s="17">
        <v>23</v>
      </c>
      <c r="BO8" s="52">
        <v>0</v>
      </c>
      <c r="BP8" s="18">
        <v>0</v>
      </c>
      <c r="BQ8" s="17">
        <v>165</v>
      </c>
      <c r="BR8" s="52">
        <v>0</v>
      </c>
      <c r="BS8" s="18">
        <v>6.0975609756097615E-3</v>
      </c>
    </row>
    <row r="9" spans="1:71" s="4" customFormat="1" x14ac:dyDescent="0.5">
      <c r="A9" s="24"/>
      <c r="B9" s="20" t="s">
        <v>22</v>
      </c>
      <c r="C9" s="21">
        <f t="shared" si="0"/>
        <v>4950</v>
      </c>
      <c r="D9" s="25">
        <f t="shared" si="0"/>
        <v>1905</v>
      </c>
      <c r="E9" s="54">
        <f t="shared" ref="E9:E39" si="1">C9/(C9-D9)-1</f>
        <v>0.62561576354679804</v>
      </c>
      <c r="F9" s="21">
        <v>68</v>
      </c>
      <c r="G9" s="25">
        <v>2</v>
      </c>
      <c r="H9" s="54">
        <v>3.0303030303030276E-2</v>
      </c>
      <c r="I9" s="23">
        <v>6</v>
      </c>
      <c r="J9" s="25">
        <v>0</v>
      </c>
      <c r="K9" s="54">
        <v>0</v>
      </c>
      <c r="L9" s="23">
        <v>1</v>
      </c>
      <c r="M9" s="25">
        <v>0</v>
      </c>
      <c r="N9" s="54">
        <v>0</v>
      </c>
      <c r="O9" s="23">
        <v>8</v>
      </c>
      <c r="P9" s="25">
        <v>0</v>
      </c>
      <c r="Q9" s="54">
        <v>0</v>
      </c>
      <c r="R9" s="23">
        <v>34</v>
      </c>
      <c r="S9" s="25">
        <v>1</v>
      </c>
      <c r="T9" s="54">
        <v>3.0303030303030276E-2</v>
      </c>
      <c r="U9" s="23">
        <v>11</v>
      </c>
      <c r="V9" s="25">
        <v>0</v>
      </c>
      <c r="W9" s="54">
        <v>0</v>
      </c>
      <c r="X9" s="23">
        <v>2</v>
      </c>
      <c r="Y9" s="25">
        <v>0</v>
      </c>
      <c r="Z9" s="54">
        <v>0</v>
      </c>
      <c r="AA9" s="23">
        <v>6</v>
      </c>
      <c r="AB9" s="25">
        <v>1</v>
      </c>
      <c r="AC9" s="54">
        <v>0.19999999999999996</v>
      </c>
      <c r="AD9" s="23">
        <v>0</v>
      </c>
      <c r="AE9" s="25">
        <v>0</v>
      </c>
      <c r="AF9" s="54" t="s">
        <v>121</v>
      </c>
      <c r="AG9" s="23">
        <v>50</v>
      </c>
      <c r="AH9" s="25">
        <v>0</v>
      </c>
      <c r="AI9" s="54">
        <v>0</v>
      </c>
      <c r="AJ9" s="23">
        <v>5</v>
      </c>
      <c r="AK9" s="25">
        <v>0</v>
      </c>
      <c r="AL9" s="54">
        <v>0</v>
      </c>
      <c r="AM9" s="23">
        <v>17</v>
      </c>
      <c r="AN9" s="25">
        <v>0</v>
      </c>
      <c r="AO9" s="54">
        <v>0</v>
      </c>
      <c r="AP9" s="23">
        <v>11</v>
      </c>
      <c r="AQ9" s="25">
        <v>0</v>
      </c>
      <c r="AR9" s="54">
        <v>0</v>
      </c>
      <c r="AS9" s="23">
        <v>0</v>
      </c>
      <c r="AT9" s="25">
        <v>0</v>
      </c>
      <c r="AU9" s="54" t="s">
        <v>121</v>
      </c>
      <c r="AV9" s="23">
        <v>10</v>
      </c>
      <c r="AW9" s="25">
        <v>0</v>
      </c>
      <c r="AX9" s="54">
        <v>0</v>
      </c>
      <c r="AY9" s="23">
        <v>1</v>
      </c>
      <c r="AZ9" s="25">
        <v>0</v>
      </c>
      <c r="BA9" s="54">
        <v>0</v>
      </c>
      <c r="BB9" s="23">
        <v>1</v>
      </c>
      <c r="BC9" s="25">
        <v>0</v>
      </c>
      <c r="BD9" s="54">
        <v>0</v>
      </c>
      <c r="BE9" s="23">
        <v>1</v>
      </c>
      <c r="BF9" s="25">
        <v>0</v>
      </c>
      <c r="BG9" s="54">
        <v>0</v>
      </c>
      <c r="BH9" s="23">
        <v>4</v>
      </c>
      <c r="BI9" s="25">
        <v>0</v>
      </c>
      <c r="BJ9" s="54">
        <v>0</v>
      </c>
      <c r="BK9" s="23">
        <v>4828</v>
      </c>
      <c r="BL9" s="25">
        <v>1904</v>
      </c>
      <c r="BM9" s="54">
        <v>0.65116279069767447</v>
      </c>
      <c r="BN9" s="23">
        <v>1</v>
      </c>
      <c r="BO9" s="25">
        <v>0</v>
      </c>
      <c r="BP9" s="54">
        <v>0</v>
      </c>
      <c r="BQ9" s="23">
        <v>3</v>
      </c>
      <c r="BR9" s="25">
        <v>-1</v>
      </c>
      <c r="BS9" s="54">
        <v>-0.25</v>
      </c>
    </row>
    <row r="10" spans="1:71" s="4" customFormat="1" x14ac:dyDescent="0.5">
      <c r="A10" s="24"/>
      <c r="B10" s="20" t="s">
        <v>23</v>
      </c>
      <c r="C10" s="21">
        <f t="shared" si="0"/>
        <v>65</v>
      </c>
      <c r="D10" s="25">
        <f t="shared" si="0"/>
        <v>28</v>
      </c>
      <c r="E10" s="54">
        <f t="shared" si="1"/>
        <v>0.7567567567567568</v>
      </c>
      <c r="F10" s="21">
        <v>0</v>
      </c>
      <c r="G10" s="25">
        <v>0</v>
      </c>
      <c r="H10" s="54" t="s">
        <v>121</v>
      </c>
      <c r="I10" s="23">
        <v>0</v>
      </c>
      <c r="J10" s="25">
        <v>0</v>
      </c>
      <c r="K10" s="54" t="s">
        <v>121</v>
      </c>
      <c r="L10" s="23">
        <v>0</v>
      </c>
      <c r="M10" s="25">
        <v>0</v>
      </c>
      <c r="N10" s="54" t="s">
        <v>121</v>
      </c>
      <c r="O10" s="23">
        <v>0</v>
      </c>
      <c r="P10" s="25">
        <v>0</v>
      </c>
      <c r="Q10" s="54" t="s">
        <v>121</v>
      </c>
      <c r="R10" s="23">
        <v>0</v>
      </c>
      <c r="S10" s="25">
        <v>0</v>
      </c>
      <c r="T10" s="54" t="s">
        <v>121</v>
      </c>
      <c r="U10" s="23">
        <v>0</v>
      </c>
      <c r="V10" s="25">
        <v>0</v>
      </c>
      <c r="W10" s="54" t="s">
        <v>121</v>
      </c>
      <c r="X10" s="23">
        <v>0</v>
      </c>
      <c r="Y10" s="25">
        <v>0</v>
      </c>
      <c r="Z10" s="54" t="s">
        <v>121</v>
      </c>
      <c r="AA10" s="23">
        <v>0</v>
      </c>
      <c r="AB10" s="25">
        <v>0</v>
      </c>
      <c r="AC10" s="54" t="s">
        <v>121</v>
      </c>
      <c r="AD10" s="23">
        <v>0</v>
      </c>
      <c r="AE10" s="25">
        <v>0</v>
      </c>
      <c r="AF10" s="54" t="s">
        <v>121</v>
      </c>
      <c r="AG10" s="23">
        <v>0</v>
      </c>
      <c r="AH10" s="25">
        <v>0</v>
      </c>
      <c r="AI10" s="54" t="s">
        <v>121</v>
      </c>
      <c r="AJ10" s="23">
        <v>0</v>
      </c>
      <c r="AK10" s="25">
        <v>0</v>
      </c>
      <c r="AL10" s="54" t="s">
        <v>121</v>
      </c>
      <c r="AM10" s="23">
        <v>0</v>
      </c>
      <c r="AN10" s="25">
        <v>0</v>
      </c>
      <c r="AO10" s="54" t="s">
        <v>121</v>
      </c>
      <c r="AP10" s="23">
        <v>0</v>
      </c>
      <c r="AQ10" s="25">
        <v>0</v>
      </c>
      <c r="AR10" s="54" t="s">
        <v>121</v>
      </c>
      <c r="AS10" s="23">
        <v>0</v>
      </c>
      <c r="AT10" s="25">
        <v>0</v>
      </c>
      <c r="AU10" s="54" t="s">
        <v>121</v>
      </c>
      <c r="AV10" s="23">
        <v>0</v>
      </c>
      <c r="AW10" s="25">
        <v>0</v>
      </c>
      <c r="AX10" s="54" t="s">
        <v>121</v>
      </c>
      <c r="AY10" s="23">
        <v>0</v>
      </c>
      <c r="AZ10" s="25">
        <v>0</v>
      </c>
      <c r="BA10" s="54" t="s">
        <v>121</v>
      </c>
      <c r="BB10" s="23">
        <v>0</v>
      </c>
      <c r="BC10" s="25">
        <v>0</v>
      </c>
      <c r="BD10" s="54" t="s">
        <v>121</v>
      </c>
      <c r="BE10" s="23">
        <v>0</v>
      </c>
      <c r="BF10" s="25">
        <v>0</v>
      </c>
      <c r="BG10" s="54" t="s">
        <v>121</v>
      </c>
      <c r="BH10" s="23">
        <v>0</v>
      </c>
      <c r="BI10" s="25">
        <v>0</v>
      </c>
      <c r="BJ10" s="54" t="s">
        <v>121</v>
      </c>
      <c r="BK10" s="23">
        <v>62</v>
      </c>
      <c r="BL10" s="25">
        <v>28</v>
      </c>
      <c r="BM10" s="54">
        <v>0.82352941176470584</v>
      </c>
      <c r="BN10" s="23">
        <v>0</v>
      </c>
      <c r="BO10" s="25">
        <v>0</v>
      </c>
      <c r="BP10" s="54" t="s">
        <v>121</v>
      </c>
      <c r="BQ10" s="23">
        <v>3</v>
      </c>
      <c r="BR10" s="25">
        <v>0</v>
      </c>
      <c r="BS10" s="54">
        <v>0</v>
      </c>
    </row>
    <row r="11" spans="1:71" s="4" customFormat="1" x14ac:dyDescent="0.5">
      <c r="A11" s="24"/>
      <c r="B11" s="20" t="s">
        <v>24</v>
      </c>
      <c r="C11" s="21">
        <f t="shared" si="0"/>
        <v>706</v>
      </c>
      <c r="D11" s="25">
        <f t="shared" si="0"/>
        <v>219</v>
      </c>
      <c r="E11" s="54">
        <f t="shared" si="1"/>
        <v>0.4496919917864477</v>
      </c>
      <c r="F11" s="21">
        <v>1</v>
      </c>
      <c r="G11" s="25">
        <v>0</v>
      </c>
      <c r="H11" s="54">
        <v>0</v>
      </c>
      <c r="I11" s="23">
        <v>0</v>
      </c>
      <c r="J11" s="25">
        <v>0</v>
      </c>
      <c r="K11" s="54" t="s">
        <v>121</v>
      </c>
      <c r="L11" s="23">
        <v>1</v>
      </c>
      <c r="M11" s="25">
        <v>0</v>
      </c>
      <c r="N11" s="54">
        <v>0</v>
      </c>
      <c r="O11" s="23">
        <v>0</v>
      </c>
      <c r="P11" s="25">
        <v>0</v>
      </c>
      <c r="Q11" s="54" t="s">
        <v>121</v>
      </c>
      <c r="R11" s="23">
        <v>0</v>
      </c>
      <c r="S11" s="25">
        <v>0</v>
      </c>
      <c r="T11" s="54" t="s">
        <v>121</v>
      </c>
      <c r="U11" s="23">
        <v>0</v>
      </c>
      <c r="V11" s="25">
        <v>0</v>
      </c>
      <c r="W11" s="54" t="s">
        <v>121</v>
      </c>
      <c r="X11" s="23">
        <v>0</v>
      </c>
      <c r="Y11" s="25">
        <v>0</v>
      </c>
      <c r="Z11" s="54" t="s">
        <v>121</v>
      </c>
      <c r="AA11" s="23">
        <v>0</v>
      </c>
      <c r="AB11" s="25">
        <v>0</v>
      </c>
      <c r="AC11" s="54" t="s">
        <v>121</v>
      </c>
      <c r="AD11" s="23">
        <v>0</v>
      </c>
      <c r="AE11" s="25">
        <v>0</v>
      </c>
      <c r="AF11" s="54" t="s">
        <v>121</v>
      </c>
      <c r="AG11" s="23">
        <v>6</v>
      </c>
      <c r="AH11" s="25">
        <v>0</v>
      </c>
      <c r="AI11" s="54">
        <v>0</v>
      </c>
      <c r="AJ11" s="23">
        <v>0</v>
      </c>
      <c r="AK11" s="25">
        <v>0</v>
      </c>
      <c r="AL11" s="54" t="s">
        <v>121</v>
      </c>
      <c r="AM11" s="23">
        <v>0</v>
      </c>
      <c r="AN11" s="25">
        <v>0</v>
      </c>
      <c r="AO11" s="54" t="s">
        <v>121</v>
      </c>
      <c r="AP11" s="23">
        <v>0</v>
      </c>
      <c r="AQ11" s="25">
        <v>0</v>
      </c>
      <c r="AR11" s="54" t="s">
        <v>121</v>
      </c>
      <c r="AS11" s="23">
        <v>0</v>
      </c>
      <c r="AT11" s="25">
        <v>0</v>
      </c>
      <c r="AU11" s="54" t="s">
        <v>121</v>
      </c>
      <c r="AV11" s="23">
        <v>0</v>
      </c>
      <c r="AW11" s="25">
        <v>0</v>
      </c>
      <c r="AX11" s="54" t="s">
        <v>121</v>
      </c>
      <c r="AY11" s="23">
        <v>0</v>
      </c>
      <c r="AZ11" s="25">
        <v>0</v>
      </c>
      <c r="BA11" s="54" t="s">
        <v>121</v>
      </c>
      <c r="BB11" s="23">
        <v>0</v>
      </c>
      <c r="BC11" s="25">
        <v>0</v>
      </c>
      <c r="BD11" s="54" t="s">
        <v>121</v>
      </c>
      <c r="BE11" s="23">
        <v>1</v>
      </c>
      <c r="BF11" s="25">
        <v>0</v>
      </c>
      <c r="BG11" s="54">
        <v>0</v>
      </c>
      <c r="BH11" s="23">
        <v>5</v>
      </c>
      <c r="BI11" s="25">
        <v>0</v>
      </c>
      <c r="BJ11" s="54">
        <v>0</v>
      </c>
      <c r="BK11" s="23">
        <v>686</v>
      </c>
      <c r="BL11" s="25">
        <v>219</v>
      </c>
      <c r="BM11" s="54">
        <v>0.46895074946466808</v>
      </c>
      <c r="BN11" s="23">
        <v>0</v>
      </c>
      <c r="BO11" s="25">
        <v>0</v>
      </c>
      <c r="BP11" s="54" t="s">
        <v>121</v>
      </c>
      <c r="BQ11" s="23">
        <v>13</v>
      </c>
      <c r="BR11" s="25">
        <v>0</v>
      </c>
      <c r="BS11" s="54">
        <v>0</v>
      </c>
    </row>
    <row r="12" spans="1:71" s="4" customFormat="1" x14ac:dyDescent="0.5">
      <c r="A12" s="24"/>
      <c r="B12" s="20" t="s">
        <v>25</v>
      </c>
      <c r="C12" s="21">
        <f t="shared" si="0"/>
        <v>5937</v>
      </c>
      <c r="D12" s="25">
        <f t="shared" si="0"/>
        <v>2075</v>
      </c>
      <c r="E12" s="54">
        <f t="shared" si="1"/>
        <v>0.53728638011393071</v>
      </c>
      <c r="F12" s="21">
        <v>45</v>
      </c>
      <c r="G12" s="25">
        <v>1</v>
      </c>
      <c r="H12" s="54">
        <v>2.2727272727272707E-2</v>
      </c>
      <c r="I12" s="23">
        <v>10</v>
      </c>
      <c r="J12" s="25">
        <v>0</v>
      </c>
      <c r="K12" s="54">
        <v>0</v>
      </c>
      <c r="L12" s="23">
        <v>2</v>
      </c>
      <c r="M12" s="25">
        <v>0</v>
      </c>
      <c r="N12" s="54">
        <v>0</v>
      </c>
      <c r="O12" s="23">
        <v>8</v>
      </c>
      <c r="P12" s="25">
        <v>0</v>
      </c>
      <c r="Q12" s="54">
        <v>0</v>
      </c>
      <c r="R12" s="23">
        <v>21</v>
      </c>
      <c r="S12" s="25">
        <v>0</v>
      </c>
      <c r="T12" s="54">
        <v>0</v>
      </c>
      <c r="U12" s="23">
        <v>3</v>
      </c>
      <c r="V12" s="25">
        <v>1</v>
      </c>
      <c r="W12" s="54">
        <v>0.5</v>
      </c>
      <c r="X12" s="23">
        <v>0</v>
      </c>
      <c r="Y12" s="25">
        <v>0</v>
      </c>
      <c r="Z12" s="54" t="s">
        <v>121</v>
      </c>
      <c r="AA12" s="23">
        <v>1</v>
      </c>
      <c r="AB12" s="25">
        <v>0</v>
      </c>
      <c r="AC12" s="54">
        <v>0</v>
      </c>
      <c r="AD12" s="23">
        <v>0</v>
      </c>
      <c r="AE12" s="25">
        <v>0</v>
      </c>
      <c r="AF12" s="54" t="s">
        <v>121</v>
      </c>
      <c r="AG12" s="23">
        <v>70</v>
      </c>
      <c r="AH12" s="25">
        <v>-3</v>
      </c>
      <c r="AI12" s="54">
        <v>-4.1095890410958957E-2</v>
      </c>
      <c r="AJ12" s="23">
        <v>19</v>
      </c>
      <c r="AK12" s="25">
        <v>-2</v>
      </c>
      <c r="AL12" s="54">
        <v>-9.5238095238095233E-2</v>
      </c>
      <c r="AM12" s="23">
        <v>21</v>
      </c>
      <c r="AN12" s="25">
        <v>-1</v>
      </c>
      <c r="AO12" s="54">
        <v>-4.5454545454545414E-2</v>
      </c>
      <c r="AP12" s="23">
        <v>17</v>
      </c>
      <c r="AQ12" s="25">
        <v>0</v>
      </c>
      <c r="AR12" s="54">
        <v>0</v>
      </c>
      <c r="AS12" s="23">
        <v>1</v>
      </c>
      <c r="AT12" s="25">
        <v>0</v>
      </c>
      <c r="AU12" s="54">
        <v>0</v>
      </c>
      <c r="AV12" s="23">
        <v>9</v>
      </c>
      <c r="AW12" s="25">
        <v>0</v>
      </c>
      <c r="AX12" s="54">
        <v>0</v>
      </c>
      <c r="AY12" s="23">
        <v>3</v>
      </c>
      <c r="AZ12" s="25">
        <v>0</v>
      </c>
      <c r="BA12" s="54">
        <v>0</v>
      </c>
      <c r="BB12" s="23">
        <v>0</v>
      </c>
      <c r="BC12" s="25">
        <v>0</v>
      </c>
      <c r="BD12" s="54" t="s">
        <v>121</v>
      </c>
      <c r="BE12" s="23">
        <v>0</v>
      </c>
      <c r="BF12" s="25">
        <v>0</v>
      </c>
      <c r="BG12" s="54" t="s">
        <v>121</v>
      </c>
      <c r="BH12" s="23">
        <v>0</v>
      </c>
      <c r="BI12" s="25">
        <v>0</v>
      </c>
      <c r="BJ12" s="54" t="s">
        <v>121</v>
      </c>
      <c r="BK12" s="23">
        <v>5816</v>
      </c>
      <c r="BL12" s="25">
        <v>2078</v>
      </c>
      <c r="BM12" s="54">
        <v>0.55591225254146592</v>
      </c>
      <c r="BN12" s="23">
        <v>2</v>
      </c>
      <c r="BO12" s="25">
        <v>0</v>
      </c>
      <c r="BP12" s="54">
        <v>0</v>
      </c>
      <c r="BQ12" s="23">
        <v>4</v>
      </c>
      <c r="BR12" s="25">
        <v>-1</v>
      </c>
      <c r="BS12" s="54">
        <v>-0.19999999999999996</v>
      </c>
    </row>
    <row r="13" spans="1:71" s="4" customFormat="1" x14ac:dyDescent="0.5">
      <c r="A13" s="56"/>
      <c r="B13" s="20" t="s">
        <v>26</v>
      </c>
      <c r="C13" s="21">
        <f t="shared" si="0"/>
        <v>95</v>
      </c>
      <c r="D13" s="25">
        <f t="shared" si="0"/>
        <v>41</v>
      </c>
      <c r="E13" s="54">
        <f t="shared" si="1"/>
        <v>0.7592592592592593</v>
      </c>
      <c r="F13" s="21">
        <v>1</v>
      </c>
      <c r="G13" s="25">
        <v>0</v>
      </c>
      <c r="H13" s="54">
        <v>0</v>
      </c>
      <c r="I13" s="23">
        <v>0</v>
      </c>
      <c r="J13" s="25">
        <v>0</v>
      </c>
      <c r="K13" s="54" t="s">
        <v>121</v>
      </c>
      <c r="L13" s="23">
        <v>0</v>
      </c>
      <c r="M13" s="25">
        <v>0</v>
      </c>
      <c r="N13" s="54" t="s">
        <v>121</v>
      </c>
      <c r="O13" s="23">
        <v>0</v>
      </c>
      <c r="P13" s="25">
        <v>0</v>
      </c>
      <c r="Q13" s="54" t="s">
        <v>121</v>
      </c>
      <c r="R13" s="23">
        <v>0</v>
      </c>
      <c r="S13" s="25">
        <v>0</v>
      </c>
      <c r="T13" s="54" t="s">
        <v>121</v>
      </c>
      <c r="U13" s="23">
        <v>0</v>
      </c>
      <c r="V13" s="25">
        <v>0</v>
      </c>
      <c r="W13" s="54" t="s">
        <v>121</v>
      </c>
      <c r="X13" s="23">
        <v>0</v>
      </c>
      <c r="Y13" s="25">
        <v>0</v>
      </c>
      <c r="Z13" s="54" t="s">
        <v>121</v>
      </c>
      <c r="AA13" s="23">
        <v>1</v>
      </c>
      <c r="AB13" s="25">
        <v>0</v>
      </c>
      <c r="AC13" s="54">
        <v>0</v>
      </c>
      <c r="AD13" s="23">
        <v>0</v>
      </c>
      <c r="AE13" s="25">
        <v>0</v>
      </c>
      <c r="AF13" s="54" t="s">
        <v>121</v>
      </c>
      <c r="AG13" s="23">
        <v>0</v>
      </c>
      <c r="AH13" s="25">
        <v>0</v>
      </c>
      <c r="AI13" s="54" t="s">
        <v>121</v>
      </c>
      <c r="AJ13" s="23">
        <v>0</v>
      </c>
      <c r="AK13" s="25">
        <v>0</v>
      </c>
      <c r="AL13" s="54" t="s">
        <v>121</v>
      </c>
      <c r="AM13" s="23">
        <v>0</v>
      </c>
      <c r="AN13" s="25">
        <v>0</v>
      </c>
      <c r="AO13" s="54" t="s">
        <v>121</v>
      </c>
      <c r="AP13" s="23">
        <v>0</v>
      </c>
      <c r="AQ13" s="25">
        <v>0</v>
      </c>
      <c r="AR13" s="54" t="s">
        <v>121</v>
      </c>
      <c r="AS13" s="23">
        <v>0</v>
      </c>
      <c r="AT13" s="25">
        <v>0</v>
      </c>
      <c r="AU13" s="54" t="s">
        <v>121</v>
      </c>
      <c r="AV13" s="23">
        <v>0</v>
      </c>
      <c r="AW13" s="25">
        <v>0</v>
      </c>
      <c r="AX13" s="54" t="s">
        <v>121</v>
      </c>
      <c r="AY13" s="23">
        <v>0</v>
      </c>
      <c r="AZ13" s="25">
        <v>0</v>
      </c>
      <c r="BA13" s="54" t="s">
        <v>121</v>
      </c>
      <c r="BB13" s="23">
        <v>0</v>
      </c>
      <c r="BC13" s="25">
        <v>0</v>
      </c>
      <c r="BD13" s="54" t="s">
        <v>121</v>
      </c>
      <c r="BE13" s="23">
        <v>0</v>
      </c>
      <c r="BF13" s="25">
        <v>0</v>
      </c>
      <c r="BG13" s="54" t="s">
        <v>121</v>
      </c>
      <c r="BH13" s="23">
        <v>0</v>
      </c>
      <c r="BI13" s="25">
        <v>0</v>
      </c>
      <c r="BJ13" s="54" t="s">
        <v>121</v>
      </c>
      <c r="BK13" s="23">
        <v>81</v>
      </c>
      <c r="BL13" s="25">
        <v>40</v>
      </c>
      <c r="BM13" s="54">
        <v>0.97560975609756095</v>
      </c>
      <c r="BN13" s="23">
        <v>0</v>
      </c>
      <c r="BO13" s="25">
        <v>0</v>
      </c>
      <c r="BP13" s="54" t="s">
        <v>121</v>
      </c>
      <c r="BQ13" s="23">
        <v>13</v>
      </c>
      <c r="BR13" s="25">
        <v>1</v>
      </c>
      <c r="BS13" s="54">
        <v>8.3333333333333259E-2</v>
      </c>
    </row>
    <row r="14" spans="1:71" s="4" customFormat="1" x14ac:dyDescent="0.5">
      <c r="A14" s="56"/>
      <c r="B14" s="20" t="s">
        <v>27</v>
      </c>
      <c r="C14" s="21">
        <f t="shared" si="0"/>
        <v>556</v>
      </c>
      <c r="D14" s="25">
        <f t="shared" si="0"/>
        <v>378</v>
      </c>
      <c r="E14" s="54">
        <f t="shared" si="1"/>
        <v>2.1235955056179776</v>
      </c>
      <c r="F14" s="21">
        <v>2</v>
      </c>
      <c r="G14" s="25">
        <v>0</v>
      </c>
      <c r="H14" s="54">
        <v>0</v>
      </c>
      <c r="I14" s="23">
        <v>0</v>
      </c>
      <c r="J14" s="25">
        <v>0</v>
      </c>
      <c r="K14" s="54" t="s">
        <v>121</v>
      </c>
      <c r="L14" s="23">
        <v>0</v>
      </c>
      <c r="M14" s="25">
        <v>0</v>
      </c>
      <c r="N14" s="54" t="s">
        <v>121</v>
      </c>
      <c r="O14" s="23">
        <v>1</v>
      </c>
      <c r="P14" s="25">
        <v>0</v>
      </c>
      <c r="Q14" s="54">
        <v>0</v>
      </c>
      <c r="R14" s="23">
        <v>1</v>
      </c>
      <c r="S14" s="25">
        <v>0</v>
      </c>
      <c r="T14" s="54">
        <v>0</v>
      </c>
      <c r="U14" s="23">
        <v>0</v>
      </c>
      <c r="V14" s="25">
        <v>0</v>
      </c>
      <c r="W14" s="54" t="s">
        <v>121</v>
      </c>
      <c r="X14" s="23">
        <v>0</v>
      </c>
      <c r="Y14" s="25">
        <v>0</v>
      </c>
      <c r="Z14" s="54" t="s">
        <v>121</v>
      </c>
      <c r="AA14" s="23">
        <v>0</v>
      </c>
      <c r="AB14" s="25">
        <v>0</v>
      </c>
      <c r="AC14" s="54" t="s">
        <v>121</v>
      </c>
      <c r="AD14" s="23">
        <v>0</v>
      </c>
      <c r="AE14" s="25">
        <v>0</v>
      </c>
      <c r="AF14" s="54" t="s">
        <v>121</v>
      </c>
      <c r="AG14" s="23">
        <v>3</v>
      </c>
      <c r="AH14" s="25">
        <v>0</v>
      </c>
      <c r="AI14" s="54">
        <v>0</v>
      </c>
      <c r="AJ14" s="23">
        <v>0</v>
      </c>
      <c r="AK14" s="25">
        <v>0</v>
      </c>
      <c r="AL14" s="54" t="s">
        <v>121</v>
      </c>
      <c r="AM14" s="23">
        <v>1</v>
      </c>
      <c r="AN14" s="25">
        <v>0</v>
      </c>
      <c r="AO14" s="54">
        <v>0</v>
      </c>
      <c r="AP14" s="23">
        <v>0</v>
      </c>
      <c r="AQ14" s="25">
        <v>0</v>
      </c>
      <c r="AR14" s="54" t="s">
        <v>121</v>
      </c>
      <c r="AS14" s="23">
        <v>0</v>
      </c>
      <c r="AT14" s="25">
        <v>0</v>
      </c>
      <c r="AU14" s="54" t="s">
        <v>121</v>
      </c>
      <c r="AV14" s="23">
        <v>0</v>
      </c>
      <c r="AW14" s="25">
        <v>0</v>
      </c>
      <c r="AX14" s="54" t="s">
        <v>121</v>
      </c>
      <c r="AY14" s="23">
        <v>0</v>
      </c>
      <c r="AZ14" s="25">
        <v>0</v>
      </c>
      <c r="BA14" s="54" t="s">
        <v>121</v>
      </c>
      <c r="BB14" s="23">
        <v>0</v>
      </c>
      <c r="BC14" s="25">
        <v>0</v>
      </c>
      <c r="BD14" s="54" t="s">
        <v>121</v>
      </c>
      <c r="BE14" s="23">
        <v>2</v>
      </c>
      <c r="BF14" s="25">
        <v>0</v>
      </c>
      <c r="BG14" s="54">
        <v>0</v>
      </c>
      <c r="BH14" s="23">
        <v>0</v>
      </c>
      <c r="BI14" s="25">
        <v>0</v>
      </c>
      <c r="BJ14" s="54" t="s">
        <v>121</v>
      </c>
      <c r="BK14" s="23">
        <v>550</v>
      </c>
      <c r="BL14" s="25">
        <v>378</v>
      </c>
      <c r="BM14" s="54">
        <v>2.1976744186046511</v>
      </c>
      <c r="BN14" s="23">
        <v>0</v>
      </c>
      <c r="BO14" s="25">
        <v>0</v>
      </c>
      <c r="BP14" s="54" t="s">
        <v>121</v>
      </c>
      <c r="BQ14" s="23">
        <v>1</v>
      </c>
      <c r="BR14" s="25">
        <v>0</v>
      </c>
      <c r="BS14" s="54">
        <v>0</v>
      </c>
    </row>
    <row r="15" spans="1:71" s="4" customFormat="1" x14ac:dyDescent="0.5">
      <c r="A15" s="56"/>
      <c r="B15" s="20" t="s">
        <v>28</v>
      </c>
      <c r="C15" s="21">
        <f t="shared" si="0"/>
        <v>85</v>
      </c>
      <c r="D15" s="25">
        <f t="shared" si="0"/>
        <v>39</v>
      </c>
      <c r="E15" s="54">
        <f t="shared" si="1"/>
        <v>0.84782608695652173</v>
      </c>
      <c r="F15" s="21">
        <v>0</v>
      </c>
      <c r="G15" s="25">
        <v>0</v>
      </c>
      <c r="H15" s="54" t="s">
        <v>121</v>
      </c>
      <c r="I15" s="23">
        <v>0</v>
      </c>
      <c r="J15" s="25">
        <v>0</v>
      </c>
      <c r="K15" s="54" t="s">
        <v>121</v>
      </c>
      <c r="L15" s="23">
        <v>0</v>
      </c>
      <c r="M15" s="25">
        <v>0</v>
      </c>
      <c r="N15" s="54" t="s">
        <v>121</v>
      </c>
      <c r="O15" s="23">
        <v>0</v>
      </c>
      <c r="P15" s="25">
        <v>0</v>
      </c>
      <c r="Q15" s="54" t="s">
        <v>121</v>
      </c>
      <c r="R15" s="23">
        <v>0</v>
      </c>
      <c r="S15" s="25">
        <v>0</v>
      </c>
      <c r="T15" s="54" t="s">
        <v>121</v>
      </c>
      <c r="U15" s="23">
        <v>0</v>
      </c>
      <c r="V15" s="25">
        <v>0</v>
      </c>
      <c r="W15" s="54" t="s">
        <v>121</v>
      </c>
      <c r="X15" s="23">
        <v>0</v>
      </c>
      <c r="Y15" s="25">
        <v>0</v>
      </c>
      <c r="Z15" s="54" t="s">
        <v>121</v>
      </c>
      <c r="AA15" s="23">
        <v>0</v>
      </c>
      <c r="AB15" s="25">
        <v>0</v>
      </c>
      <c r="AC15" s="54" t="s">
        <v>121</v>
      </c>
      <c r="AD15" s="23">
        <v>0</v>
      </c>
      <c r="AE15" s="25">
        <v>0</v>
      </c>
      <c r="AF15" s="54" t="s">
        <v>121</v>
      </c>
      <c r="AG15" s="23">
        <v>1</v>
      </c>
      <c r="AH15" s="25">
        <v>0</v>
      </c>
      <c r="AI15" s="54">
        <v>0</v>
      </c>
      <c r="AJ15" s="23">
        <v>0</v>
      </c>
      <c r="AK15" s="25">
        <v>0</v>
      </c>
      <c r="AL15" s="54" t="s">
        <v>121</v>
      </c>
      <c r="AM15" s="23">
        <v>0</v>
      </c>
      <c r="AN15" s="25">
        <v>0</v>
      </c>
      <c r="AO15" s="54" t="s">
        <v>121</v>
      </c>
      <c r="AP15" s="23">
        <v>0</v>
      </c>
      <c r="AQ15" s="25">
        <v>0</v>
      </c>
      <c r="AR15" s="54" t="s">
        <v>121</v>
      </c>
      <c r="AS15" s="23">
        <v>0</v>
      </c>
      <c r="AT15" s="25">
        <v>0</v>
      </c>
      <c r="AU15" s="54" t="s">
        <v>121</v>
      </c>
      <c r="AV15" s="23">
        <v>0</v>
      </c>
      <c r="AW15" s="25">
        <v>0</v>
      </c>
      <c r="AX15" s="54" t="s">
        <v>121</v>
      </c>
      <c r="AY15" s="23">
        <v>0</v>
      </c>
      <c r="AZ15" s="25">
        <v>0</v>
      </c>
      <c r="BA15" s="54" t="s">
        <v>121</v>
      </c>
      <c r="BB15" s="23">
        <v>0</v>
      </c>
      <c r="BC15" s="25">
        <v>0</v>
      </c>
      <c r="BD15" s="54" t="s">
        <v>121</v>
      </c>
      <c r="BE15" s="23">
        <v>1</v>
      </c>
      <c r="BF15" s="25">
        <v>0</v>
      </c>
      <c r="BG15" s="54">
        <v>0</v>
      </c>
      <c r="BH15" s="23">
        <v>0</v>
      </c>
      <c r="BI15" s="25">
        <v>0</v>
      </c>
      <c r="BJ15" s="54" t="s">
        <v>121</v>
      </c>
      <c r="BK15" s="23">
        <v>77</v>
      </c>
      <c r="BL15" s="25">
        <v>39</v>
      </c>
      <c r="BM15" s="54">
        <v>1.0263157894736841</v>
      </c>
      <c r="BN15" s="23">
        <v>0</v>
      </c>
      <c r="BO15" s="25">
        <v>0</v>
      </c>
      <c r="BP15" s="54" t="s">
        <v>121</v>
      </c>
      <c r="BQ15" s="23">
        <v>7</v>
      </c>
      <c r="BR15" s="25">
        <v>0</v>
      </c>
      <c r="BS15" s="54">
        <v>0</v>
      </c>
    </row>
    <row r="16" spans="1:71" s="4" customFormat="1" x14ac:dyDescent="0.5">
      <c r="A16" s="56"/>
      <c r="B16" s="20" t="s">
        <v>29</v>
      </c>
      <c r="C16" s="21">
        <f t="shared" si="0"/>
        <v>198</v>
      </c>
      <c r="D16" s="25">
        <f t="shared" si="0"/>
        <v>71</v>
      </c>
      <c r="E16" s="54">
        <f t="shared" si="1"/>
        <v>0.55905511811023612</v>
      </c>
      <c r="F16" s="21">
        <v>3</v>
      </c>
      <c r="G16" s="25">
        <v>0</v>
      </c>
      <c r="H16" s="54">
        <v>0</v>
      </c>
      <c r="I16" s="23">
        <v>1</v>
      </c>
      <c r="J16" s="25">
        <v>0</v>
      </c>
      <c r="K16" s="54">
        <v>0</v>
      </c>
      <c r="L16" s="23">
        <v>0</v>
      </c>
      <c r="M16" s="25">
        <v>0</v>
      </c>
      <c r="N16" s="54" t="s">
        <v>121</v>
      </c>
      <c r="O16" s="23">
        <v>0</v>
      </c>
      <c r="P16" s="25">
        <v>0</v>
      </c>
      <c r="Q16" s="54" t="s">
        <v>121</v>
      </c>
      <c r="R16" s="23">
        <v>1</v>
      </c>
      <c r="S16" s="25">
        <v>0</v>
      </c>
      <c r="T16" s="54">
        <v>0</v>
      </c>
      <c r="U16" s="23">
        <v>0</v>
      </c>
      <c r="V16" s="25">
        <v>0</v>
      </c>
      <c r="W16" s="54" t="s">
        <v>121</v>
      </c>
      <c r="X16" s="23">
        <v>0</v>
      </c>
      <c r="Y16" s="25">
        <v>0</v>
      </c>
      <c r="Z16" s="54" t="s">
        <v>121</v>
      </c>
      <c r="AA16" s="23">
        <v>0</v>
      </c>
      <c r="AB16" s="25">
        <v>0</v>
      </c>
      <c r="AC16" s="54" t="s">
        <v>121</v>
      </c>
      <c r="AD16" s="23">
        <v>1</v>
      </c>
      <c r="AE16" s="25">
        <v>0</v>
      </c>
      <c r="AF16" s="54">
        <v>0</v>
      </c>
      <c r="AG16" s="23">
        <v>5</v>
      </c>
      <c r="AH16" s="25">
        <v>0</v>
      </c>
      <c r="AI16" s="54">
        <v>0</v>
      </c>
      <c r="AJ16" s="23">
        <v>0</v>
      </c>
      <c r="AK16" s="25">
        <v>0</v>
      </c>
      <c r="AL16" s="54" t="s">
        <v>121</v>
      </c>
      <c r="AM16" s="23">
        <v>0</v>
      </c>
      <c r="AN16" s="25">
        <v>0</v>
      </c>
      <c r="AO16" s="54" t="s">
        <v>121</v>
      </c>
      <c r="AP16" s="23">
        <v>0</v>
      </c>
      <c r="AQ16" s="25">
        <v>0</v>
      </c>
      <c r="AR16" s="54" t="s">
        <v>121</v>
      </c>
      <c r="AS16" s="23">
        <v>0</v>
      </c>
      <c r="AT16" s="25">
        <v>0</v>
      </c>
      <c r="AU16" s="54" t="s">
        <v>121</v>
      </c>
      <c r="AV16" s="23">
        <v>0</v>
      </c>
      <c r="AW16" s="25">
        <v>0</v>
      </c>
      <c r="AX16" s="54" t="s">
        <v>121</v>
      </c>
      <c r="AY16" s="23">
        <v>0</v>
      </c>
      <c r="AZ16" s="25">
        <v>0</v>
      </c>
      <c r="BA16" s="54" t="s">
        <v>121</v>
      </c>
      <c r="BB16" s="23">
        <v>0</v>
      </c>
      <c r="BC16" s="25">
        <v>0</v>
      </c>
      <c r="BD16" s="54" t="s">
        <v>121</v>
      </c>
      <c r="BE16" s="23">
        <v>4</v>
      </c>
      <c r="BF16" s="25">
        <v>0</v>
      </c>
      <c r="BG16" s="54">
        <v>0</v>
      </c>
      <c r="BH16" s="23">
        <v>1</v>
      </c>
      <c r="BI16" s="25">
        <v>0</v>
      </c>
      <c r="BJ16" s="54">
        <v>0</v>
      </c>
      <c r="BK16" s="23">
        <v>184</v>
      </c>
      <c r="BL16" s="25">
        <v>71</v>
      </c>
      <c r="BM16" s="54">
        <v>0.62831858407079655</v>
      </c>
      <c r="BN16" s="23">
        <v>2</v>
      </c>
      <c r="BO16" s="25">
        <v>0</v>
      </c>
      <c r="BP16" s="54">
        <v>0</v>
      </c>
      <c r="BQ16" s="23">
        <v>4</v>
      </c>
      <c r="BR16" s="25">
        <v>0</v>
      </c>
      <c r="BS16" s="54">
        <v>0</v>
      </c>
    </row>
    <row r="17" spans="2:71" s="4" customFormat="1" x14ac:dyDescent="0.5">
      <c r="B17" s="20" t="s">
        <v>30</v>
      </c>
      <c r="C17" s="21">
        <f t="shared" si="0"/>
        <v>1924</v>
      </c>
      <c r="D17" s="25">
        <f t="shared" si="0"/>
        <v>616</v>
      </c>
      <c r="E17" s="54">
        <f t="shared" si="1"/>
        <v>0.47094801223241589</v>
      </c>
      <c r="F17" s="21">
        <v>8</v>
      </c>
      <c r="G17" s="25">
        <v>0</v>
      </c>
      <c r="H17" s="54">
        <v>0</v>
      </c>
      <c r="I17" s="23">
        <v>2</v>
      </c>
      <c r="J17" s="25">
        <v>0</v>
      </c>
      <c r="K17" s="54">
        <v>0</v>
      </c>
      <c r="L17" s="23">
        <v>2</v>
      </c>
      <c r="M17" s="25">
        <v>0</v>
      </c>
      <c r="N17" s="54">
        <v>0</v>
      </c>
      <c r="O17" s="23">
        <v>3</v>
      </c>
      <c r="P17" s="25">
        <v>0</v>
      </c>
      <c r="Q17" s="54">
        <v>0</v>
      </c>
      <c r="R17" s="23">
        <v>1</v>
      </c>
      <c r="S17" s="25">
        <v>0</v>
      </c>
      <c r="T17" s="54">
        <v>0</v>
      </c>
      <c r="U17" s="23">
        <v>0</v>
      </c>
      <c r="V17" s="25">
        <v>0</v>
      </c>
      <c r="W17" s="54" t="s">
        <v>121</v>
      </c>
      <c r="X17" s="23">
        <v>0</v>
      </c>
      <c r="Y17" s="25">
        <v>0</v>
      </c>
      <c r="Z17" s="54" t="s">
        <v>121</v>
      </c>
      <c r="AA17" s="23">
        <v>0</v>
      </c>
      <c r="AB17" s="25">
        <v>0</v>
      </c>
      <c r="AC17" s="54" t="s">
        <v>121</v>
      </c>
      <c r="AD17" s="23">
        <v>0</v>
      </c>
      <c r="AE17" s="25">
        <v>0</v>
      </c>
      <c r="AF17" s="54" t="s">
        <v>121</v>
      </c>
      <c r="AG17" s="23">
        <v>8</v>
      </c>
      <c r="AH17" s="25">
        <v>0</v>
      </c>
      <c r="AI17" s="54">
        <v>0</v>
      </c>
      <c r="AJ17" s="23">
        <v>4</v>
      </c>
      <c r="AK17" s="25">
        <v>0</v>
      </c>
      <c r="AL17" s="54">
        <v>0</v>
      </c>
      <c r="AM17" s="23">
        <v>2</v>
      </c>
      <c r="AN17" s="25">
        <v>0</v>
      </c>
      <c r="AO17" s="54">
        <v>0</v>
      </c>
      <c r="AP17" s="23">
        <v>0</v>
      </c>
      <c r="AQ17" s="25">
        <v>0</v>
      </c>
      <c r="AR17" s="54" t="s">
        <v>121</v>
      </c>
      <c r="AS17" s="23">
        <v>0</v>
      </c>
      <c r="AT17" s="25">
        <v>0</v>
      </c>
      <c r="AU17" s="54" t="s">
        <v>121</v>
      </c>
      <c r="AV17" s="23">
        <v>0</v>
      </c>
      <c r="AW17" s="25">
        <v>0</v>
      </c>
      <c r="AX17" s="54" t="s">
        <v>121</v>
      </c>
      <c r="AY17" s="23">
        <v>0</v>
      </c>
      <c r="AZ17" s="25">
        <v>0</v>
      </c>
      <c r="BA17" s="54" t="s">
        <v>121</v>
      </c>
      <c r="BB17" s="23">
        <v>0</v>
      </c>
      <c r="BC17" s="25">
        <v>0</v>
      </c>
      <c r="BD17" s="54" t="s">
        <v>121</v>
      </c>
      <c r="BE17" s="23">
        <v>1</v>
      </c>
      <c r="BF17" s="25">
        <v>0</v>
      </c>
      <c r="BG17" s="54">
        <v>0</v>
      </c>
      <c r="BH17" s="23">
        <v>1</v>
      </c>
      <c r="BI17" s="25">
        <v>0</v>
      </c>
      <c r="BJ17" s="54">
        <v>0</v>
      </c>
      <c r="BK17" s="23">
        <v>1894</v>
      </c>
      <c r="BL17" s="25">
        <v>616</v>
      </c>
      <c r="BM17" s="54">
        <v>0.48200312989045391</v>
      </c>
      <c r="BN17" s="23">
        <v>2</v>
      </c>
      <c r="BO17" s="25">
        <v>0</v>
      </c>
      <c r="BP17" s="54">
        <v>0</v>
      </c>
      <c r="BQ17" s="23">
        <v>12</v>
      </c>
      <c r="BR17" s="25">
        <v>0</v>
      </c>
      <c r="BS17" s="54">
        <v>0</v>
      </c>
    </row>
    <row r="18" spans="2:71" s="4" customFormat="1" x14ac:dyDescent="0.5">
      <c r="B18" s="20" t="s">
        <v>31</v>
      </c>
      <c r="C18" s="21">
        <f t="shared" si="0"/>
        <v>87</v>
      </c>
      <c r="D18" s="25">
        <f t="shared" si="0"/>
        <v>41</v>
      </c>
      <c r="E18" s="54">
        <f t="shared" si="1"/>
        <v>0.89130434782608692</v>
      </c>
      <c r="F18" s="21">
        <v>0</v>
      </c>
      <c r="G18" s="25">
        <v>0</v>
      </c>
      <c r="H18" s="54" t="s">
        <v>121</v>
      </c>
      <c r="I18" s="23">
        <v>0</v>
      </c>
      <c r="J18" s="25">
        <v>0</v>
      </c>
      <c r="K18" s="54" t="s">
        <v>121</v>
      </c>
      <c r="L18" s="23">
        <v>0</v>
      </c>
      <c r="M18" s="25">
        <v>0</v>
      </c>
      <c r="N18" s="54" t="s">
        <v>121</v>
      </c>
      <c r="O18" s="23">
        <v>0</v>
      </c>
      <c r="P18" s="25">
        <v>0</v>
      </c>
      <c r="Q18" s="54" t="s">
        <v>121</v>
      </c>
      <c r="R18" s="23">
        <v>0</v>
      </c>
      <c r="S18" s="25">
        <v>0</v>
      </c>
      <c r="T18" s="54" t="s">
        <v>121</v>
      </c>
      <c r="U18" s="23">
        <v>0</v>
      </c>
      <c r="V18" s="25">
        <v>0</v>
      </c>
      <c r="W18" s="54" t="s">
        <v>121</v>
      </c>
      <c r="X18" s="23">
        <v>0</v>
      </c>
      <c r="Y18" s="25">
        <v>0</v>
      </c>
      <c r="Z18" s="54" t="s">
        <v>121</v>
      </c>
      <c r="AA18" s="23">
        <v>0</v>
      </c>
      <c r="AB18" s="25">
        <v>0</v>
      </c>
      <c r="AC18" s="54" t="s">
        <v>121</v>
      </c>
      <c r="AD18" s="23">
        <v>0</v>
      </c>
      <c r="AE18" s="25">
        <v>0</v>
      </c>
      <c r="AF18" s="54" t="s">
        <v>121</v>
      </c>
      <c r="AG18" s="23">
        <v>0</v>
      </c>
      <c r="AH18" s="25">
        <v>0</v>
      </c>
      <c r="AI18" s="54" t="s">
        <v>121</v>
      </c>
      <c r="AJ18" s="23">
        <v>0</v>
      </c>
      <c r="AK18" s="25">
        <v>0</v>
      </c>
      <c r="AL18" s="54" t="s">
        <v>121</v>
      </c>
      <c r="AM18" s="23">
        <v>0</v>
      </c>
      <c r="AN18" s="25">
        <v>0</v>
      </c>
      <c r="AO18" s="54" t="s">
        <v>121</v>
      </c>
      <c r="AP18" s="23">
        <v>0</v>
      </c>
      <c r="AQ18" s="25">
        <v>0</v>
      </c>
      <c r="AR18" s="54" t="s">
        <v>121</v>
      </c>
      <c r="AS18" s="23">
        <v>0</v>
      </c>
      <c r="AT18" s="25">
        <v>0</v>
      </c>
      <c r="AU18" s="54" t="s">
        <v>121</v>
      </c>
      <c r="AV18" s="23">
        <v>0</v>
      </c>
      <c r="AW18" s="25">
        <v>0</v>
      </c>
      <c r="AX18" s="54" t="s">
        <v>121</v>
      </c>
      <c r="AY18" s="23">
        <v>0</v>
      </c>
      <c r="AZ18" s="25">
        <v>0</v>
      </c>
      <c r="BA18" s="54" t="s">
        <v>121</v>
      </c>
      <c r="BB18" s="23">
        <v>0</v>
      </c>
      <c r="BC18" s="25">
        <v>0</v>
      </c>
      <c r="BD18" s="54" t="s">
        <v>121</v>
      </c>
      <c r="BE18" s="23">
        <v>0</v>
      </c>
      <c r="BF18" s="25">
        <v>0</v>
      </c>
      <c r="BG18" s="54" t="s">
        <v>121</v>
      </c>
      <c r="BH18" s="23">
        <v>0</v>
      </c>
      <c r="BI18" s="25">
        <v>0</v>
      </c>
      <c r="BJ18" s="54" t="s">
        <v>121</v>
      </c>
      <c r="BK18" s="23">
        <v>86</v>
      </c>
      <c r="BL18" s="25">
        <v>41</v>
      </c>
      <c r="BM18" s="54">
        <v>0.9111111111111112</v>
      </c>
      <c r="BN18" s="23">
        <v>0</v>
      </c>
      <c r="BO18" s="25">
        <v>0</v>
      </c>
      <c r="BP18" s="54" t="s">
        <v>121</v>
      </c>
      <c r="BQ18" s="23">
        <v>1</v>
      </c>
      <c r="BR18" s="25">
        <v>0</v>
      </c>
      <c r="BS18" s="54">
        <v>0</v>
      </c>
    </row>
    <row r="19" spans="2:71" s="4" customFormat="1" x14ac:dyDescent="0.5">
      <c r="B19" s="20" t="s">
        <v>108</v>
      </c>
      <c r="C19" s="21">
        <f t="shared" si="0"/>
        <v>769</v>
      </c>
      <c r="D19" s="25">
        <f t="shared" si="0"/>
        <v>307</v>
      </c>
      <c r="E19" s="54">
        <f t="shared" si="1"/>
        <v>0.66450216450216448</v>
      </c>
      <c r="F19" s="21">
        <v>8</v>
      </c>
      <c r="G19" s="25">
        <v>0</v>
      </c>
      <c r="H19" s="54">
        <v>0</v>
      </c>
      <c r="I19" s="23">
        <v>3</v>
      </c>
      <c r="J19" s="25">
        <v>0</v>
      </c>
      <c r="K19" s="54">
        <v>0</v>
      </c>
      <c r="L19" s="23">
        <v>1</v>
      </c>
      <c r="M19" s="25">
        <v>0</v>
      </c>
      <c r="N19" s="54">
        <v>0</v>
      </c>
      <c r="O19" s="23">
        <v>1</v>
      </c>
      <c r="P19" s="25">
        <v>0</v>
      </c>
      <c r="Q19" s="54">
        <v>0</v>
      </c>
      <c r="R19" s="23">
        <v>1</v>
      </c>
      <c r="S19" s="25">
        <v>0</v>
      </c>
      <c r="T19" s="54">
        <v>0</v>
      </c>
      <c r="U19" s="23">
        <v>0</v>
      </c>
      <c r="V19" s="25">
        <v>0</v>
      </c>
      <c r="W19" s="54" t="s">
        <v>121</v>
      </c>
      <c r="X19" s="23">
        <v>1</v>
      </c>
      <c r="Y19" s="25">
        <v>0</v>
      </c>
      <c r="Z19" s="54">
        <v>0</v>
      </c>
      <c r="AA19" s="23">
        <v>1</v>
      </c>
      <c r="AB19" s="25">
        <v>0</v>
      </c>
      <c r="AC19" s="54">
        <v>0</v>
      </c>
      <c r="AD19" s="23">
        <v>0</v>
      </c>
      <c r="AE19" s="25">
        <v>0</v>
      </c>
      <c r="AF19" s="54" t="s">
        <v>121</v>
      </c>
      <c r="AG19" s="23">
        <v>2</v>
      </c>
      <c r="AH19" s="25">
        <v>1</v>
      </c>
      <c r="AI19" s="54">
        <v>1</v>
      </c>
      <c r="AJ19" s="23">
        <v>0</v>
      </c>
      <c r="AK19" s="25">
        <v>0</v>
      </c>
      <c r="AL19" s="54" t="s">
        <v>121</v>
      </c>
      <c r="AM19" s="23">
        <v>0</v>
      </c>
      <c r="AN19" s="25">
        <v>0</v>
      </c>
      <c r="AO19" s="54" t="s">
        <v>121</v>
      </c>
      <c r="AP19" s="23">
        <v>0</v>
      </c>
      <c r="AQ19" s="25">
        <v>0</v>
      </c>
      <c r="AR19" s="54" t="s">
        <v>121</v>
      </c>
      <c r="AS19" s="23">
        <v>0</v>
      </c>
      <c r="AT19" s="25">
        <v>0</v>
      </c>
      <c r="AU19" s="54" t="s">
        <v>121</v>
      </c>
      <c r="AV19" s="23">
        <v>0</v>
      </c>
      <c r="AW19" s="25">
        <v>0</v>
      </c>
      <c r="AX19" s="54" t="s">
        <v>121</v>
      </c>
      <c r="AY19" s="23">
        <v>0</v>
      </c>
      <c r="AZ19" s="25">
        <v>0</v>
      </c>
      <c r="BA19" s="54" t="s">
        <v>121</v>
      </c>
      <c r="BB19" s="23">
        <v>1</v>
      </c>
      <c r="BC19" s="25">
        <v>0</v>
      </c>
      <c r="BD19" s="54">
        <v>0</v>
      </c>
      <c r="BE19" s="23">
        <v>1</v>
      </c>
      <c r="BF19" s="25">
        <v>1</v>
      </c>
      <c r="BG19" s="54" t="s">
        <v>121</v>
      </c>
      <c r="BH19" s="23">
        <v>0</v>
      </c>
      <c r="BI19" s="25">
        <v>0</v>
      </c>
      <c r="BJ19" s="54" t="s">
        <v>121</v>
      </c>
      <c r="BK19" s="23">
        <v>747</v>
      </c>
      <c r="BL19" s="25">
        <v>306</v>
      </c>
      <c r="BM19" s="54">
        <v>0.69387755102040827</v>
      </c>
      <c r="BN19" s="23">
        <v>1</v>
      </c>
      <c r="BO19" s="25">
        <v>0</v>
      </c>
      <c r="BP19" s="54">
        <v>0</v>
      </c>
      <c r="BQ19" s="23">
        <v>11</v>
      </c>
      <c r="BR19" s="25">
        <v>0</v>
      </c>
      <c r="BS19" s="54">
        <v>0</v>
      </c>
    </row>
    <row r="20" spans="2:71" s="4" customFormat="1" x14ac:dyDescent="0.5">
      <c r="B20" s="20" t="s">
        <v>109</v>
      </c>
      <c r="C20" s="21">
        <f t="shared" si="0"/>
        <v>476</v>
      </c>
      <c r="D20" s="25">
        <f t="shared" si="0"/>
        <v>205</v>
      </c>
      <c r="E20" s="54">
        <f t="shared" si="1"/>
        <v>0.75645756457564572</v>
      </c>
      <c r="F20" s="21">
        <v>1</v>
      </c>
      <c r="G20" s="25">
        <v>0</v>
      </c>
      <c r="H20" s="54">
        <v>0</v>
      </c>
      <c r="I20" s="23">
        <v>0</v>
      </c>
      <c r="J20" s="25">
        <v>0</v>
      </c>
      <c r="K20" s="54" t="s">
        <v>121</v>
      </c>
      <c r="L20" s="23">
        <v>0</v>
      </c>
      <c r="M20" s="25">
        <v>0</v>
      </c>
      <c r="N20" s="54" t="s">
        <v>121</v>
      </c>
      <c r="O20" s="23">
        <v>0</v>
      </c>
      <c r="P20" s="25">
        <v>0</v>
      </c>
      <c r="Q20" s="54" t="s">
        <v>121</v>
      </c>
      <c r="R20" s="23">
        <v>0</v>
      </c>
      <c r="S20" s="25">
        <v>0</v>
      </c>
      <c r="T20" s="54" t="s">
        <v>121</v>
      </c>
      <c r="U20" s="23">
        <v>0</v>
      </c>
      <c r="V20" s="25">
        <v>0</v>
      </c>
      <c r="W20" s="54" t="s">
        <v>121</v>
      </c>
      <c r="X20" s="23">
        <v>0</v>
      </c>
      <c r="Y20" s="25">
        <v>0</v>
      </c>
      <c r="Z20" s="54" t="s">
        <v>121</v>
      </c>
      <c r="AA20" s="23">
        <v>0</v>
      </c>
      <c r="AB20" s="25">
        <v>0</v>
      </c>
      <c r="AC20" s="54" t="s">
        <v>121</v>
      </c>
      <c r="AD20" s="23">
        <v>1</v>
      </c>
      <c r="AE20" s="25">
        <v>0</v>
      </c>
      <c r="AF20" s="54">
        <v>0</v>
      </c>
      <c r="AG20" s="23">
        <v>1</v>
      </c>
      <c r="AH20" s="25">
        <v>1</v>
      </c>
      <c r="AI20" s="54" t="s">
        <v>121</v>
      </c>
      <c r="AJ20" s="23">
        <v>0</v>
      </c>
      <c r="AK20" s="25">
        <v>0</v>
      </c>
      <c r="AL20" s="54" t="s">
        <v>121</v>
      </c>
      <c r="AM20" s="23">
        <v>0</v>
      </c>
      <c r="AN20" s="25">
        <v>0</v>
      </c>
      <c r="AO20" s="54" t="s">
        <v>121</v>
      </c>
      <c r="AP20" s="23">
        <v>0</v>
      </c>
      <c r="AQ20" s="25">
        <v>0</v>
      </c>
      <c r="AR20" s="54" t="s">
        <v>121</v>
      </c>
      <c r="AS20" s="23">
        <v>0</v>
      </c>
      <c r="AT20" s="25">
        <v>0</v>
      </c>
      <c r="AU20" s="54" t="s">
        <v>121</v>
      </c>
      <c r="AV20" s="23">
        <v>0</v>
      </c>
      <c r="AW20" s="25">
        <v>0</v>
      </c>
      <c r="AX20" s="54" t="s">
        <v>121</v>
      </c>
      <c r="AY20" s="23">
        <v>0</v>
      </c>
      <c r="AZ20" s="25">
        <v>0</v>
      </c>
      <c r="BA20" s="54" t="s">
        <v>121</v>
      </c>
      <c r="BB20" s="23">
        <v>0</v>
      </c>
      <c r="BC20" s="25">
        <v>0</v>
      </c>
      <c r="BD20" s="54" t="s">
        <v>121</v>
      </c>
      <c r="BE20" s="23">
        <v>1</v>
      </c>
      <c r="BF20" s="25">
        <v>1</v>
      </c>
      <c r="BG20" s="54" t="s">
        <v>121</v>
      </c>
      <c r="BH20" s="23">
        <v>0</v>
      </c>
      <c r="BI20" s="25">
        <v>0</v>
      </c>
      <c r="BJ20" s="54" t="s">
        <v>121</v>
      </c>
      <c r="BK20" s="23">
        <v>465</v>
      </c>
      <c r="BL20" s="25">
        <v>203</v>
      </c>
      <c r="BM20" s="54">
        <v>0.77480916030534353</v>
      </c>
      <c r="BN20" s="23">
        <v>5</v>
      </c>
      <c r="BO20" s="25">
        <v>1</v>
      </c>
      <c r="BP20" s="54">
        <v>0.25</v>
      </c>
      <c r="BQ20" s="23">
        <v>4</v>
      </c>
      <c r="BR20" s="25">
        <v>0</v>
      </c>
      <c r="BS20" s="54">
        <v>0</v>
      </c>
    </row>
    <row r="21" spans="2:71" s="4" customFormat="1" x14ac:dyDescent="0.5">
      <c r="B21" s="20" t="s">
        <v>34</v>
      </c>
      <c r="C21" s="21">
        <f t="shared" si="0"/>
        <v>726</v>
      </c>
      <c r="D21" s="25">
        <f t="shared" si="0"/>
        <v>238</v>
      </c>
      <c r="E21" s="54">
        <f t="shared" si="1"/>
        <v>0.48770491803278682</v>
      </c>
      <c r="F21" s="21">
        <v>4</v>
      </c>
      <c r="G21" s="25">
        <v>1</v>
      </c>
      <c r="H21" s="54">
        <v>0.33333333333333326</v>
      </c>
      <c r="I21" s="23">
        <v>0</v>
      </c>
      <c r="J21" s="25">
        <v>0</v>
      </c>
      <c r="K21" s="54" t="s">
        <v>121</v>
      </c>
      <c r="L21" s="23">
        <v>0</v>
      </c>
      <c r="M21" s="25">
        <v>0</v>
      </c>
      <c r="N21" s="54" t="s">
        <v>121</v>
      </c>
      <c r="O21" s="23">
        <v>1</v>
      </c>
      <c r="P21" s="25">
        <v>0</v>
      </c>
      <c r="Q21" s="54">
        <v>0</v>
      </c>
      <c r="R21" s="23">
        <v>0</v>
      </c>
      <c r="S21" s="25">
        <v>0</v>
      </c>
      <c r="T21" s="54" t="s">
        <v>121</v>
      </c>
      <c r="U21" s="23">
        <v>0</v>
      </c>
      <c r="V21" s="25">
        <v>0</v>
      </c>
      <c r="W21" s="54" t="s">
        <v>121</v>
      </c>
      <c r="X21" s="23">
        <v>0</v>
      </c>
      <c r="Y21" s="25">
        <v>0</v>
      </c>
      <c r="Z21" s="54" t="s">
        <v>121</v>
      </c>
      <c r="AA21" s="23">
        <v>0</v>
      </c>
      <c r="AB21" s="25">
        <v>0</v>
      </c>
      <c r="AC21" s="54" t="s">
        <v>121</v>
      </c>
      <c r="AD21" s="23">
        <v>3</v>
      </c>
      <c r="AE21" s="25">
        <v>1</v>
      </c>
      <c r="AF21" s="54">
        <v>0.5</v>
      </c>
      <c r="AG21" s="23">
        <v>3</v>
      </c>
      <c r="AH21" s="25">
        <v>0</v>
      </c>
      <c r="AI21" s="54">
        <v>0</v>
      </c>
      <c r="AJ21" s="23">
        <v>0</v>
      </c>
      <c r="AK21" s="25">
        <v>0</v>
      </c>
      <c r="AL21" s="54" t="s">
        <v>121</v>
      </c>
      <c r="AM21" s="23">
        <v>0</v>
      </c>
      <c r="AN21" s="25">
        <v>0</v>
      </c>
      <c r="AO21" s="54" t="s">
        <v>121</v>
      </c>
      <c r="AP21" s="23">
        <v>0</v>
      </c>
      <c r="AQ21" s="25">
        <v>0</v>
      </c>
      <c r="AR21" s="54" t="s">
        <v>121</v>
      </c>
      <c r="AS21" s="23">
        <v>0</v>
      </c>
      <c r="AT21" s="25">
        <v>0</v>
      </c>
      <c r="AU21" s="54" t="s">
        <v>121</v>
      </c>
      <c r="AV21" s="23">
        <v>0</v>
      </c>
      <c r="AW21" s="25">
        <v>0</v>
      </c>
      <c r="AX21" s="54" t="s">
        <v>121</v>
      </c>
      <c r="AY21" s="23">
        <v>0</v>
      </c>
      <c r="AZ21" s="25">
        <v>0</v>
      </c>
      <c r="BA21" s="54" t="s">
        <v>121</v>
      </c>
      <c r="BB21" s="23">
        <v>0</v>
      </c>
      <c r="BC21" s="25">
        <v>0</v>
      </c>
      <c r="BD21" s="54" t="s">
        <v>121</v>
      </c>
      <c r="BE21" s="23">
        <v>3</v>
      </c>
      <c r="BF21" s="25">
        <v>0</v>
      </c>
      <c r="BG21" s="54">
        <v>0</v>
      </c>
      <c r="BH21" s="23">
        <v>0</v>
      </c>
      <c r="BI21" s="25">
        <v>0</v>
      </c>
      <c r="BJ21" s="54" t="s">
        <v>121</v>
      </c>
      <c r="BK21" s="23">
        <v>698</v>
      </c>
      <c r="BL21" s="25">
        <v>237</v>
      </c>
      <c r="BM21" s="54">
        <v>0.51409978308026028</v>
      </c>
      <c r="BN21" s="23">
        <v>0</v>
      </c>
      <c r="BO21" s="25">
        <v>0</v>
      </c>
      <c r="BP21" s="54" t="s">
        <v>121</v>
      </c>
      <c r="BQ21" s="23">
        <v>21</v>
      </c>
      <c r="BR21" s="25">
        <v>0</v>
      </c>
      <c r="BS21" s="54">
        <v>0</v>
      </c>
    </row>
    <row r="22" spans="2:71" s="4" customFormat="1" x14ac:dyDescent="0.5">
      <c r="B22" s="20" t="s">
        <v>35</v>
      </c>
      <c r="C22" s="21">
        <f t="shared" si="0"/>
        <v>1107</v>
      </c>
      <c r="D22" s="25">
        <f t="shared" si="0"/>
        <v>417</v>
      </c>
      <c r="E22" s="54">
        <f t="shared" si="1"/>
        <v>0.60434782608695659</v>
      </c>
      <c r="F22" s="21">
        <v>15</v>
      </c>
      <c r="G22" s="25">
        <v>1</v>
      </c>
      <c r="H22" s="54">
        <v>7.1428571428571397E-2</v>
      </c>
      <c r="I22" s="23">
        <v>6</v>
      </c>
      <c r="J22" s="25">
        <v>0</v>
      </c>
      <c r="K22" s="54">
        <v>0</v>
      </c>
      <c r="L22" s="23">
        <v>2</v>
      </c>
      <c r="M22" s="25">
        <v>0</v>
      </c>
      <c r="N22" s="54">
        <v>0</v>
      </c>
      <c r="O22" s="23">
        <v>2</v>
      </c>
      <c r="P22" s="25">
        <v>0</v>
      </c>
      <c r="Q22" s="54">
        <v>0</v>
      </c>
      <c r="R22" s="23">
        <v>3</v>
      </c>
      <c r="S22" s="25">
        <v>0</v>
      </c>
      <c r="T22" s="54">
        <v>0</v>
      </c>
      <c r="U22" s="23">
        <v>0</v>
      </c>
      <c r="V22" s="25">
        <v>0</v>
      </c>
      <c r="W22" s="54" t="s">
        <v>121</v>
      </c>
      <c r="X22" s="23">
        <v>0</v>
      </c>
      <c r="Y22" s="25">
        <v>0</v>
      </c>
      <c r="Z22" s="54" t="s">
        <v>121</v>
      </c>
      <c r="AA22" s="23">
        <v>0</v>
      </c>
      <c r="AB22" s="25">
        <v>0</v>
      </c>
      <c r="AC22" s="54" t="s">
        <v>121</v>
      </c>
      <c r="AD22" s="23">
        <v>2</v>
      </c>
      <c r="AE22" s="25">
        <v>1</v>
      </c>
      <c r="AF22" s="54">
        <v>1</v>
      </c>
      <c r="AG22" s="23">
        <v>5</v>
      </c>
      <c r="AH22" s="25">
        <v>0</v>
      </c>
      <c r="AI22" s="54">
        <v>0</v>
      </c>
      <c r="AJ22" s="23">
        <v>1</v>
      </c>
      <c r="AK22" s="25">
        <v>0</v>
      </c>
      <c r="AL22" s="54">
        <v>0</v>
      </c>
      <c r="AM22" s="23">
        <v>0</v>
      </c>
      <c r="AN22" s="25">
        <v>0</v>
      </c>
      <c r="AO22" s="54" t="s">
        <v>121</v>
      </c>
      <c r="AP22" s="23">
        <v>0</v>
      </c>
      <c r="AQ22" s="25">
        <v>0</v>
      </c>
      <c r="AR22" s="54" t="s">
        <v>121</v>
      </c>
      <c r="AS22" s="23">
        <v>0</v>
      </c>
      <c r="AT22" s="25">
        <v>0</v>
      </c>
      <c r="AU22" s="54" t="s">
        <v>121</v>
      </c>
      <c r="AV22" s="23">
        <v>0</v>
      </c>
      <c r="AW22" s="25">
        <v>0</v>
      </c>
      <c r="AX22" s="54" t="s">
        <v>121</v>
      </c>
      <c r="AY22" s="23">
        <v>0</v>
      </c>
      <c r="AZ22" s="25">
        <v>0</v>
      </c>
      <c r="BA22" s="54" t="s">
        <v>121</v>
      </c>
      <c r="BB22" s="23">
        <v>0</v>
      </c>
      <c r="BC22" s="25">
        <v>0</v>
      </c>
      <c r="BD22" s="54" t="s">
        <v>121</v>
      </c>
      <c r="BE22" s="23">
        <v>3</v>
      </c>
      <c r="BF22" s="25">
        <v>0</v>
      </c>
      <c r="BG22" s="54">
        <v>0</v>
      </c>
      <c r="BH22" s="23">
        <v>1</v>
      </c>
      <c r="BI22" s="25">
        <v>0</v>
      </c>
      <c r="BJ22" s="54">
        <v>0</v>
      </c>
      <c r="BK22" s="23">
        <v>1075</v>
      </c>
      <c r="BL22" s="25">
        <v>416</v>
      </c>
      <c r="BM22" s="54">
        <v>0.6312594840667678</v>
      </c>
      <c r="BN22" s="23">
        <v>1</v>
      </c>
      <c r="BO22" s="25">
        <v>0</v>
      </c>
      <c r="BP22" s="54">
        <v>0</v>
      </c>
      <c r="BQ22" s="23">
        <v>11</v>
      </c>
      <c r="BR22" s="25">
        <v>0</v>
      </c>
      <c r="BS22" s="54">
        <v>0</v>
      </c>
    </row>
    <row r="23" spans="2:71" s="4" customFormat="1" x14ac:dyDescent="0.5">
      <c r="B23" s="20" t="s">
        <v>36</v>
      </c>
      <c r="C23" s="21">
        <f t="shared" si="0"/>
        <v>207</v>
      </c>
      <c r="D23" s="25">
        <f t="shared" si="0"/>
        <v>72</v>
      </c>
      <c r="E23" s="54">
        <f t="shared" si="1"/>
        <v>0.53333333333333344</v>
      </c>
      <c r="F23" s="21">
        <v>0</v>
      </c>
      <c r="G23" s="25">
        <v>0</v>
      </c>
      <c r="H23" s="54" t="s">
        <v>121</v>
      </c>
      <c r="I23" s="23">
        <v>0</v>
      </c>
      <c r="J23" s="25">
        <v>0</v>
      </c>
      <c r="K23" s="54" t="s">
        <v>121</v>
      </c>
      <c r="L23" s="23">
        <v>0</v>
      </c>
      <c r="M23" s="25">
        <v>0</v>
      </c>
      <c r="N23" s="54" t="s">
        <v>121</v>
      </c>
      <c r="O23" s="23">
        <v>0</v>
      </c>
      <c r="P23" s="25">
        <v>0</v>
      </c>
      <c r="Q23" s="54" t="s">
        <v>121</v>
      </c>
      <c r="R23" s="23">
        <v>0</v>
      </c>
      <c r="S23" s="25">
        <v>0</v>
      </c>
      <c r="T23" s="54" t="s">
        <v>121</v>
      </c>
      <c r="U23" s="23">
        <v>0</v>
      </c>
      <c r="V23" s="25">
        <v>0</v>
      </c>
      <c r="W23" s="54" t="s">
        <v>121</v>
      </c>
      <c r="X23" s="23">
        <v>0</v>
      </c>
      <c r="Y23" s="25">
        <v>0</v>
      </c>
      <c r="Z23" s="54" t="s">
        <v>121</v>
      </c>
      <c r="AA23" s="23">
        <v>0</v>
      </c>
      <c r="AB23" s="25">
        <v>0</v>
      </c>
      <c r="AC23" s="54" t="s">
        <v>121</v>
      </c>
      <c r="AD23" s="23">
        <v>0</v>
      </c>
      <c r="AE23" s="25">
        <v>0</v>
      </c>
      <c r="AF23" s="54" t="s">
        <v>121</v>
      </c>
      <c r="AG23" s="23">
        <v>0</v>
      </c>
      <c r="AH23" s="25">
        <v>0</v>
      </c>
      <c r="AI23" s="54" t="s">
        <v>121</v>
      </c>
      <c r="AJ23" s="23">
        <v>0</v>
      </c>
      <c r="AK23" s="25">
        <v>0</v>
      </c>
      <c r="AL23" s="54" t="s">
        <v>121</v>
      </c>
      <c r="AM23" s="23">
        <v>0</v>
      </c>
      <c r="AN23" s="25">
        <v>0</v>
      </c>
      <c r="AO23" s="54" t="s">
        <v>121</v>
      </c>
      <c r="AP23" s="23">
        <v>0</v>
      </c>
      <c r="AQ23" s="25">
        <v>0</v>
      </c>
      <c r="AR23" s="54" t="s">
        <v>121</v>
      </c>
      <c r="AS23" s="23">
        <v>0</v>
      </c>
      <c r="AT23" s="25">
        <v>0</v>
      </c>
      <c r="AU23" s="54" t="s">
        <v>121</v>
      </c>
      <c r="AV23" s="23">
        <v>0</v>
      </c>
      <c r="AW23" s="25">
        <v>0</v>
      </c>
      <c r="AX23" s="54" t="s">
        <v>121</v>
      </c>
      <c r="AY23" s="23">
        <v>0</v>
      </c>
      <c r="AZ23" s="25">
        <v>0</v>
      </c>
      <c r="BA23" s="54" t="s">
        <v>121</v>
      </c>
      <c r="BB23" s="23">
        <v>0</v>
      </c>
      <c r="BC23" s="25">
        <v>0</v>
      </c>
      <c r="BD23" s="54" t="s">
        <v>121</v>
      </c>
      <c r="BE23" s="23">
        <v>0</v>
      </c>
      <c r="BF23" s="25">
        <v>0</v>
      </c>
      <c r="BG23" s="54" t="s">
        <v>121</v>
      </c>
      <c r="BH23" s="23">
        <v>0</v>
      </c>
      <c r="BI23" s="25">
        <v>0</v>
      </c>
      <c r="BJ23" s="54" t="s">
        <v>121</v>
      </c>
      <c r="BK23" s="23">
        <v>202</v>
      </c>
      <c r="BL23" s="25">
        <v>72</v>
      </c>
      <c r="BM23" s="54">
        <v>0.55384615384615388</v>
      </c>
      <c r="BN23" s="23">
        <v>0</v>
      </c>
      <c r="BO23" s="25">
        <v>0</v>
      </c>
      <c r="BP23" s="54" t="s">
        <v>121</v>
      </c>
      <c r="BQ23" s="23">
        <v>5</v>
      </c>
      <c r="BR23" s="25">
        <v>0</v>
      </c>
      <c r="BS23" s="54">
        <v>0</v>
      </c>
    </row>
    <row r="24" spans="2:71" s="4" customFormat="1" x14ac:dyDescent="0.5">
      <c r="B24" s="20" t="s">
        <v>37</v>
      </c>
      <c r="C24" s="21">
        <f t="shared" si="0"/>
        <v>362</v>
      </c>
      <c r="D24" s="25">
        <f t="shared" si="0"/>
        <v>158</v>
      </c>
      <c r="E24" s="54">
        <f t="shared" si="1"/>
        <v>0.77450980392156854</v>
      </c>
      <c r="F24" s="21">
        <v>5</v>
      </c>
      <c r="G24" s="25">
        <v>0</v>
      </c>
      <c r="H24" s="54">
        <v>0</v>
      </c>
      <c r="I24" s="23">
        <v>1</v>
      </c>
      <c r="J24" s="25">
        <v>0</v>
      </c>
      <c r="K24" s="54">
        <v>0</v>
      </c>
      <c r="L24" s="23">
        <v>2</v>
      </c>
      <c r="M24" s="25">
        <v>0</v>
      </c>
      <c r="N24" s="54">
        <v>0</v>
      </c>
      <c r="O24" s="23">
        <v>1</v>
      </c>
      <c r="P24" s="25">
        <v>0</v>
      </c>
      <c r="Q24" s="54">
        <v>0</v>
      </c>
      <c r="R24" s="23">
        <v>0</v>
      </c>
      <c r="S24" s="25">
        <v>0</v>
      </c>
      <c r="T24" s="54" t="s">
        <v>121</v>
      </c>
      <c r="U24" s="23">
        <v>0</v>
      </c>
      <c r="V24" s="25">
        <v>0</v>
      </c>
      <c r="W24" s="54" t="s">
        <v>121</v>
      </c>
      <c r="X24" s="23">
        <v>0</v>
      </c>
      <c r="Y24" s="25">
        <v>0</v>
      </c>
      <c r="Z24" s="54" t="s">
        <v>121</v>
      </c>
      <c r="AA24" s="23">
        <v>0</v>
      </c>
      <c r="AB24" s="25">
        <v>0</v>
      </c>
      <c r="AC24" s="54" t="s">
        <v>121</v>
      </c>
      <c r="AD24" s="23">
        <v>1</v>
      </c>
      <c r="AE24" s="25">
        <v>0</v>
      </c>
      <c r="AF24" s="54">
        <v>0</v>
      </c>
      <c r="AG24" s="23">
        <v>3</v>
      </c>
      <c r="AH24" s="25">
        <v>0</v>
      </c>
      <c r="AI24" s="54">
        <v>0</v>
      </c>
      <c r="AJ24" s="23">
        <v>1</v>
      </c>
      <c r="AK24" s="25">
        <v>0</v>
      </c>
      <c r="AL24" s="54">
        <v>0</v>
      </c>
      <c r="AM24" s="23">
        <v>0</v>
      </c>
      <c r="AN24" s="25">
        <v>0</v>
      </c>
      <c r="AO24" s="54" t="s">
        <v>121</v>
      </c>
      <c r="AP24" s="23">
        <v>0</v>
      </c>
      <c r="AQ24" s="25">
        <v>0</v>
      </c>
      <c r="AR24" s="54" t="s">
        <v>121</v>
      </c>
      <c r="AS24" s="23">
        <v>0</v>
      </c>
      <c r="AT24" s="25">
        <v>0</v>
      </c>
      <c r="AU24" s="54" t="s">
        <v>121</v>
      </c>
      <c r="AV24" s="23">
        <v>0</v>
      </c>
      <c r="AW24" s="25">
        <v>0</v>
      </c>
      <c r="AX24" s="54" t="s">
        <v>121</v>
      </c>
      <c r="AY24" s="23">
        <v>0</v>
      </c>
      <c r="AZ24" s="25">
        <v>0</v>
      </c>
      <c r="BA24" s="54" t="s">
        <v>121</v>
      </c>
      <c r="BB24" s="23">
        <v>0</v>
      </c>
      <c r="BC24" s="25">
        <v>0</v>
      </c>
      <c r="BD24" s="54" t="s">
        <v>121</v>
      </c>
      <c r="BE24" s="23">
        <v>1</v>
      </c>
      <c r="BF24" s="25">
        <v>0</v>
      </c>
      <c r="BG24" s="54">
        <v>0</v>
      </c>
      <c r="BH24" s="23">
        <v>1</v>
      </c>
      <c r="BI24" s="25">
        <v>0</v>
      </c>
      <c r="BJ24" s="54">
        <v>0</v>
      </c>
      <c r="BK24" s="23">
        <v>345</v>
      </c>
      <c r="BL24" s="25">
        <v>158</v>
      </c>
      <c r="BM24" s="54">
        <v>0.84491978609625673</v>
      </c>
      <c r="BN24" s="23">
        <v>1</v>
      </c>
      <c r="BO24" s="25">
        <v>0</v>
      </c>
      <c r="BP24" s="54">
        <v>0</v>
      </c>
      <c r="BQ24" s="23">
        <v>8</v>
      </c>
      <c r="BR24" s="25">
        <v>0</v>
      </c>
      <c r="BS24" s="54">
        <v>0</v>
      </c>
    </row>
    <row r="25" spans="2:71" s="4" customFormat="1" x14ac:dyDescent="0.5">
      <c r="B25" s="20" t="s">
        <v>38</v>
      </c>
      <c r="C25" s="21">
        <f t="shared" si="0"/>
        <v>1861</v>
      </c>
      <c r="D25" s="25">
        <f t="shared" si="0"/>
        <v>757</v>
      </c>
      <c r="E25" s="54">
        <f t="shared" si="1"/>
        <v>0.68568840579710155</v>
      </c>
      <c r="F25" s="21">
        <v>60</v>
      </c>
      <c r="G25" s="25">
        <v>1</v>
      </c>
      <c r="H25" s="54">
        <v>1.6949152542372836E-2</v>
      </c>
      <c r="I25" s="23">
        <v>4</v>
      </c>
      <c r="J25" s="25">
        <v>1</v>
      </c>
      <c r="K25" s="54">
        <v>0.33333333333333326</v>
      </c>
      <c r="L25" s="23">
        <v>10</v>
      </c>
      <c r="M25" s="25">
        <v>0</v>
      </c>
      <c r="N25" s="54">
        <v>0</v>
      </c>
      <c r="O25" s="23">
        <v>16</v>
      </c>
      <c r="P25" s="25">
        <v>0</v>
      </c>
      <c r="Q25" s="54">
        <v>0</v>
      </c>
      <c r="R25" s="23">
        <v>29</v>
      </c>
      <c r="S25" s="25">
        <v>0</v>
      </c>
      <c r="T25" s="54">
        <v>0</v>
      </c>
      <c r="U25" s="23">
        <v>0</v>
      </c>
      <c r="V25" s="25">
        <v>0</v>
      </c>
      <c r="W25" s="54" t="s">
        <v>121</v>
      </c>
      <c r="X25" s="23">
        <v>1</v>
      </c>
      <c r="Y25" s="25">
        <v>0</v>
      </c>
      <c r="Z25" s="54">
        <v>0</v>
      </c>
      <c r="AA25" s="23">
        <v>0</v>
      </c>
      <c r="AB25" s="25">
        <v>0</v>
      </c>
      <c r="AC25" s="54" t="s">
        <v>121</v>
      </c>
      <c r="AD25" s="23">
        <v>0</v>
      </c>
      <c r="AE25" s="25">
        <v>0</v>
      </c>
      <c r="AF25" s="54" t="s">
        <v>121</v>
      </c>
      <c r="AG25" s="23">
        <v>24</v>
      </c>
      <c r="AH25" s="25">
        <v>0</v>
      </c>
      <c r="AI25" s="54">
        <v>0</v>
      </c>
      <c r="AJ25" s="23">
        <v>2</v>
      </c>
      <c r="AK25" s="25">
        <v>0</v>
      </c>
      <c r="AL25" s="54">
        <v>0</v>
      </c>
      <c r="AM25" s="23">
        <v>6</v>
      </c>
      <c r="AN25" s="25">
        <v>0</v>
      </c>
      <c r="AO25" s="54">
        <v>0</v>
      </c>
      <c r="AP25" s="23">
        <v>10</v>
      </c>
      <c r="AQ25" s="25">
        <v>0</v>
      </c>
      <c r="AR25" s="54">
        <v>0</v>
      </c>
      <c r="AS25" s="23">
        <v>0</v>
      </c>
      <c r="AT25" s="25">
        <v>0</v>
      </c>
      <c r="AU25" s="54" t="s">
        <v>121</v>
      </c>
      <c r="AV25" s="23">
        <v>2</v>
      </c>
      <c r="AW25" s="25">
        <v>0</v>
      </c>
      <c r="AX25" s="54">
        <v>0</v>
      </c>
      <c r="AY25" s="23">
        <v>4</v>
      </c>
      <c r="AZ25" s="25">
        <v>0</v>
      </c>
      <c r="BA25" s="54">
        <v>0</v>
      </c>
      <c r="BB25" s="23">
        <v>0</v>
      </c>
      <c r="BC25" s="25">
        <v>0</v>
      </c>
      <c r="BD25" s="54" t="s">
        <v>121</v>
      </c>
      <c r="BE25" s="23">
        <v>0</v>
      </c>
      <c r="BF25" s="25">
        <v>0</v>
      </c>
      <c r="BG25" s="54" t="s">
        <v>121</v>
      </c>
      <c r="BH25" s="23">
        <v>0</v>
      </c>
      <c r="BI25" s="25">
        <v>0</v>
      </c>
      <c r="BJ25" s="54" t="s">
        <v>121</v>
      </c>
      <c r="BK25" s="23">
        <v>1776</v>
      </c>
      <c r="BL25" s="25">
        <v>756</v>
      </c>
      <c r="BM25" s="54">
        <v>0.74117647058823533</v>
      </c>
      <c r="BN25" s="23">
        <v>0</v>
      </c>
      <c r="BO25" s="25">
        <v>0</v>
      </c>
      <c r="BP25" s="54" t="s">
        <v>121</v>
      </c>
      <c r="BQ25" s="23">
        <v>1</v>
      </c>
      <c r="BR25" s="25">
        <v>0</v>
      </c>
      <c r="BS25" s="54">
        <v>0</v>
      </c>
    </row>
    <row r="26" spans="2:71" s="4" customFormat="1" x14ac:dyDescent="0.5">
      <c r="B26" s="20" t="s">
        <v>39</v>
      </c>
      <c r="C26" s="21">
        <f t="shared" si="0"/>
        <v>306</v>
      </c>
      <c r="D26" s="25">
        <f t="shared" si="0"/>
        <v>159</v>
      </c>
      <c r="E26" s="54">
        <f t="shared" si="1"/>
        <v>1.0816326530612246</v>
      </c>
      <c r="F26" s="21">
        <v>5</v>
      </c>
      <c r="G26" s="25">
        <v>0</v>
      </c>
      <c r="H26" s="54">
        <v>0</v>
      </c>
      <c r="I26" s="23">
        <v>0</v>
      </c>
      <c r="J26" s="25">
        <v>0</v>
      </c>
      <c r="K26" s="54" t="s">
        <v>121</v>
      </c>
      <c r="L26" s="23">
        <v>0</v>
      </c>
      <c r="M26" s="25">
        <v>0</v>
      </c>
      <c r="N26" s="54" t="s">
        <v>121</v>
      </c>
      <c r="O26" s="23">
        <v>2</v>
      </c>
      <c r="P26" s="25">
        <v>0</v>
      </c>
      <c r="Q26" s="54">
        <v>0</v>
      </c>
      <c r="R26" s="23">
        <v>3</v>
      </c>
      <c r="S26" s="25">
        <v>0</v>
      </c>
      <c r="T26" s="54">
        <v>0</v>
      </c>
      <c r="U26" s="23">
        <v>0</v>
      </c>
      <c r="V26" s="25">
        <v>0</v>
      </c>
      <c r="W26" s="54" t="s">
        <v>121</v>
      </c>
      <c r="X26" s="23">
        <v>0</v>
      </c>
      <c r="Y26" s="25">
        <v>0</v>
      </c>
      <c r="Z26" s="54" t="s">
        <v>121</v>
      </c>
      <c r="AA26" s="23">
        <v>0</v>
      </c>
      <c r="AB26" s="25">
        <v>0</v>
      </c>
      <c r="AC26" s="54" t="s">
        <v>121</v>
      </c>
      <c r="AD26" s="23">
        <v>0</v>
      </c>
      <c r="AE26" s="25">
        <v>0</v>
      </c>
      <c r="AF26" s="54" t="s">
        <v>121</v>
      </c>
      <c r="AG26" s="23">
        <v>4</v>
      </c>
      <c r="AH26" s="25">
        <v>0</v>
      </c>
      <c r="AI26" s="54">
        <v>0</v>
      </c>
      <c r="AJ26" s="23">
        <v>1</v>
      </c>
      <c r="AK26" s="25">
        <v>0</v>
      </c>
      <c r="AL26" s="54">
        <v>0</v>
      </c>
      <c r="AM26" s="23">
        <v>0</v>
      </c>
      <c r="AN26" s="25">
        <v>0</v>
      </c>
      <c r="AO26" s="54" t="s">
        <v>121</v>
      </c>
      <c r="AP26" s="23">
        <v>1</v>
      </c>
      <c r="AQ26" s="25">
        <v>0</v>
      </c>
      <c r="AR26" s="54">
        <v>0</v>
      </c>
      <c r="AS26" s="23">
        <v>0</v>
      </c>
      <c r="AT26" s="25">
        <v>0</v>
      </c>
      <c r="AU26" s="54" t="s">
        <v>121</v>
      </c>
      <c r="AV26" s="23">
        <v>0</v>
      </c>
      <c r="AW26" s="25">
        <v>0</v>
      </c>
      <c r="AX26" s="54" t="s">
        <v>121</v>
      </c>
      <c r="AY26" s="23">
        <v>0</v>
      </c>
      <c r="AZ26" s="25">
        <v>0</v>
      </c>
      <c r="BA26" s="54" t="s">
        <v>121</v>
      </c>
      <c r="BB26" s="23">
        <v>0</v>
      </c>
      <c r="BC26" s="25">
        <v>0</v>
      </c>
      <c r="BD26" s="54" t="s">
        <v>121</v>
      </c>
      <c r="BE26" s="23">
        <v>2</v>
      </c>
      <c r="BF26" s="25">
        <v>0</v>
      </c>
      <c r="BG26" s="54">
        <v>0</v>
      </c>
      <c r="BH26" s="23">
        <v>0</v>
      </c>
      <c r="BI26" s="25">
        <v>0</v>
      </c>
      <c r="BJ26" s="54" t="s">
        <v>121</v>
      </c>
      <c r="BK26" s="23">
        <v>280</v>
      </c>
      <c r="BL26" s="25">
        <v>159</v>
      </c>
      <c r="BM26" s="54">
        <v>1.3140495867768593</v>
      </c>
      <c r="BN26" s="23">
        <v>3</v>
      </c>
      <c r="BO26" s="25">
        <v>0</v>
      </c>
      <c r="BP26" s="54">
        <v>0</v>
      </c>
      <c r="BQ26" s="23">
        <v>14</v>
      </c>
      <c r="BR26" s="25">
        <v>0</v>
      </c>
      <c r="BS26" s="54">
        <v>0</v>
      </c>
    </row>
    <row r="27" spans="2:71" s="4" customFormat="1" x14ac:dyDescent="0.5">
      <c r="B27" s="20" t="s">
        <v>40</v>
      </c>
      <c r="C27" s="21">
        <f t="shared" si="0"/>
        <v>403</v>
      </c>
      <c r="D27" s="25">
        <f t="shared" si="0"/>
        <v>178</v>
      </c>
      <c r="E27" s="54">
        <f t="shared" si="1"/>
        <v>0.7911111111111111</v>
      </c>
      <c r="F27" s="21">
        <v>2</v>
      </c>
      <c r="G27" s="25">
        <v>0</v>
      </c>
      <c r="H27" s="54">
        <v>0</v>
      </c>
      <c r="I27" s="23">
        <v>1</v>
      </c>
      <c r="J27" s="25">
        <v>0</v>
      </c>
      <c r="K27" s="54">
        <v>0</v>
      </c>
      <c r="L27" s="23">
        <v>1</v>
      </c>
      <c r="M27" s="25">
        <v>0</v>
      </c>
      <c r="N27" s="54">
        <v>0</v>
      </c>
      <c r="O27" s="23">
        <v>0</v>
      </c>
      <c r="P27" s="25">
        <v>0</v>
      </c>
      <c r="Q27" s="54" t="s">
        <v>121</v>
      </c>
      <c r="R27" s="23">
        <v>0</v>
      </c>
      <c r="S27" s="25">
        <v>0</v>
      </c>
      <c r="T27" s="54" t="s">
        <v>121</v>
      </c>
      <c r="U27" s="23">
        <v>0</v>
      </c>
      <c r="V27" s="25">
        <v>0</v>
      </c>
      <c r="W27" s="54" t="s">
        <v>121</v>
      </c>
      <c r="X27" s="23">
        <v>0</v>
      </c>
      <c r="Y27" s="25">
        <v>0</v>
      </c>
      <c r="Z27" s="54" t="s">
        <v>121</v>
      </c>
      <c r="AA27" s="23">
        <v>0</v>
      </c>
      <c r="AB27" s="25">
        <v>0</v>
      </c>
      <c r="AC27" s="54" t="s">
        <v>121</v>
      </c>
      <c r="AD27" s="23">
        <v>0</v>
      </c>
      <c r="AE27" s="25">
        <v>0</v>
      </c>
      <c r="AF27" s="54" t="s">
        <v>121</v>
      </c>
      <c r="AG27" s="23">
        <v>1</v>
      </c>
      <c r="AH27" s="25">
        <v>0</v>
      </c>
      <c r="AI27" s="54">
        <v>0</v>
      </c>
      <c r="AJ27" s="23">
        <v>0</v>
      </c>
      <c r="AK27" s="25">
        <v>0</v>
      </c>
      <c r="AL27" s="54" t="s">
        <v>121</v>
      </c>
      <c r="AM27" s="23">
        <v>0</v>
      </c>
      <c r="AN27" s="25">
        <v>0</v>
      </c>
      <c r="AO27" s="54" t="s">
        <v>121</v>
      </c>
      <c r="AP27" s="23">
        <v>0</v>
      </c>
      <c r="AQ27" s="25">
        <v>0</v>
      </c>
      <c r="AR27" s="54" t="s">
        <v>121</v>
      </c>
      <c r="AS27" s="23">
        <v>0</v>
      </c>
      <c r="AT27" s="25">
        <v>0</v>
      </c>
      <c r="AU27" s="54" t="s">
        <v>121</v>
      </c>
      <c r="AV27" s="23">
        <v>0</v>
      </c>
      <c r="AW27" s="25">
        <v>0</v>
      </c>
      <c r="AX27" s="54" t="s">
        <v>121</v>
      </c>
      <c r="AY27" s="23">
        <v>0</v>
      </c>
      <c r="AZ27" s="25">
        <v>0</v>
      </c>
      <c r="BA27" s="54" t="s">
        <v>121</v>
      </c>
      <c r="BB27" s="23">
        <v>0</v>
      </c>
      <c r="BC27" s="25">
        <v>0</v>
      </c>
      <c r="BD27" s="54" t="s">
        <v>121</v>
      </c>
      <c r="BE27" s="23">
        <v>0</v>
      </c>
      <c r="BF27" s="25">
        <v>0</v>
      </c>
      <c r="BG27" s="54" t="s">
        <v>121</v>
      </c>
      <c r="BH27" s="23">
        <v>1</v>
      </c>
      <c r="BI27" s="25">
        <v>0</v>
      </c>
      <c r="BJ27" s="54">
        <v>0</v>
      </c>
      <c r="BK27" s="23">
        <v>396</v>
      </c>
      <c r="BL27" s="25">
        <v>178</v>
      </c>
      <c r="BM27" s="54">
        <v>0.8165137614678899</v>
      </c>
      <c r="BN27" s="23">
        <v>1</v>
      </c>
      <c r="BO27" s="25">
        <v>0</v>
      </c>
      <c r="BP27" s="54">
        <v>0</v>
      </c>
      <c r="BQ27" s="23">
        <v>3</v>
      </c>
      <c r="BR27" s="25">
        <v>0</v>
      </c>
      <c r="BS27" s="54">
        <v>0</v>
      </c>
    </row>
    <row r="28" spans="2:71" s="4" customFormat="1" x14ac:dyDescent="0.5">
      <c r="B28" s="20" t="s">
        <v>41</v>
      </c>
      <c r="C28" s="21">
        <f t="shared" si="0"/>
        <v>61</v>
      </c>
      <c r="D28" s="25">
        <f t="shared" si="0"/>
        <v>23</v>
      </c>
      <c r="E28" s="54">
        <f t="shared" si="1"/>
        <v>0.60526315789473695</v>
      </c>
      <c r="F28" s="21">
        <v>0</v>
      </c>
      <c r="G28" s="25">
        <v>0</v>
      </c>
      <c r="H28" s="54" t="s">
        <v>121</v>
      </c>
      <c r="I28" s="23">
        <v>0</v>
      </c>
      <c r="J28" s="25">
        <v>0</v>
      </c>
      <c r="K28" s="54" t="s">
        <v>121</v>
      </c>
      <c r="L28" s="23">
        <v>0</v>
      </c>
      <c r="M28" s="25">
        <v>0</v>
      </c>
      <c r="N28" s="54" t="s">
        <v>121</v>
      </c>
      <c r="O28" s="23">
        <v>0</v>
      </c>
      <c r="P28" s="25">
        <v>0</v>
      </c>
      <c r="Q28" s="54" t="s">
        <v>121</v>
      </c>
      <c r="R28" s="23">
        <v>0</v>
      </c>
      <c r="S28" s="25">
        <v>0</v>
      </c>
      <c r="T28" s="54" t="s">
        <v>121</v>
      </c>
      <c r="U28" s="23">
        <v>0</v>
      </c>
      <c r="V28" s="25">
        <v>0</v>
      </c>
      <c r="W28" s="54" t="s">
        <v>121</v>
      </c>
      <c r="X28" s="23">
        <v>0</v>
      </c>
      <c r="Y28" s="25">
        <v>0</v>
      </c>
      <c r="Z28" s="54" t="s">
        <v>121</v>
      </c>
      <c r="AA28" s="23">
        <v>0</v>
      </c>
      <c r="AB28" s="25">
        <v>0</v>
      </c>
      <c r="AC28" s="54" t="s">
        <v>121</v>
      </c>
      <c r="AD28" s="23">
        <v>0</v>
      </c>
      <c r="AE28" s="25">
        <v>0</v>
      </c>
      <c r="AF28" s="54" t="s">
        <v>121</v>
      </c>
      <c r="AG28" s="23">
        <v>3</v>
      </c>
      <c r="AH28" s="25">
        <v>0</v>
      </c>
      <c r="AI28" s="54">
        <v>0</v>
      </c>
      <c r="AJ28" s="23">
        <v>0</v>
      </c>
      <c r="AK28" s="25">
        <v>0</v>
      </c>
      <c r="AL28" s="54" t="s">
        <v>121</v>
      </c>
      <c r="AM28" s="23">
        <v>0</v>
      </c>
      <c r="AN28" s="25">
        <v>0</v>
      </c>
      <c r="AO28" s="54" t="s">
        <v>121</v>
      </c>
      <c r="AP28" s="23">
        <v>0</v>
      </c>
      <c r="AQ28" s="25">
        <v>0</v>
      </c>
      <c r="AR28" s="54" t="s">
        <v>121</v>
      </c>
      <c r="AS28" s="23">
        <v>0</v>
      </c>
      <c r="AT28" s="25">
        <v>0</v>
      </c>
      <c r="AU28" s="54" t="s">
        <v>121</v>
      </c>
      <c r="AV28" s="23">
        <v>0</v>
      </c>
      <c r="AW28" s="25">
        <v>0</v>
      </c>
      <c r="AX28" s="54" t="s">
        <v>121</v>
      </c>
      <c r="AY28" s="23">
        <v>0</v>
      </c>
      <c r="AZ28" s="25">
        <v>0</v>
      </c>
      <c r="BA28" s="54" t="s">
        <v>121</v>
      </c>
      <c r="BB28" s="23">
        <v>0</v>
      </c>
      <c r="BC28" s="25">
        <v>0</v>
      </c>
      <c r="BD28" s="54" t="s">
        <v>121</v>
      </c>
      <c r="BE28" s="23">
        <v>3</v>
      </c>
      <c r="BF28" s="25">
        <v>0</v>
      </c>
      <c r="BG28" s="54">
        <v>0</v>
      </c>
      <c r="BH28" s="23">
        <v>0</v>
      </c>
      <c r="BI28" s="25">
        <v>0</v>
      </c>
      <c r="BJ28" s="54" t="s">
        <v>121</v>
      </c>
      <c r="BK28" s="23">
        <v>55</v>
      </c>
      <c r="BL28" s="25">
        <v>24</v>
      </c>
      <c r="BM28" s="54">
        <v>0.77419354838709675</v>
      </c>
      <c r="BN28" s="23">
        <v>0</v>
      </c>
      <c r="BO28" s="25">
        <v>-1</v>
      </c>
      <c r="BP28" s="54">
        <v>-1</v>
      </c>
      <c r="BQ28" s="23">
        <v>3</v>
      </c>
      <c r="BR28" s="25">
        <v>0</v>
      </c>
      <c r="BS28" s="54">
        <v>0</v>
      </c>
    </row>
    <row r="29" spans="2:71" s="4" customFormat="1" x14ac:dyDescent="0.5">
      <c r="B29" s="20" t="s">
        <v>42</v>
      </c>
      <c r="C29" s="21">
        <f t="shared" si="0"/>
        <v>1342</v>
      </c>
      <c r="D29" s="25">
        <f t="shared" si="0"/>
        <v>677</v>
      </c>
      <c r="E29" s="54">
        <f t="shared" si="1"/>
        <v>1.0180451127819548</v>
      </c>
      <c r="F29" s="21">
        <v>7</v>
      </c>
      <c r="G29" s="25">
        <v>0</v>
      </c>
      <c r="H29" s="54">
        <v>0</v>
      </c>
      <c r="I29" s="23">
        <v>0</v>
      </c>
      <c r="J29" s="25">
        <v>0</v>
      </c>
      <c r="K29" s="54" t="s">
        <v>121</v>
      </c>
      <c r="L29" s="23">
        <v>0</v>
      </c>
      <c r="M29" s="25">
        <v>0</v>
      </c>
      <c r="N29" s="54" t="s">
        <v>121</v>
      </c>
      <c r="O29" s="23">
        <v>1</v>
      </c>
      <c r="P29" s="25">
        <v>0</v>
      </c>
      <c r="Q29" s="54">
        <v>0</v>
      </c>
      <c r="R29" s="23">
        <v>2</v>
      </c>
      <c r="S29" s="25">
        <v>0</v>
      </c>
      <c r="T29" s="54">
        <v>0</v>
      </c>
      <c r="U29" s="23">
        <v>3</v>
      </c>
      <c r="V29" s="25">
        <v>0</v>
      </c>
      <c r="W29" s="54">
        <v>0</v>
      </c>
      <c r="X29" s="23">
        <v>0</v>
      </c>
      <c r="Y29" s="25">
        <v>0</v>
      </c>
      <c r="Z29" s="54" t="s">
        <v>121</v>
      </c>
      <c r="AA29" s="23">
        <v>0</v>
      </c>
      <c r="AB29" s="25">
        <v>0</v>
      </c>
      <c r="AC29" s="54" t="s">
        <v>121</v>
      </c>
      <c r="AD29" s="23">
        <v>1</v>
      </c>
      <c r="AE29" s="25">
        <v>0</v>
      </c>
      <c r="AF29" s="54">
        <v>0</v>
      </c>
      <c r="AG29" s="23">
        <v>13</v>
      </c>
      <c r="AH29" s="25">
        <v>0</v>
      </c>
      <c r="AI29" s="54">
        <v>0</v>
      </c>
      <c r="AJ29" s="23">
        <v>3</v>
      </c>
      <c r="AK29" s="25">
        <v>0</v>
      </c>
      <c r="AL29" s="54">
        <v>0</v>
      </c>
      <c r="AM29" s="23">
        <v>2</v>
      </c>
      <c r="AN29" s="25">
        <v>0</v>
      </c>
      <c r="AO29" s="54">
        <v>0</v>
      </c>
      <c r="AP29" s="23">
        <v>3</v>
      </c>
      <c r="AQ29" s="25">
        <v>0</v>
      </c>
      <c r="AR29" s="54">
        <v>0</v>
      </c>
      <c r="AS29" s="23">
        <v>0</v>
      </c>
      <c r="AT29" s="25">
        <v>0</v>
      </c>
      <c r="AU29" s="54" t="s">
        <v>121</v>
      </c>
      <c r="AV29" s="23">
        <v>3</v>
      </c>
      <c r="AW29" s="25">
        <v>0</v>
      </c>
      <c r="AX29" s="54">
        <v>0</v>
      </c>
      <c r="AY29" s="23">
        <v>0</v>
      </c>
      <c r="AZ29" s="25">
        <v>0</v>
      </c>
      <c r="BA29" s="54" t="s">
        <v>121</v>
      </c>
      <c r="BB29" s="23">
        <v>0</v>
      </c>
      <c r="BC29" s="25">
        <v>0</v>
      </c>
      <c r="BD29" s="54" t="s">
        <v>121</v>
      </c>
      <c r="BE29" s="23">
        <v>2</v>
      </c>
      <c r="BF29" s="25">
        <v>0</v>
      </c>
      <c r="BG29" s="54">
        <v>0</v>
      </c>
      <c r="BH29" s="23">
        <v>0</v>
      </c>
      <c r="BI29" s="25">
        <v>0</v>
      </c>
      <c r="BJ29" s="54" t="s">
        <v>121</v>
      </c>
      <c r="BK29" s="23">
        <v>1318</v>
      </c>
      <c r="BL29" s="25">
        <v>677</v>
      </c>
      <c r="BM29" s="54">
        <v>1.0561622464898597</v>
      </c>
      <c r="BN29" s="23">
        <v>1</v>
      </c>
      <c r="BO29" s="25">
        <v>0</v>
      </c>
      <c r="BP29" s="54">
        <v>0</v>
      </c>
      <c r="BQ29" s="23">
        <v>3</v>
      </c>
      <c r="BR29" s="25">
        <v>0</v>
      </c>
      <c r="BS29" s="54">
        <v>0</v>
      </c>
    </row>
    <row r="30" spans="2:71" s="4" customFormat="1" x14ac:dyDescent="0.5">
      <c r="B30" s="20" t="s">
        <v>43</v>
      </c>
      <c r="C30" s="21">
        <f t="shared" si="0"/>
        <v>2077</v>
      </c>
      <c r="D30" s="25">
        <f t="shared" si="0"/>
        <v>816</v>
      </c>
      <c r="E30" s="54">
        <f t="shared" si="1"/>
        <v>0.64710547184773981</v>
      </c>
      <c r="F30" s="21">
        <v>32</v>
      </c>
      <c r="G30" s="25">
        <v>1</v>
      </c>
      <c r="H30" s="54">
        <v>3.2258064516129004E-2</v>
      </c>
      <c r="I30" s="23">
        <v>8</v>
      </c>
      <c r="J30" s="25">
        <v>0</v>
      </c>
      <c r="K30" s="54">
        <v>0</v>
      </c>
      <c r="L30" s="23">
        <v>6</v>
      </c>
      <c r="M30" s="25">
        <v>0</v>
      </c>
      <c r="N30" s="54">
        <v>0</v>
      </c>
      <c r="O30" s="23">
        <v>7</v>
      </c>
      <c r="P30" s="25">
        <v>0</v>
      </c>
      <c r="Q30" s="54">
        <v>0</v>
      </c>
      <c r="R30" s="23">
        <v>8</v>
      </c>
      <c r="S30" s="25">
        <v>1</v>
      </c>
      <c r="T30" s="54">
        <v>0.14285714285714279</v>
      </c>
      <c r="U30" s="23">
        <v>1</v>
      </c>
      <c r="V30" s="25">
        <v>0</v>
      </c>
      <c r="W30" s="54">
        <v>0</v>
      </c>
      <c r="X30" s="23">
        <v>0</v>
      </c>
      <c r="Y30" s="25">
        <v>0</v>
      </c>
      <c r="Z30" s="54" t="s">
        <v>121</v>
      </c>
      <c r="AA30" s="23">
        <v>0</v>
      </c>
      <c r="AB30" s="25">
        <v>0</v>
      </c>
      <c r="AC30" s="54" t="s">
        <v>121</v>
      </c>
      <c r="AD30" s="23">
        <v>2</v>
      </c>
      <c r="AE30" s="25">
        <v>0</v>
      </c>
      <c r="AF30" s="54">
        <v>0</v>
      </c>
      <c r="AG30" s="23">
        <v>5</v>
      </c>
      <c r="AH30" s="25">
        <v>1</v>
      </c>
      <c r="AI30" s="54">
        <v>0.25</v>
      </c>
      <c r="AJ30" s="23">
        <v>0</v>
      </c>
      <c r="AK30" s="25">
        <v>0</v>
      </c>
      <c r="AL30" s="54" t="s">
        <v>121</v>
      </c>
      <c r="AM30" s="23">
        <v>0</v>
      </c>
      <c r="AN30" s="25">
        <v>0</v>
      </c>
      <c r="AO30" s="54" t="s">
        <v>121</v>
      </c>
      <c r="AP30" s="23">
        <v>0</v>
      </c>
      <c r="AQ30" s="25">
        <v>0</v>
      </c>
      <c r="AR30" s="54" t="s">
        <v>121</v>
      </c>
      <c r="AS30" s="23">
        <v>0</v>
      </c>
      <c r="AT30" s="25">
        <v>0</v>
      </c>
      <c r="AU30" s="54" t="s">
        <v>121</v>
      </c>
      <c r="AV30" s="23">
        <v>0</v>
      </c>
      <c r="AW30" s="25">
        <v>0</v>
      </c>
      <c r="AX30" s="54" t="s">
        <v>121</v>
      </c>
      <c r="AY30" s="23">
        <v>0</v>
      </c>
      <c r="AZ30" s="25">
        <v>0</v>
      </c>
      <c r="BA30" s="54" t="s">
        <v>121</v>
      </c>
      <c r="BB30" s="23">
        <v>0</v>
      </c>
      <c r="BC30" s="25">
        <v>0</v>
      </c>
      <c r="BD30" s="54" t="s">
        <v>121</v>
      </c>
      <c r="BE30" s="23">
        <v>4</v>
      </c>
      <c r="BF30" s="25">
        <v>1</v>
      </c>
      <c r="BG30" s="54">
        <v>0.33333333333333326</v>
      </c>
      <c r="BH30" s="23">
        <v>1</v>
      </c>
      <c r="BI30" s="25">
        <v>0</v>
      </c>
      <c r="BJ30" s="54">
        <v>0</v>
      </c>
      <c r="BK30" s="23">
        <v>2037</v>
      </c>
      <c r="BL30" s="25">
        <v>813</v>
      </c>
      <c r="BM30" s="54">
        <v>0.66421568627450989</v>
      </c>
      <c r="BN30" s="23">
        <v>0</v>
      </c>
      <c r="BO30" s="25">
        <v>0</v>
      </c>
      <c r="BP30" s="54" t="s">
        <v>121</v>
      </c>
      <c r="BQ30" s="23">
        <v>3</v>
      </c>
      <c r="BR30" s="25">
        <v>1</v>
      </c>
      <c r="BS30" s="54">
        <v>0.5</v>
      </c>
    </row>
    <row r="31" spans="2:71" s="4" customFormat="1" x14ac:dyDescent="0.5">
      <c r="B31" s="20" t="s">
        <v>44</v>
      </c>
      <c r="C31" s="21">
        <f t="shared" si="0"/>
        <v>365</v>
      </c>
      <c r="D31" s="25">
        <f t="shared" si="0"/>
        <v>113</v>
      </c>
      <c r="E31" s="54">
        <f t="shared" si="1"/>
        <v>0.44841269841269837</v>
      </c>
      <c r="F31" s="21">
        <v>0</v>
      </c>
      <c r="G31" s="25">
        <v>0</v>
      </c>
      <c r="H31" s="54" t="s">
        <v>121</v>
      </c>
      <c r="I31" s="23">
        <v>0</v>
      </c>
      <c r="J31" s="25">
        <v>0</v>
      </c>
      <c r="K31" s="54" t="s">
        <v>121</v>
      </c>
      <c r="L31" s="23">
        <v>0</v>
      </c>
      <c r="M31" s="25">
        <v>0</v>
      </c>
      <c r="N31" s="54" t="s">
        <v>121</v>
      </c>
      <c r="O31" s="23">
        <v>0</v>
      </c>
      <c r="P31" s="25">
        <v>0</v>
      </c>
      <c r="Q31" s="54" t="s">
        <v>121</v>
      </c>
      <c r="R31" s="23">
        <v>0</v>
      </c>
      <c r="S31" s="25">
        <v>0</v>
      </c>
      <c r="T31" s="54" t="s">
        <v>121</v>
      </c>
      <c r="U31" s="23">
        <v>0</v>
      </c>
      <c r="V31" s="25">
        <v>0</v>
      </c>
      <c r="W31" s="54" t="s">
        <v>121</v>
      </c>
      <c r="X31" s="23">
        <v>0</v>
      </c>
      <c r="Y31" s="25">
        <v>0</v>
      </c>
      <c r="Z31" s="54" t="s">
        <v>121</v>
      </c>
      <c r="AA31" s="23">
        <v>0</v>
      </c>
      <c r="AB31" s="25">
        <v>0</v>
      </c>
      <c r="AC31" s="54" t="s">
        <v>121</v>
      </c>
      <c r="AD31" s="23">
        <v>0</v>
      </c>
      <c r="AE31" s="25">
        <v>0</v>
      </c>
      <c r="AF31" s="54" t="s">
        <v>121</v>
      </c>
      <c r="AG31" s="23">
        <v>0</v>
      </c>
      <c r="AH31" s="25">
        <v>0</v>
      </c>
      <c r="AI31" s="54" t="s">
        <v>121</v>
      </c>
      <c r="AJ31" s="23">
        <v>0</v>
      </c>
      <c r="AK31" s="25">
        <v>0</v>
      </c>
      <c r="AL31" s="54" t="s">
        <v>121</v>
      </c>
      <c r="AM31" s="23">
        <v>0</v>
      </c>
      <c r="AN31" s="25">
        <v>0</v>
      </c>
      <c r="AO31" s="54" t="s">
        <v>121</v>
      </c>
      <c r="AP31" s="23">
        <v>0</v>
      </c>
      <c r="AQ31" s="25">
        <v>0</v>
      </c>
      <c r="AR31" s="54" t="s">
        <v>121</v>
      </c>
      <c r="AS31" s="23">
        <v>0</v>
      </c>
      <c r="AT31" s="25">
        <v>0</v>
      </c>
      <c r="AU31" s="54" t="s">
        <v>121</v>
      </c>
      <c r="AV31" s="23">
        <v>0</v>
      </c>
      <c r="AW31" s="25">
        <v>0</v>
      </c>
      <c r="AX31" s="54" t="s">
        <v>121</v>
      </c>
      <c r="AY31" s="23">
        <v>0</v>
      </c>
      <c r="AZ31" s="25">
        <v>0</v>
      </c>
      <c r="BA31" s="54" t="s">
        <v>121</v>
      </c>
      <c r="BB31" s="23">
        <v>0</v>
      </c>
      <c r="BC31" s="25">
        <v>0</v>
      </c>
      <c r="BD31" s="54" t="s">
        <v>121</v>
      </c>
      <c r="BE31" s="23">
        <v>0</v>
      </c>
      <c r="BF31" s="25">
        <v>0</v>
      </c>
      <c r="BG31" s="54" t="s">
        <v>121</v>
      </c>
      <c r="BH31" s="23">
        <v>0</v>
      </c>
      <c r="BI31" s="25">
        <v>0</v>
      </c>
      <c r="BJ31" s="54" t="s">
        <v>121</v>
      </c>
      <c r="BK31" s="23">
        <v>365</v>
      </c>
      <c r="BL31" s="25">
        <v>113</v>
      </c>
      <c r="BM31" s="54">
        <v>0.44841269841269837</v>
      </c>
      <c r="BN31" s="23">
        <v>0</v>
      </c>
      <c r="BO31" s="25">
        <v>0</v>
      </c>
      <c r="BP31" s="54" t="s">
        <v>121</v>
      </c>
      <c r="BQ31" s="23">
        <v>0</v>
      </c>
      <c r="BR31" s="25">
        <v>0</v>
      </c>
      <c r="BS31" s="54" t="s">
        <v>121</v>
      </c>
    </row>
    <row r="32" spans="2:71" s="4" customFormat="1" x14ac:dyDescent="0.5">
      <c r="B32" s="20" t="s">
        <v>45</v>
      </c>
      <c r="C32" s="21">
        <f t="shared" si="0"/>
        <v>1374</v>
      </c>
      <c r="D32" s="25">
        <f t="shared" si="0"/>
        <v>422</v>
      </c>
      <c r="E32" s="54">
        <f t="shared" si="1"/>
        <v>0.44327731092436973</v>
      </c>
      <c r="F32" s="21">
        <v>8</v>
      </c>
      <c r="G32" s="25">
        <v>0</v>
      </c>
      <c r="H32" s="54">
        <v>0</v>
      </c>
      <c r="I32" s="23">
        <v>0</v>
      </c>
      <c r="J32" s="25">
        <v>0</v>
      </c>
      <c r="K32" s="54" t="s">
        <v>121</v>
      </c>
      <c r="L32" s="23">
        <v>0</v>
      </c>
      <c r="M32" s="25">
        <v>0</v>
      </c>
      <c r="N32" s="54" t="s">
        <v>121</v>
      </c>
      <c r="O32" s="23">
        <v>2</v>
      </c>
      <c r="P32" s="25">
        <v>0</v>
      </c>
      <c r="Q32" s="54">
        <v>0</v>
      </c>
      <c r="R32" s="23">
        <v>6</v>
      </c>
      <c r="S32" s="25">
        <v>0</v>
      </c>
      <c r="T32" s="54">
        <v>0</v>
      </c>
      <c r="U32" s="23">
        <v>0</v>
      </c>
      <c r="V32" s="25">
        <v>0</v>
      </c>
      <c r="W32" s="54" t="s">
        <v>121</v>
      </c>
      <c r="X32" s="23">
        <v>0</v>
      </c>
      <c r="Y32" s="25">
        <v>0</v>
      </c>
      <c r="Z32" s="54" t="s">
        <v>121</v>
      </c>
      <c r="AA32" s="23">
        <v>0</v>
      </c>
      <c r="AB32" s="25">
        <v>0</v>
      </c>
      <c r="AC32" s="54" t="s">
        <v>121</v>
      </c>
      <c r="AD32" s="23">
        <v>0</v>
      </c>
      <c r="AE32" s="25">
        <v>0</v>
      </c>
      <c r="AF32" s="54" t="s">
        <v>121</v>
      </c>
      <c r="AG32" s="23">
        <v>15</v>
      </c>
      <c r="AH32" s="25">
        <v>0</v>
      </c>
      <c r="AI32" s="54">
        <v>0</v>
      </c>
      <c r="AJ32" s="23">
        <v>9</v>
      </c>
      <c r="AK32" s="25">
        <v>0</v>
      </c>
      <c r="AL32" s="54">
        <v>0</v>
      </c>
      <c r="AM32" s="23">
        <v>3</v>
      </c>
      <c r="AN32" s="25">
        <v>0</v>
      </c>
      <c r="AO32" s="54">
        <v>0</v>
      </c>
      <c r="AP32" s="23">
        <v>0</v>
      </c>
      <c r="AQ32" s="25">
        <v>0</v>
      </c>
      <c r="AR32" s="54" t="s">
        <v>121</v>
      </c>
      <c r="AS32" s="23">
        <v>0</v>
      </c>
      <c r="AT32" s="25">
        <v>0</v>
      </c>
      <c r="AU32" s="54" t="s">
        <v>121</v>
      </c>
      <c r="AV32" s="23">
        <v>0</v>
      </c>
      <c r="AW32" s="25">
        <v>0</v>
      </c>
      <c r="AX32" s="54" t="s">
        <v>121</v>
      </c>
      <c r="AY32" s="23">
        <v>1</v>
      </c>
      <c r="AZ32" s="25">
        <v>0</v>
      </c>
      <c r="BA32" s="54">
        <v>0</v>
      </c>
      <c r="BB32" s="23">
        <v>2</v>
      </c>
      <c r="BC32" s="25">
        <v>0</v>
      </c>
      <c r="BD32" s="54">
        <v>0</v>
      </c>
      <c r="BE32" s="23">
        <v>0</v>
      </c>
      <c r="BF32" s="25">
        <v>0</v>
      </c>
      <c r="BG32" s="54" t="s">
        <v>121</v>
      </c>
      <c r="BH32" s="23">
        <v>0</v>
      </c>
      <c r="BI32" s="25">
        <v>0</v>
      </c>
      <c r="BJ32" s="54" t="s">
        <v>121</v>
      </c>
      <c r="BK32" s="23">
        <v>1351</v>
      </c>
      <c r="BL32" s="25">
        <v>422</v>
      </c>
      <c r="BM32" s="54">
        <v>0.45425188374596348</v>
      </c>
      <c r="BN32" s="23">
        <v>0</v>
      </c>
      <c r="BO32" s="25">
        <v>0</v>
      </c>
      <c r="BP32" s="54" t="s">
        <v>121</v>
      </c>
      <c r="BQ32" s="23">
        <v>0</v>
      </c>
      <c r="BR32" s="25">
        <v>0</v>
      </c>
      <c r="BS32" s="54" t="s">
        <v>121</v>
      </c>
    </row>
    <row r="33" spans="1:71" s="4" customFormat="1" x14ac:dyDescent="0.5">
      <c r="B33" s="20" t="s">
        <v>46</v>
      </c>
      <c r="C33" s="21">
        <f t="shared" si="0"/>
        <v>136</v>
      </c>
      <c r="D33" s="25">
        <f t="shared" si="0"/>
        <v>53</v>
      </c>
      <c r="E33" s="54">
        <f t="shared" si="1"/>
        <v>0.63855421686746983</v>
      </c>
      <c r="F33" s="21">
        <v>1</v>
      </c>
      <c r="G33" s="25">
        <v>0</v>
      </c>
      <c r="H33" s="54">
        <v>0</v>
      </c>
      <c r="I33" s="23">
        <v>0</v>
      </c>
      <c r="J33" s="25">
        <v>0</v>
      </c>
      <c r="K33" s="54" t="s">
        <v>121</v>
      </c>
      <c r="L33" s="23">
        <v>1</v>
      </c>
      <c r="M33" s="25">
        <v>0</v>
      </c>
      <c r="N33" s="54">
        <v>0</v>
      </c>
      <c r="O33" s="23">
        <v>0</v>
      </c>
      <c r="P33" s="25">
        <v>0</v>
      </c>
      <c r="Q33" s="54" t="s">
        <v>121</v>
      </c>
      <c r="R33" s="23">
        <v>0</v>
      </c>
      <c r="S33" s="25">
        <v>0</v>
      </c>
      <c r="T33" s="54" t="s">
        <v>121</v>
      </c>
      <c r="U33" s="23">
        <v>0</v>
      </c>
      <c r="V33" s="25">
        <v>0</v>
      </c>
      <c r="W33" s="54" t="s">
        <v>121</v>
      </c>
      <c r="X33" s="23">
        <v>0</v>
      </c>
      <c r="Y33" s="25">
        <v>0</v>
      </c>
      <c r="Z33" s="54" t="s">
        <v>121</v>
      </c>
      <c r="AA33" s="23">
        <v>0</v>
      </c>
      <c r="AB33" s="25">
        <v>0</v>
      </c>
      <c r="AC33" s="54" t="s">
        <v>121</v>
      </c>
      <c r="AD33" s="23">
        <v>0</v>
      </c>
      <c r="AE33" s="25">
        <v>0</v>
      </c>
      <c r="AF33" s="54" t="s">
        <v>121</v>
      </c>
      <c r="AG33" s="23">
        <v>0</v>
      </c>
      <c r="AH33" s="25">
        <v>0</v>
      </c>
      <c r="AI33" s="54" t="s">
        <v>121</v>
      </c>
      <c r="AJ33" s="23">
        <v>0</v>
      </c>
      <c r="AK33" s="25">
        <v>0</v>
      </c>
      <c r="AL33" s="54" t="s">
        <v>121</v>
      </c>
      <c r="AM33" s="23">
        <v>0</v>
      </c>
      <c r="AN33" s="25">
        <v>0</v>
      </c>
      <c r="AO33" s="54" t="s">
        <v>121</v>
      </c>
      <c r="AP33" s="23">
        <v>0</v>
      </c>
      <c r="AQ33" s="25">
        <v>0</v>
      </c>
      <c r="AR33" s="54" t="s">
        <v>121</v>
      </c>
      <c r="AS33" s="23">
        <v>0</v>
      </c>
      <c r="AT33" s="25">
        <v>0</v>
      </c>
      <c r="AU33" s="54" t="s">
        <v>121</v>
      </c>
      <c r="AV33" s="23">
        <v>0</v>
      </c>
      <c r="AW33" s="25">
        <v>0</v>
      </c>
      <c r="AX33" s="54" t="s">
        <v>121</v>
      </c>
      <c r="AY33" s="23">
        <v>0</v>
      </c>
      <c r="AZ33" s="25">
        <v>0</v>
      </c>
      <c r="BA33" s="54" t="s">
        <v>121</v>
      </c>
      <c r="BB33" s="23">
        <v>0</v>
      </c>
      <c r="BC33" s="25">
        <v>0</v>
      </c>
      <c r="BD33" s="54" t="s">
        <v>121</v>
      </c>
      <c r="BE33" s="23">
        <v>0</v>
      </c>
      <c r="BF33" s="25">
        <v>0</v>
      </c>
      <c r="BG33" s="54" t="s">
        <v>121</v>
      </c>
      <c r="BH33" s="23">
        <v>0</v>
      </c>
      <c r="BI33" s="25">
        <v>0</v>
      </c>
      <c r="BJ33" s="54" t="s">
        <v>121</v>
      </c>
      <c r="BK33" s="23">
        <v>133</v>
      </c>
      <c r="BL33" s="25">
        <v>52</v>
      </c>
      <c r="BM33" s="54">
        <v>0.64197530864197527</v>
      </c>
      <c r="BN33" s="23">
        <v>0</v>
      </c>
      <c r="BO33" s="25">
        <v>0</v>
      </c>
      <c r="BP33" s="54" t="s">
        <v>121</v>
      </c>
      <c r="BQ33" s="23">
        <v>2</v>
      </c>
      <c r="BR33" s="25">
        <v>1</v>
      </c>
      <c r="BS33" s="54">
        <v>1</v>
      </c>
    </row>
    <row r="34" spans="1:71" s="4" customFormat="1" x14ac:dyDescent="0.5">
      <c r="B34" s="20" t="s">
        <v>47</v>
      </c>
      <c r="C34" s="21">
        <f t="shared" si="0"/>
        <v>133</v>
      </c>
      <c r="D34" s="25">
        <f t="shared" si="0"/>
        <v>42</v>
      </c>
      <c r="E34" s="54">
        <f t="shared" si="1"/>
        <v>0.46153846153846145</v>
      </c>
      <c r="F34" s="21">
        <v>1</v>
      </c>
      <c r="G34" s="25">
        <v>0</v>
      </c>
      <c r="H34" s="54">
        <v>0</v>
      </c>
      <c r="I34" s="23">
        <v>0</v>
      </c>
      <c r="J34" s="25">
        <v>0</v>
      </c>
      <c r="K34" s="54" t="s">
        <v>121</v>
      </c>
      <c r="L34" s="23">
        <v>0</v>
      </c>
      <c r="M34" s="25">
        <v>0</v>
      </c>
      <c r="N34" s="54" t="s">
        <v>121</v>
      </c>
      <c r="O34" s="23">
        <v>0</v>
      </c>
      <c r="P34" s="25">
        <v>0</v>
      </c>
      <c r="Q34" s="54" t="s">
        <v>121</v>
      </c>
      <c r="R34" s="23">
        <v>1</v>
      </c>
      <c r="S34" s="25">
        <v>0</v>
      </c>
      <c r="T34" s="54">
        <v>0</v>
      </c>
      <c r="U34" s="23">
        <v>0</v>
      </c>
      <c r="V34" s="25">
        <v>0</v>
      </c>
      <c r="W34" s="54" t="s">
        <v>121</v>
      </c>
      <c r="X34" s="23">
        <v>0</v>
      </c>
      <c r="Y34" s="25">
        <v>0</v>
      </c>
      <c r="Z34" s="54" t="s">
        <v>121</v>
      </c>
      <c r="AA34" s="23">
        <v>0</v>
      </c>
      <c r="AB34" s="25">
        <v>0</v>
      </c>
      <c r="AC34" s="54" t="s">
        <v>121</v>
      </c>
      <c r="AD34" s="23">
        <v>0</v>
      </c>
      <c r="AE34" s="25">
        <v>0</v>
      </c>
      <c r="AF34" s="54" t="s">
        <v>121</v>
      </c>
      <c r="AG34" s="23">
        <v>2</v>
      </c>
      <c r="AH34" s="25">
        <v>0</v>
      </c>
      <c r="AI34" s="54">
        <v>0</v>
      </c>
      <c r="AJ34" s="23">
        <v>0</v>
      </c>
      <c r="AK34" s="25">
        <v>0</v>
      </c>
      <c r="AL34" s="54" t="s">
        <v>121</v>
      </c>
      <c r="AM34" s="23">
        <v>0</v>
      </c>
      <c r="AN34" s="25">
        <v>0</v>
      </c>
      <c r="AO34" s="54" t="s">
        <v>121</v>
      </c>
      <c r="AP34" s="23">
        <v>0</v>
      </c>
      <c r="AQ34" s="25">
        <v>0</v>
      </c>
      <c r="AR34" s="54" t="s">
        <v>121</v>
      </c>
      <c r="AS34" s="23">
        <v>0</v>
      </c>
      <c r="AT34" s="25">
        <v>0</v>
      </c>
      <c r="AU34" s="54" t="s">
        <v>121</v>
      </c>
      <c r="AV34" s="23">
        <v>0</v>
      </c>
      <c r="AW34" s="25">
        <v>0</v>
      </c>
      <c r="AX34" s="54" t="s">
        <v>121</v>
      </c>
      <c r="AY34" s="23">
        <v>0</v>
      </c>
      <c r="AZ34" s="25">
        <v>0</v>
      </c>
      <c r="BA34" s="54" t="s">
        <v>121</v>
      </c>
      <c r="BB34" s="23">
        <v>0</v>
      </c>
      <c r="BC34" s="25">
        <v>0</v>
      </c>
      <c r="BD34" s="54" t="s">
        <v>121</v>
      </c>
      <c r="BE34" s="23">
        <v>1</v>
      </c>
      <c r="BF34" s="25">
        <v>0</v>
      </c>
      <c r="BG34" s="54">
        <v>0</v>
      </c>
      <c r="BH34" s="23">
        <v>1</v>
      </c>
      <c r="BI34" s="25">
        <v>0</v>
      </c>
      <c r="BJ34" s="54">
        <v>0</v>
      </c>
      <c r="BK34" s="23">
        <v>127</v>
      </c>
      <c r="BL34" s="25">
        <v>42</v>
      </c>
      <c r="BM34" s="54">
        <v>0.49411764705882355</v>
      </c>
      <c r="BN34" s="23">
        <v>1</v>
      </c>
      <c r="BO34" s="25">
        <v>0</v>
      </c>
      <c r="BP34" s="54">
        <v>0</v>
      </c>
      <c r="BQ34" s="23">
        <v>2</v>
      </c>
      <c r="BR34" s="25">
        <v>0</v>
      </c>
      <c r="BS34" s="54">
        <v>0</v>
      </c>
    </row>
    <row r="35" spans="1:71" s="4" customFormat="1" x14ac:dyDescent="0.5">
      <c r="B35" s="20" t="s">
        <v>48</v>
      </c>
      <c r="C35" s="21">
        <f t="shared" si="0"/>
        <v>398</v>
      </c>
      <c r="D35" s="25">
        <f t="shared" si="0"/>
        <v>151</v>
      </c>
      <c r="E35" s="54">
        <f t="shared" si="1"/>
        <v>0.61133603238866407</v>
      </c>
      <c r="F35" s="21">
        <v>1</v>
      </c>
      <c r="G35" s="25">
        <v>0</v>
      </c>
      <c r="H35" s="54">
        <v>0</v>
      </c>
      <c r="I35" s="23">
        <v>0</v>
      </c>
      <c r="J35" s="25">
        <v>0</v>
      </c>
      <c r="K35" s="54" t="s">
        <v>121</v>
      </c>
      <c r="L35" s="23">
        <v>0</v>
      </c>
      <c r="M35" s="25">
        <v>0</v>
      </c>
      <c r="N35" s="54" t="s">
        <v>121</v>
      </c>
      <c r="O35" s="23">
        <v>0</v>
      </c>
      <c r="P35" s="25">
        <v>0</v>
      </c>
      <c r="Q35" s="54" t="s">
        <v>121</v>
      </c>
      <c r="R35" s="23">
        <v>0</v>
      </c>
      <c r="S35" s="25">
        <v>0</v>
      </c>
      <c r="T35" s="54" t="s">
        <v>121</v>
      </c>
      <c r="U35" s="23">
        <v>0</v>
      </c>
      <c r="V35" s="25">
        <v>0</v>
      </c>
      <c r="W35" s="54" t="s">
        <v>121</v>
      </c>
      <c r="X35" s="23">
        <v>0</v>
      </c>
      <c r="Y35" s="25">
        <v>0</v>
      </c>
      <c r="Z35" s="54" t="s">
        <v>121</v>
      </c>
      <c r="AA35" s="23">
        <v>0</v>
      </c>
      <c r="AB35" s="25">
        <v>0</v>
      </c>
      <c r="AC35" s="54" t="s">
        <v>121</v>
      </c>
      <c r="AD35" s="23">
        <v>1</v>
      </c>
      <c r="AE35" s="25">
        <v>0</v>
      </c>
      <c r="AF35" s="54">
        <v>0</v>
      </c>
      <c r="AG35" s="23">
        <v>1</v>
      </c>
      <c r="AH35" s="25">
        <v>0</v>
      </c>
      <c r="AI35" s="54">
        <v>0</v>
      </c>
      <c r="AJ35" s="23">
        <v>0</v>
      </c>
      <c r="AK35" s="25">
        <v>0</v>
      </c>
      <c r="AL35" s="54" t="s">
        <v>121</v>
      </c>
      <c r="AM35" s="23">
        <v>0</v>
      </c>
      <c r="AN35" s="25">
        <v>0</v>
      </c>
      <c r="AO35" s="54" t="s">
        <v>121</v>
      </c>
      <c r="AP35" s="23">
        <v>1</v>
      </c>
      <c r="AQ35" s="25">
        <v>0</v>
      </c>
      <c r="AR35" s="54">
        <v>0</v>
      </c>
      <c r="AS35" s="23">
        <v>0</v>
      </c>
      <c r="AT35" s="25">
        <v>0</v>
      </c>
      <c r="AU35" s="54" t="s">
        <v>121</v>
      </c>
      <c r="AV35" s="23">
        <v>0</v>
      </c>
      <c r="AW35" s="25">
        <v>0</v>
      </c>
      <c r="AX35" s="54" t="s">
        <v>121</v>
      </c>
      <c r="AY35" s="23">
        <v>0</v>
      </c>
      <c r="AZ35" s="25">
        <v>0</v>
      </c>
      <c r="BA35" s="54" t="s">
        <v>121</v>
      </c>
      <c r="BB35" s="23">
        <v>0</v>
      </c>
      <c r="BC35" s="25">
        <v>0</v>
      </c>
      <c r="BD35" s="54" t="s">
        <v>121</v>
      </c>
      <c r="BE35" s="23">
        <v>0</v>
      </c>
      <c r="BF35" s="25">
        <v>0</v>
      </c>
      <c r="BG35" s="54" t="s">
        <v>121</v>
      </c>
      <c r="BH35" s="23">
        <v>0</v>
      </c>
      <c r="BI35" s="25">
        <v>0</v>
      </c>
      <c r="BJ35" s="54" t="s">
        <v>121</v>
      </c>
      <c r="BK35" s="23">
        <v>391</v>
      </c>
      <c r="BL35" s="25">
        <v>151</v>
      </c>
      <c r="BM35" s="54">
        <v>0.62916666666666665</v>
      </c>
      <c r="BN35" s="23">
        <v>0</v>
      </c>
      <c r="BO35" s="25">
        <v>0</v>
      </c>
      <c r="BP35" s="54" t="s">
        <v>121</v>
      </c>
      <c r="BQ35" s="23">
        <v>5</v>
      </c>
      <c r="BR35" s="25">
        <v>0</v>
      </c>
      <c r="BS35" s="54">
        <v>0</v>
      </c>
    </row>
    <row r="36" spans="1:71" s="4" customFormat="1" x14ac:dyDescent="0.5">
      <c r="B36" s="20" t="s">
        <v>110</v>
      </c>
      <c r="C36" s="21">
        <f t="shared" si="0"/>
        <v>62</v>
      </c>
      <c r="D36" s="25">
        <f t="shared" si="0"/>
        <v>26</v>
      </c>
      <c r="E36" s="54">
        <f t="shared" si="1"/>
        <v>0.72222222222222232</v>
      </c>
      <c r="F36" s="21">
        <v>0</v>
      </c>
      <c r="G36" s="25">
        <v>0</v>
      </c>
      <c r="H36" s="54" t="s">
        <v>121</v>
      </c>
      <c r="I36" s="23">
        <v>0</v>
      </c>
      <c r="J36" s="25">
        <v>0</v>
      </c>
      <c r="K36" s="54" t="s">
        <v>121</v>
      </c>
      <c r="L36" s="23">
        <v>0</v>
      </c>
      <c r="M36" s="25">
        <v>0</v>
      </c>
      <c r="N36" s="54" t="s">
        <v>121</v>
      </c>
      <c r="O36" s="23">
        <v>0</v>
      </c>
      <c r="P36" s="25">
        <v>0</v>
      </c>
      <c r="Q36" s="54" t="s">
        <v>121</v>
      </c>
      <c r="R36" s="23">
        <v>0</v>
      </c>
      <c r="S36" s="25">
        <v>0</v>
      </c>
      <c r="T36" s="54" t="s">
        <v>121</v>
      </c>
      <c r="U36" s="23">
        <v>0</v>
      </c>
      <c r="V36" s="25">
        <v>0</v>
      </c>
      <c r="W36" s="54" t="s">
        <v>121</v>
      </c>
      <c r="X36" s="23">
        <v>0</v>
      </c>
      <c r="Y36" s="25">
        <v>0</v>
      </c>
      <c r="Z36" s="54" t="s">
        <v>121</v>
      </c>
      <c r="AA36" s="23">
        <v>0</v>
      </c>
      <c r="AB36" s="25">
        <v>0</v>
      </c>
      <c r="AC36" s="54" t="s">
        <v>121</v>
      </c>
      <c r="AD36" s="23">
        <v>0</v>
      </c>
      <c r="AE36" s="25">
        <v>0</v>
      </c>
      <c r="AF36" s="54" t="s">
        <v>121</v>
      </c>
      <c r="AG36" s="23">
        <v>1</v>
      </c>
      <c r="AH36" s="25">
        <v>0</v>
      </c>
      <c r="AI36" s="54">
        <v>0</v>
      </c>
      <c r="AJ36" s="23">
        <v>0</v>
      </c>
      <c r="AK36" s="25">
        <v>0</v>
      </c>
      <c r="AL36" s="54" t="s">
        <v>121</v>
      </c>
      <c r="AM36" s="23">
        <v>0</v>
      </c>
      <c r="AN36" s="25">
        <v>0</v>
      </c>
      <c r="AO36" s="54" t="s">
        <v>121</v>
      </c>
      <c r="AP36" s="23">
        <v>0</v>
      </c>
      <c r="AQ36" s="25">
        <v>0</v>
      </c>
      <c r="AR36" s="54" t="s">
        <v>121</v>
      </c>
      <c r="AS36" s="23">
        <v>0</v>
      </c>
      <c r="AT36" s="25">
        <v>0</v>
      </c>
      <c r="AU36" s="54" t="s">
        <v>121</v>
      </c>
      <c r="AV36" s="23">
        <v>0</v>
      </c>
      <c r="AW36" s="25">
        <v>0</v>
      </c>
      <c r="AX36" s="54" t="s">
        <v>121</v>
      </c>
      <c r="AY36" s="23">
        <v>0</v>
      </c>
      <c r="AZ36" s="25">
        <v>0</v>
      </c>
      <c r="BA36" s="54" t="s">
        <v>121</v>
      </c>
      <c r="BB36" s="23">
        <v>0</v>
      </c>
      <c r="BC36" s="25">
        <v>0</v>
      </c>
      <c r="BD36" s="54" t="s">
        <v>121</v>
      </c>
      <c r="BE36" s="23">
        <v>1</v>
      </c>
      <c r="BF36" s="25">
        <v>0</v>
      </c>
      <c r="BG36" s="54">
        <v>0</v>
      </c>
      <c r="BH36" s="23">
        <v>0</v>
      </c>
      <c r="BI36" s="25">
        <v>0</v>
      </c>
      <c r="BJ36" s="54" t="s">
        <v>121</v>
      </c>
      <c r="BK36" s="23">
        <v>57</v>
      </c>
      <c r="BL36" s="25">
        <v>26</v>
      </c>
      <c r="BM36" s="54">
        <v>0.83870967741935476</v>
      </c>
      <c r="BN36" s="23">
        <v>1</v>
      </c>
      <c r="BO36" s="25">
        <v>0</v>
      </c>
      <c r="BP36" s="54">
        <v>0</v>
      </c>
      <c r="BQ36" s="23">
        <v>3</v>
      </c>
      <c r="BR36" s="25">
        <v>0</v>
      </c>
      <c r="BS36" s="54" t="s">
        <v>121</v>
      </c>
    </row>
    <row r="37" spans="1:71" s="4" customFormat="1" x14ac:dyDescent="0.5">
      <c r="B37" s="20" t="s">
        <v>50</v>
      </c>
      <c r="C37" s="21">
        <f t="shared" si="0"/>
        <v>82</v>
      </c>
      <c r="D37" s="25">
        <f t="shared" si="0"/>
        <v>25</v>
      </c>
      <c r="E37" s="54">
        <f t="shared" si="1"/>
        <v>0.43859649122807021</v>
      </c>
      <c r="F37" s="21">
        <v>1</v>
      </c>
      <c r="G37" s="25">
        <v>0</v>
      </c>
      <c r="H37" s="54">
        <v>0</v>
      </c>
      <c r="I37" s="23">
        <v>0</v>
      </c>
      <c r="J37" s="25">
        <v>0</v>
      </c>
      <c r="K37" s="54" t="s">
        <v>121</v>
      </c>
      <c r="L37" s="23">
        <v>0</v>
      </c>
      <c r="M37" s="25">
        <v>0</v>
      </c>
      <c r="N37" s="54" t="s">
        <v>121</v>
      </c>
      <c r="O37" s="23">
        <v>0</v>
      </c>
      <c r="P37" s="25">
        <v>0</v>
      </c>
      <c r="Q37" s="54" t="s">
        <v>121</v>
      </c>
      <c r="R37" s="23">
        <v>0</v>
      </c>
      <c r="S37" s="25">
        <v>0</v>
      </c>
      <c r="T37" s="54" t="s">
        <v>121</v>
      </c>
      <c r="U37" s="23">
        <v>0</v>
      </c>
      <c r="V37" s="25">
        <v>0</v>
      </c>
      <c r="W37" s="54" t="s">
        <v>121</v>
      </c>
      <c r="X37" s="23">
        <v>0</v>
      </c>
      <c r="Y37" s="25">
        <v>0</v>
      </c>
      <c r="Z37" s="54" t="s">
        <v>121</v>
      </c>
      <c r="AA37" s="23">
        <v>0</v>
      </c>
      <c r="AB37" s="25">
        <v>0</v>
      </c>
      <c r="AC37" s="54" t="s">
        <v>121</v>
      </c>
      <c r="AD37" s="23">
        <v>1</v>
      </c>
      <c r="AE37" s="25">
        <v>0</v>
      </c>
      <c r="AF37" s="54">
        <v>0</v>
      </c>
      <c r="AG37" s="23">
        <v>3</v>
      </c>
      <c r="AH37" s="25">
        <v>0</v>
      </c>
      <c r="AI37" s="54">
        <v>0</v>
      </c>
      <c r="AJ37" s="23">
        <v>0</v>
      </c>
      <c r="AK37" s="25">
        <v>0</v>
      </c>
      <c r="AL37" s="54" t="s">
        <v>121</v>
      </c>
      <c r="AM37" s="23">
        <v>0</v>
      </c>
      <c r="AN37" s="25">
        <v>0</v>
      </c>
      <c r="AO37" s="54" t="s">
        <v>121</v>
      </c>
      <c r="AP37" s="23">
        <v>0</v>
      </c>
      <c r="AQ37" s="25">
        <v>0</v>
      </c>
      <c r="AR37" s="54" t="s">
        <v>121</v>
      </c>
      <c r="AS37" s="23">
        <v>0</v>
      </c>
      <c r="AT37" s="25">
        <v>0</v>
      </c>
      <c r="AU37" s="54" t="s">
        <v>121</v>
      </c>
      <c r="AV37" s="23">
        <v>0</v>
      </c>
      <c r="AW37" s="25">
        <v>0</v>
      </c>
      <c r="AX37" s="54" t="s">
        <v>121</v>
      </c>
      <c r="AY37" s="23">
        <v>0</v>
      </c>
      <c r="AZ37" s="25">
        <v>0</v>
      </c>
      <c r="BA37" s="54" t="s">
        <v>121</v>
      </c>
      <c r="BB37" s="23">
        <v>0</v>
      </c>
      <c r="BC37" s="25">
        <v>0</v>
      </c>
      <c r="BD37" s="54" t="s">
        <v>121</v>
      </c>
      <c r="BE37" s="23">
        <v>2</v>
      </c>
      <c r="BF37" s="25">
        <v>0</v>
      </c>
      <c r="BG37" s="54">
        <v>0</v>
      </c>
      <c r="BH37" s="23">
        <v>1</v>
      </c>
      <c r="BI37" s="25">
        <v>0</v>
      </c>
      <c r="BJ37" s="54">
        <v>0</v>
      </c>
      <c r="BK37" s="23">
        <v>75</v>
      </c>
      <c r="BL37" s="25">
        <v>25</v>
      </c>
      <c r="BM37" s="54">
        <v>0.5</v>
      </c>
      <c r="BN37" s="23">
        <v>0</v>
      </c>
      <c r="BO37" s="25">
        <v>0</v>
      </c>
      <c r="BP37" s="54" t="s">
        <v>121</v>
      </c>
      <c r="BQ37" s="23">
        <v>3</v>
      </c>
      <c r="BR37" s="25">
        <v>0</v>
      </c>
      <c r="BS37" s="54">
        <v>0</v>
      </c>
    </row>
    <row r="38" spans="1:71" s="4" customFormat="1" x14ac:dyDescent="0.5">
      <c r="B38" s="20" t="s">
        <v>51</v>
      </c>
      <c r="C38" s="21">
        <f t="shared" si="0"/>
        <v>64</v>
      </c>
      <c r="D38" s="25">
        <f t="shared" si="0"/>
        <v>28</v>
      </c>
      <c r="E38" s="54">
        <f t="shared" si="1"/>
        <v>0.77777777777777768</v>
      </c>
      <c r="F38" s="21">
        <v>0</v>
      </c>
      <c r="G38" s="25">
        <v>0</v>
      </c>
      <c r="H38" s="54" t="s">
        <v>121</v>
      </c>
      <c r="I38" s="23">
        <v>0</v>
      </c>
      <c r="J38" s="25">
        <v>0</v>
      </c>
      <c r="K38" s="54" t="s">
        <v>121</v>
      </c>
      <c r="L38" s="23">
        <v>0</v>
      </c>
      <c r="M38" s="25">
        <v>0</v>
      </c>
      <c r="N38" s="54" t="s">
        <v>121</v>
      </c>
      <c r="O38" s="23">
        <v>0</v>
      </c>
      <c r="P38" s="25">
        <v>0</v>
      </c>
      <c r="Q38" s="54" t="s">
        <v>121</v>
      </c>
      <c r="R38" s="23">
        <v>0</v>
      </c>
      <c r="S38" s="25">
        <v>0</v>
      </c>
      <c r="T38" s="54" t="s">
        <v>121</v>
      </c>
      <c r="U38" s="23">
        <v>0</v>
      </c>
      <c r="V38" s="25">
        <v>0</v>
      </c>
      <c r="W38" s="54" t="s">
        <v>121</v>
      </c>
      <c r="X38" s="23">
        <v>0</v>
      </c>
      <c r="Y38" s="25">
        <v>0</v>
      </c>
      <c r="Z38" s="54" t="s">
        <v>121</v>
      </c>
      <c r="AA38" s="23">
        <v>0</v>
      </c>
      <c r="AB38" s="25">
        <v>0</v>
      </c>
      <c r="AC38" s="54" t="s">
        <v>121</v>
      </c>
      <c r="AD38" s="23">
        <v>0</v>
      </c>
      <c r="AE38" s="25">
        <v>0</v>
      </c>
      <c r="AF38" s="54" t="s">
        <v>121</v>
      </c>
      <c r="AG38" s="23">
        <v>0</v>
      </c>
      <c r="AH38" s="25">
        <v>0</v>
      </c>
      <c r="AI38" s="54" t="s">
        <v>121</v>
      </c>
      <c r="AJ38" s="23">
        <v>0</v>
      </c>
      <c r="AK38" s="25">
        <v>0</v>
      </c>
      <c r="AL38" s="54" t="s">
        <v>121</v>
      </c>
      <c r="AM38" s="23">
        <v>0</v>
      </c>
      <c r="AN38" s="25">
        <v>0</v>
      </c>
      <c r="AO38" s="54" t="s">
        <v>121</v>
      </c>
      <c r="AP38" s="23">
        <v>0</v>
      </c>
      <c r="AQ38" s="25">
        <v>0</v>
      </c>
      <c r="AR38" s="54" t="s">
        <v>121</v>
      </c>
      <c r="AS38" s="23">
        <v>0</v>
      </c>
      <c r="AT38" s="25">
        <v>0</v>
      </c>
      <c r="AU38" s="54" t="s">
        <v>121</v>
      </c>
      <c r="AV38" s="23">
        <v>0</v>
      </c>
      <c r="AW38" s="25">
        <v>0</v>
      </c>
      <c r="AX38" s="54" t="s">
        <v>121</v>
      </c>
      <c r="AY38" s="23">
        <v>0</v>
      </c>
      <c r="AZ38" s="25">
        <v>0</v>
      </c>
      <c r="BA38" s="54" t="s">
        <v>121</v>
      </c>
      <c r="BB38" s="23">
        <v>0</v>
      </c>
      <c r="BC38" s="25">
        <v>0</v>
      </c>
      <c r="BD38" s="54" t="s">
        <v>121</v>
      </c>
      <c r="BE38" s="23">
        <v>0</v>
      </c>
      <c r="BF38" s="25">
        <v>0</v>
      </c>
      <c r="BG38" s="54" t="s">
        <v>121</v>
      </c>
      <c r="BH38" s="23">
        <v>0</v>
      </c>
      <c r="BI38" s="25">
        <v>0</v>
      </c>
      <c r="BJ38" s="54" t="s">
        <v>121</v>
      </c>
      <c r="BK38" s="23">
        <v>63</v>
      </c>
      <c r="BL38" s="25">
        <v>28</v>
      </c>
      <c r="BM38" s="54">
        <v>0.8</v>
      </c>
      <c r="BN38" s="23">
        <v>0</v>
      </c>
      <c r="BO38" s="25">
        <v>0</v>
      </c>
      <c r="BP38" s="54" t="s">
        <v>121</v>
      </c>
      <c r="BQ38" s="23">
        <v>1</v>
      </c>
      <c r="BR38" s="25">
        <v>0</v>
      </c>
      <c r="BS38" s="54">
        <v>0</v>
      </c>
    </row>
    <row r="39" spans="1:71" s="4" customFormat="1" x14ac:dyDescent="0.5">
      <c r="B39" s="20" t="s">
        <v>52</v>
      </c>
      <c r="C39" s="21">
        <f t="shared" si="0"/>
        <v>78</v>
      </c>
      <c r="D39" s="25">
        <f t="shared" si="0"/>
        <v>39</v>
      </c>
      <c r="E39" s="54">
        <f t="shared" si="1"/>
        <v>1</v>
      </c>
      <c r="F39" s="21">
        <v>4</v>
      </c>
      <c r="G39" s="25">
        <v>0</v>
      </c>
      <c r="H39" s="54">
        <v>0</v>
      </c>
      <c r="I39" s="23">
        <v>1</v>
      </c>
      <c r="J39" s="25">
        <v>0</v>
      </c>
      <c r="K39" s="54">
        <v>0</v>
      </c>
      <c r="L39" s="23">
        <v>1</v>
      </c>
      <c r="M39" s="25">
        <v>0</v>
      </c>
      <c r="N39" s="54">
        <v>0</v>
      </c>
      <c r="O39" s="23">
        <v>1</v>
      </c>
      <c r="P39" s="25">
        <v>0</v>
      </c>
      <c r="Q39" s="54">
        <v>0</v>
      </c>
      <c r="R39" s="23">
        <v>1</v>
      </c>
      <c r="S39" s="25">
        <v>0</v>
      </c>
      <c r="T39" s="54">
        <v>0</v>
      </c>
      <c r="U39" s="23">
        <v>0</v>
      </c>
      <c r="V39" s="25">
        <v>0</v>
      </c>
      <c r="W39" s="54" t="s">
        <v>121</v>
      </c>
      <c r="X39" s="23">
        <v>0</v>
      </c>
      <c r="Y39" s="25">
        <v>0</v>
      </c>
      <c r="Z39" s="54" t="s">
        <v>121</v>
      </c>
      <c r="AA39" s="23">
        <v>0</v>
      </c>
      <c r="AB39" s="25">
        <v>0</v>
      </c>
      <c r="AC39" s="54" t="s">
        <v>121</v>
      </c>
      <c r="AD39" s="23">
        <v>0</v>
      </c>
      <c r="AE39" s="25">
        <v>0</v>
      </c>
      <c r="AF39" s="54" t="s">
        <v>121</v>
      </c>
      <c r="AG39" s="23">
        <v>1</v>
      </c>
      <c r="AH39" s="25">
        <v>0</v>
      </c>
      <c r="AI39" s="54">
        <v>0</v>
      </c>
      <c r="AJ39" s="23">
        <v>0</v>
      </c>
      <c r="AK39" s="25">
        <v>0</v>
      </c>
      <c r="AL39" s="54" t="s">
        <v>121</v>
      </c>
      <c r="AM39" s="23">
        <v>0</v>
      </c>
      <c r="AN39" s="25">
        <v>0</v>
      </c>
      <c r="AO39" s="54" t="s">
        <v>121</v>
      </c>
      <c r="AP39" s="23">
        <v>0</v>
      </c>
      <c r="AQ39" s="25">
        <v>0</v>
      </c>
      <c r="AR39" s="54" t="s">
        <v>121</v>
      </c>
      <c r="AS39" s="23">
        <v>0</v>
      </c>
      <c r="AT39" s="25">
        <v>0</v>
      </c>
      <c r="AU39" s="54" t="s">
        <v>121</v>
      </c>
      <c r="AV39" s="23">
        <v>0</v>
      </c>
      <c r="AW39" s="25">
        <v>0</v>
      </c>
      <c r="AX39" s="54" t="s">
        <v>121</v>
      </c>
      <c r="AY39" s="23">
        <v>0</v>
      </c>
      <c r="AZ39" s="25">
        <v>0</v>
      </c>
      <c r="BA39" s="54" t="s">
        <v>121</v>
      </c>
      <c r="BB39" s="23">
        <v>0</v>
      </c>
      <c r="BC39" s="25">
        <v>0</v>
      </c>
      <c r="BD39" s="54" t="s">
        <v>121</v>
      </c>
      <c r="BE39" s="23">
        <v>0</v>
      </c>
      <c r="BF39" s="25">
        <v>0</v>
      </c>
      <c r="BG39" s="54" t="s">
        <v>121</v>
      </c>
      <c r="BH39" s="23">
        <v>1</v>
      </c>
      <c r="BI39" s="25">
        <v>0</v>
      </c>
      <c r="BJ39" s="54">
        <v>0</v>
      </c>
      <c r="BK39" s="23">
        <v>71</v>
      </c>
      <c r="BL39" s="25">
        <v>39</v>
      </c>
      <c r="BM39" s="54">
        <v>1.21875</v>
      </c>
      <c r="BN39" s="23">
        <v>1</v>
      </c>
      <c r="BO39" s="25">
        <v>0</v>
      </c>
      <c r="BP39" s="54">
        <v>0</v>
      </c>
      <c r="BQ39" s="23">
        <v>1</v>
      </c>
      <c r="BR39" s="25">
        <v>0</v>
      </c>
      <c r="BS39" s="54">
        <v>0</v>
      </c>
    </row>
    <row r="40" spans="1:71" s="4" customFormat="1" ht="13.5" customHeight="1" x14ac:dyDescent="0.5">
      <c r="B40" s="28"/>
      <c r="C40" s="28"/>
      <c r="D40" s="28"/>
      <c r="E40" s="28"/>
      <c r="F40" s="28"/>
      <c r="G40" s="28"/>
      <c r="H40" s="28"/>
      <c r="I40" s="28"/>
      <c r="J40" s="28"/>
      <c r="K40" s="54"/>
      <c r="L40" s="28"/>
      <c r="M40" s="28"/>
      <c r="N40" s="54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54"/>
      <c r="BN40" s="28"/>
      <c r="BO40" s="28"/>
      <c r="BP40" s="28"/>
      <c r="BQ40" s="28"/>
      <c r="BR40" s="28"/>
      <c r="BS40" s="28"/>
    </row>
    <row r="41" spans="1:71" s="4" customFormat="1" ht="29.25" customHeight="1" x14ac:dyDescent="0.5">
      <c r="B41" s="108" t="s">
        <v>53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30"/>
      <c r="Z41" s="57"/>
      <c r="AA41" s="57"/>
      <c r="AB41" s="30"/>
      <c r="AC41" s="57"/>
      <c r="AD41" s="57"/>
      <c r="AE41" s="30"/>
      <c r="AF41" s="57"/>
      <c r="AG41" s="57"/>
      <c r="AH41" s="30"/>
      <c r="AI41" s="57"/>
      <c r="AJ41" s="57"/>
      <c r="AK41" s="30"/>
      <c r="AL41" s="57"/>
      <c r="AM41" s="57"/>
      <c r="AN41" s="30"/>
      <c r="AO41" s="57"/>
      <c r="AP41" s="57"/>
      <c r="AQ41" s="30"/>
      <c r="AR41" s="57"/>
      <c r="AS41" s="57"/>
      <c r="AT41" s="30"/>
      <c r="AU41" s="57"/>
      <c r="AV41" s="57"/>
      <c r="AW41" s="30"/>
      <c r="AX41" s="57"/>
      <c r="AY41" s="57"/>
      <c r="AZ41" s="30"/>
      <c r="BA41" s="57"/>
      <c r="BB41" s="57"/>
      <c r="BC41" s="30"/>
      <c r="BD41" s="57"/>
      <c r="BE41" s="57"/>
      <c r="BF41" s="30"/>
      <c r="BG41" s="57"/>
      <c r="BH41" s="57"/>
      <c r="BI41" s="30"/>
      <c r="BJ41" s="57"/>
      <c r="BK41" s="57"/>
      <c r="BL41" s="30"/>
      <c r="BM41" s="57"/>
      <c r="BN41" s="57"/>
      <c r="BO41" s="30"/>
      <c r="BP41" s="57"/>
      <c r="BQ41" s="57"/>
      <c r="BR41" s="30"/>
      <c r="BS41" s="57"/>
    </row>
    <row r="42" spans="1:71" s="4" customFormat="1" x14ac:dyDescent="0.5"/>
    <row r="45" spans="1:71" hidden="1" x14ac:dyDescent="0.5">
      <c r="A45" s="114" t="s">
        <v>111</v>
      </c>
      <c r="B45" s="20" t="s">
        <v>22</v>
      </c>
    </row>
    <row r="46" spans="1:71" hidden="1" x14ac:dyDescent="0.5">
      <c r="A46" s="114"/>
      <c r="B46" s="20" t="s">
        <v>23</v>
      </c>
    </row>
    <row r="47" spans="1:71" hidden="1" x14ac:dyDescent="0.5">
      <c r="A47" s="114"/>
      <c r="B47" s="20" t="s">
        <v>24</v>
      </c>
    </row>
    <row r="48" spans="1:71" hidden="1" x14ac:dyDescent="0.5">
      <c r="A48" s="114"/>
      <c r="B48" s="20" t="s">
        <v>25</v>
      </c>
    </row>
    <row r="49" spans="1:2" hidden="1" x14ac:dyDescent="0.5">
      <c r="A49" s="114"/>
      <c r="B49" s="20" t="s">
        <v>27</v>
      </c>
    </row>
    <row r="50" spans="1:2" hidden="1" x14ac:dyDescent="0.5">
      <c r="A50" s="114"/>
      <c r="B50" s="20" t="s">
        <v>28</v>
      </c>
    </row>
    <row r="51" spans="1:2" hidden="1" x14ac:dyDescent="0.5">
      <c r="A51" s="114"/>
      <c r="B51" s="20" t="s">
        <v>30</v>
      </c>
    </row>
    <row r="52" spans="1:2" hidden="1" x14ac:dyDescent="0.5">
      <c r="A52" s="114"/>
      <c r="B52" s="20" t="s">
        <v>32</v>
      </c>
    </row>
    <row r="53" spans="1:2" hidden="1" x14ac:dyDescent="0.5">
      <c r="A53" s="114"/>
      <c r="B53" s="20" t="s">
        <v>33</v>
      </c>
    </row>
    <row r="54" spans="1:2" hidden="1" x14ac:dyDescent="0.5">
      <c r="A54" s="114"/>
      <c r="B54" s="20" t="s">
        <v>40</v>
      </c>
    </row>
    <row r="55" spans="1:2" hidden="1" x14ac:dyDescent="0.5">
      <c r="A55" s="114"/>
      <c r="B55" s="20" t="s">
        <v>42</v>
      </c>
    </row>
    <row r="56" spans="1:2" hidden="1" x14ac:dyDescent="0.5">
      <c r="A56" s="114"/>
      <c r="B56" s="20" t="s">
        <v>45</v>
      </c>
    </row>
    <row r="57" spans="1:2" hidden="1" x14ac:dyDescent="0.5">
      <c r="A57" s="114"/>
      <c r="B57" s="20" t="s">
        <v>52</v>
      </c>
    </row>
    <row r="58" spans="1:2" hidden="1" x14ac:dyDescent="0.5"/>
    <row r="59" spans="1:2" hidden="1" x14ac:dyDescent="0.5"/>
    <row r="60" spans="1:2" hidden="1" x14ac:dyDescent="0.5">
      <c r="A60" s="114" t="s">
        <v>112</v>
      </c>
      <c r="B60" s="20" t="s">
        <v>26</v>
      </c>
    </row>
    <row r="61" spans="1:2" hidden="1" x14ac:dyDescent="0.5">
      <c r="A61" s="114"/>
      <c r="B61" s="20" t="s">
        <v>29</v>
      </c>
    </row>
    <row r="62" spans="1:2" hidden="1" x14ac:dyDescent="0.5">
      <c r="A62" s="114"/>
      <c r="B62" s="20" t="s">
        <v>31</v>
      </c>
    </row>
    <row r="63" spans="1:2" hidden="1" x14ac:dyDescent="0.5">
      <c r="A63" s="114"/>
      <c r="B63" s="20" t="s">
        <v>34</v>
      </c>
    </row>
    <row r="64" spans="1:2" hidden="1" x14ac:dyDescent="0.5">
      <c r="A64" s="114"/>
      <c r="B64" s="20" t="s">
        <v>36</v>
      </c>
    </row>
    <row r="65" spans="1:2" hidden="1" x14ac:dyDescent="0.5">
      <c r="A65" s="114"/>
      <c r="B65" s="20" t="s">
        <v>37</v>
      </c>
    </row>
    <row r="66" spans="1:2" hidden="1" x14ac:dyDescent="0.5">
      <c r="A66" s="114"/>
      <c r="B66" s="20" t="s">
        <v>38</v>
      </c>
    </row>
    <row r="67" spans="1:2" hidden="1" x14ac:dyDescent="0.5">
      <c r="A67" s="114"/>
      <c r="B67" s="20" t="s">
        <v>39</v>
      </c>
    </row>
    <row r="68" spans="1:2" hidden="1" x14ac:dyDescent="0.5">
      <c r="A68" s="114"/>
      <c r="B68" s="20" t="s">
        <v>41</v>
      </c>
    </row>
    <row r="69" spans="1:2" hidden="1" x14ac:dyDescent="0.5">
      <c r="A69" s="114"/>
      <c r="B69" s="20" t="s">
        <v>44</v>
      </c>
    </row>
    <row r="70" spans="1:2" hidden="1" x14ac:dyDescent="0.5">
      <c r="A70" s="114"/>
      <c r="B70" s="20" t="s">
        <v>46</v>
      </c>
    </row>
    <row r="71" spans="1:2" hidden="1" x14ac:dyDescent="0.5">
      <c r="A71" s="114"/>
      <c r="B71" s="20" t="s">
        <v>47</v>
      </c>
    </row>
    <row r="72" spans="1:2" hidden="1" x14ac:dyDescent="0.5">
      <c r="A72" s="114"/>
      <c r="B72" s="20" t="s">
        <v>49</v>
      </c>
    </row>
    <row r="73" spans="1:2" hidden="1" x14ac:dyDescent="0.5">
      <c r="A73" s="114"/>
      <c r="B73" s="20" t="s">
        <v>51</v>
      </c>
    </row>
    <row r="74" spans="1:2" hidden="1" x14ac:dyDescent="0.5"/>
    <row r="75" spans="1:2" hidden="1" x14ac:dyDescent="0.5">
      <c r="A75" s="113" t="s">
        <v>56</v>
      </c>
      <c r="B75" s="20" t="s">
        <v>35</v>
      </c>
    </row>
    <row r="76" spans="1:2" hidden="1" x14ac:dyDescent="0.5">
      <c r="A76" s="113"/>
      <c r="B76" s="20" t="s">
        <v>48</v>
      </c>
    </row>
    <row r="77" spans="1:2" hidden="1" x14ac:dyDescent="0.5">
      <c r="A77" s="113"/>
      <c r="B77" s="20" t="s">
        <v>50</v>
      </c>
    </row>
    <row r="78" spans="1:2" hidden="1" x14ac:dyDescent="0.5"/>
    <row r="79" spans="1:2" hidden="1" x14ac:dyDescent="0.5">
      <c r="A79" s="82" t="s">
        <v>113</v>
      </c>
      <c r="B79" s="20" t="s">
        <v>43</v>
      </c>
    </row>
    <row r="80" spans="1:2" hidden="1" x14ac:dyDescent="0.5"/>
  </sheetData>
  <mergeCells count="31">
    <mergeCell ref="A75:A77"/>
    <mergeCell ref="BH6:BJ6"/>
    <mergeCell ref="B41:X41"/>
    <mergeCell ref="A45:A57"/>
    <mergeCell ref="A60:A73"/>
    <mergeCell ref="AP6:AR6"/>
    <mergeCell ref="AS6:AU6"/>
    <mergeCell ref="AV6:AX6"/>
    <mergeCell ref="AY6:BA6"/>
    <mergeCell ref="BB6:BD6"/>
    <mergeCell ref="BE6:BG6"/>
    <mergeCell ref="BQ5:BS6"/>
    <mergeCell ref="B6:B7"/>
    <mergeCell ref="F6:H6"/>
    <mergeCell ref="I6:K6"/>
    <mergeCell ref="L6:N6"/>
    <mergeCell ref="O6:Q6"/>
    <mergeCell ref="R6:T6"/>
    <mergeCell ref="U6:W6"/>
    <mergeCell ref="X6:Z6"/>
    <mergeCell ref="AA6:AC6"/>
    <mergeCell ref="BN5:BP6"/>
    <mergeCell ref="B3:Z3"/>
    <mergeCell ref="C5:E6"/>
    <mergeCell ref="F5:AF5"/>
    <mergeCell ref="AG5:BJ5"/>
    <mergeCell ref="BK5:BM6"/>
    <mergeCell ref="AD6:AF6"/>
    <mergeCell ref="AG6:AI6"/>
    <mergeCell ref="AJ6:AL6"/>
    <mergeCell ref="AM6:AO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4A9A-5886-48F3-80BF-2B140CCD4C9C}">
  <sheetPr>
    <tabColor rgb="FF92D050"/>
  </sheetPr>
  <dimension ref="A1:BG41"/>
  <sheetViews>
    <sheetView showGridLines="0" tabSelected="1" workbookViewId="0">
      <selection activeCell="C6" sqref="C6"/>
    </sheetView>
  </sheetViews>
  <sheetFormatPr baseColWidth="10" defaultRowHeight="14.35" x14ac:dyDescent="0.5"/>
  <cols>
    <col min="2" max="2" width="17.5859375" customWidth="1"/>
    <col min="3" max="3" width="28.5859375" customWidth="1"/>
    <col min="4" max="4" width="15.41015625" customWidth="1"/>
    <col min="5" max="5" width="14" customWidth="1"/>
    <col min="6" max="6" width="16.87890625" customWidth="1"/>
    <col min="7" max="7" width="11.1171875" customWidth="1"/>
    <col min="8" max="8" width="10" customWidth="1"/>
    <col min="9" max="9" width="29.41015625" customWidth="1"/>
    <col min="10" max="10" width="25.5859375" bestFit="1" customWidth="1"/>
    <col min="11" max="11" width="24.41015625" customWidth="1"/>
    <col min="12" max="12" width="25.5859375" bestFit="1" customWidth="1"/>
    <col min="13" max="13" width="24.41015625" customWidth="1"/>
    <col min="14" max="14" width="30.1171875" bestFit="1" customWidth="1"/>
    <col min="15" max="15" width="29" customWidth="1"/>
    <col min="16" max="16" width="30.5859375" bestFit="1" customWidth="1"/>
    <col min="17" max="17" width="29.41015625" customWidth="1"/>
    <col min="18" max="18" width="29.41015625" bestFit="1" customWidth="1"/>
  </cols>
  <sheetData>
    <row r="1" spans="3:59" ht="30" customHeight="1" x14ac:dyDescent="0.9">
      <c r="C1" s="58" t="s">
        <v>97</v>
      </c>
      <c r="D1" s="59" t="s">
        <v>21</v>
      </c>
    </row>
    <row r="3" spans="3:59" s="4" customFormat="1" ht="34.200000000000003" customHeight="1" x14ac:dyDescent="0.5">
      <c r="C3" s="111" t="str">
        <f>CONCATENATE("Establecimientos turísticos inscritos* en ",D1," según tipología y categoría del establecimiento
Distribución por categoría")</f>
        <v>Establecimientos turísticos inscritos* en Total Isla según tipología y categoría del establecimiento
Distribución por categoría</v>
      </c>
      <c r="D3" s="111"/>
      <c r="E3" s="111"/>
      <c r="F3" s="111"/>
      <c r="G3" s="111"/>
      <c r="H3" s="111"/>
    </row>
    <row r="4" spans="3:59" s="4" customFormat="1" ht="16.5" customHeight="1" thickBot="1" x14ac:dyDescent="0.55000000000000004">
      <c r="C4" s="112" t="s">
        <v>122</v>
      </c>
      <c r="D4" s="112"/>
      <c r="E4" s="112"/>
      <c r="F4" s="61"/>
      <c r="G4" s="83"/>
      <c r="H4" s="83"/>
    </row>
    <row r="5" spans="3:59" ht="6" customHeight="1" x14ac:dyDescent="0.5">
      <c r="C5" s="62"/>
      <c r="D5" s="62"/>
      <c r="E5" s="62"/>
      <c r="F5" s="62"/>
      <c r="G5" s="62"/>
      <c r="H5" s="62"/>
    </row>
    <row r="6" spans="3:59" s="4" customFormat="1" ht="46.5" customHeight="1" x14ac:dyDescent="0.5">
      <c r="C6" s="13"/>
      <c r="D6" s="14" t="s">
        <v>78</v>
      </c>
      <c r="E6" s="15" t="s">
        <v>20</v>
      </c>
      <c r="F6" s="15" t="s">
        <v>98</v>
      </c>
      <c r="G6" s="63" t="s">
        <v>99</v>
      </c>
      <c r="H6" s="15" t="s">
        <v>100</v>
      </c>
    </row>
    <row r="7" spans="3:59" s="19" customFormat="1" ht="15.7" x14ac:dyDescent="0.55000000000000004">
      <c r="C7" s="64" t="s">
        <v>11</v>
      </c>
      <c r="D7" s="65">
        <f>VLOOKUP($D$1,'estab aut municipio x tip y cat'!$B$8:$BS$39,5,FALSE)</f>
        <v>283</v>
      </c>
      <c r="E7" s="66">
        <f t="shared" ref="E7:E30" si="0">D7/$D$30</f>
        <v>1.0484588026081801E-2</v>
      </c>
      <c r="F7" s="66">
        <f>D7/$D$28</f>
        <v>0.4037089871611983</v>
      </c>
      <c r="G7" s="65">
        <f>VLOOKUP($D$1,'estab aut municipio x tip y cat'!$B$8:$BS$39,5+1,FALSE)</f>
        <v>7</v>
      </c>
      <c r="H7" s="67">
        <f>VLOOKUP($D$1,'estab aut municipio x tip y cat'!$B$8:$BS$39,5+2,FALSE)</f>
        <v>2.5362318840579601E-2</v>
      </c>
    </row>
    <row r="8" spans="3:59" s="4" customFormat="1" x14ac:dyDescent="0.5">
      <c r="C8" s="68" t="s">
        <v>61</v>
      </c>
      <c r="D8" s="23">
        <f>VLOOKUP($D$1,'estab aut municipio x tip y cat'!$B$8:$BS$39,8,FALSE)</f>
        <v>43</v>
      </c>
      <c r="E8" s="22">
        <f t="shared" si="0"/>
        <v>1.5930646117368109E-3</v>
      </c>
      <c r="F8" s="22">
        <f t="shared" ref="F8:F28" si="1">D8/$D$28</f>
        <v>6.1340941512125532E-2</v>
      </c>
      <c r="G8" s="23">
        <f>VLOOKUP($D$1,'estab aut municipio x tip y cat'!$B$8:$BS$39,8+1,FALSE)</f>
        <v>1</v>
      </c>
      <c r="H8" s="67">
        <f>VLOOKUP($D$1,'estab aut municipio x tip y cat'!$B$8:$BS$39,8+2,FALSE)</f>
        <v>2.3809523809523725E-2</v>
      </c>
      <c r="I8"/>
      <c r="BG8" s="4">
        <v>98</v>
      </c>
    </row>
    <row r="9" spans="3:59" s="4" customFormat="1" x14ac:dyDescent="0.5">
      <c r="C9" s="68" t="s">
        <v>62</v>
      </c>
      <c r="D9" s="23">
        <f>VLOOKUP($D$1,'estab aut municipio x tip y cat'!$B$8:$BS$39,11,FALSE)</f>
        <v>30</v>
      </c>
      <c r="E9" s="22">
        <f t="shared" si="0"/>
        <v>1.1114404267931238E-3</v>
      </c>
      <c r="F9" s="22">
        <f t="shared" si="1"/>
        <v>4.2796005706134094E-2</v>
      </c>
      <c r="G9" s="23">
        <f>VLOOKUP($D$1,'estab aut municipio x tip y cat'!$B$8:$BS$39,11+1,FALSE)</f>
        <v>0</v>
      </c>
      <c r="H9" s="67">
        <f>VLOOKUP($D$1,'estab aut municipio x tip y cat'!$B$8:$BS$39,11+2,FALSE)</f>
        <v>0</v>
      </c>
      <c r="I9"/>
      <c r="BG9" s="4">
        <v>0</v>
      </c>
    </row>
    <row r="10" spans="3:59" s="4" customFormat="1" x14ac:dyDescent="0.5">
      <c r="C10" s="68" t="s">
        <v>63</v>
      </c>
      <c r="D10" s="23">
        <f>VLOOKUP($D$1,'estab aut municipio x tip y cat'!$B$8:$BS$39,14,FALSE)</f>
        <v>54</v>
      </c>
      <c r="E10" s="22">
        <f t="shared" si="0"/>
        <v>2.0005927682276228E-3</v>
      </c>
      <c r="F10" s="22">
        <f t="shared" si="1"/>
        <v>7.7032810271041363E-2</v>
      </c>
      <c r="G10" s="23">
        <f>VLOOKUP($D$1,'estab aut municipio x tip y cat'!$B$8:$BS$39,14+1,FALSE)</f>
        <v>0</v>
      </c>
      <c r="H10" s="67">
        <f>VLOOKUP($D$1,'estab aut municipio x tip y cat'!$B$8:$BS$39,14+2,FALSE)</f>
        <v>0</v>
      </c>
      <c r="I10"/>
      <c r="BG10" s="4">
        <v>0</v>
      </c>
    </row>
    <row r="11" spans="3:59" s="4" customFormat="1" x14ac:dyDescent="0.5">
      <c r="C11" s="68" t="s">
        <v>64</v>
      </c>
      <c r="D11" s="23">
        <f>VLOOKUP($D$1,'estab aut municipio x tip y cat'!$B$8:$BS$39,17,FALSE)</f>
        <v>112</v>
      </c>
      <c r="E11" s="22">
        <f t="shared" si="0"/>
        <v>4.1493775933609959E-3</v>
      </c>
      <c r="F11" s="22">
        <f t="shared" si="1"/>
        <v>0.15977175463623394</v>
      </c>
      <c r="G11" s="23">
        <f>VLOOKUP($D$1,'estab aut municipio x tip y cat'!$B$8:$BS$39,17+1,FALSE)</f>
        <v>2</v>
      </c>
      <c r="H11" s="67">
        <f>VLOOKUP($D$1,'estab aut municipio x tip y cat'!$B$8:$BS$39,17+2,FALSE)</f>
        <v>1.8181818181818077E-2</v>
      </c>
      <c r="I11"/>
      <c r="BG11" s="4">
        <v>0</v>
      </c>
    </row>
    <row r="12" spans="3:59" s="4" customFormat="1" x14ac:dyDescent="0.5">
      <c r="C12" s="68" t="s">
        <v>65</v>
      </c>
      <c r="D12" s="23">
        <f>VLOOKUP($D$1,'estab aut municipio x tip y cat'!$B$8:$BS$39,20,FALSE)</f>
        <v>18</v>
      </c>
      <c r="E12" s="22">
        <f t="shared" si="0"/>
        <v>6.6686425607587435E-4</v>
      </c>
      <c r="F12" s="22">
        <f t="shared" si="1"/>
        <v>2.5677603423680456E-2</v>
      </c>
      <c r="G12" s="23">
        <f>VLOOKUP($D$1,'estab aut municipio x tip y cat'!$B$8:$BS$39,20+1,FALSE)</f>
        <v>1</v>
      </c>
      <c r="H12" s="67">
        <f>VLOOKUP($D$1,'estab aut municipio x tip y cat'!$B$8:$BS$39,20+2,FALSE)</f>
        <v>5.8823529411764719E-2</v>
      </c>
      <c r="I12"/>
      <c r="BG12" s="4">
        <v>0</v>
      </c>
    </row>
    <row r="13" spans="3:59" s="4" customFormat="1" x14ac:dyDescent="0.5">
      <c r="C13" s="68" t="s">
        <v>66</v>
      </c>
      <c r="D13" s="23">
        <f>VLOOKUP($D$1,'estab aut municipio x tip y cat'!$B$8:$BS$39,23,FALSE)</f>
        <v>4</v>
      </c>
      <c r="E13" s="22">
        <f t="shared" si="0"/>
        <v>1.4819205690574984E-4</v>
      </c>
      <c r="F13" s="22">
        <f t="shared" si="1"/>
        <v>5.7061340941512127E-3</v>
      </c>
      <c r="G13" s="23">
        <f>VLOOKUP($D$1,'estab aut municipio x tip y cat'!$B$8:$BS$39,23+1,FALSE)</f>
        <v>0</v>
      </c>
      <c r="H13" s="67">
        <f>VLOOKUP($D$1,'estab aut municipio x tip y cat'!$B$8:$BS$39,23+2,FALSE)</f>
        <v>0</v>
      </c>
      <c r="I13"/>
      <c r="BG13" s="4">
        <v>0</v>
      </c>
    </row>
    <row r="14" spans="3:59" s="4" customFormat="1" x14ac:dyDescent="0.5">
      <c r="C14" s="68" t="s">
        <v>67</v>
      </c>
      <c r="D14" s="23">
        <f>VLOOKUP($D$1,'estab aut municipio x tip y cat'!$B$8:$BS$39,26,FALSE)</f>
        <v>9</v>
      </c>
      <c r="E14" s="22">
        <f t="shared" si="0"/>
        <v>3.3343212803793717E-4</v>
      </c>
      <c r="F14" s="22">
        <f t="shared" si="1"/>
        <v>1.2838801711840228E-2</v>
      </c>
      <c r="G14" s="23">
        <f>VLOOKUP($D$1,'estab aut municipio x tip y cat'!$B$8:$BS$39,26+1,FALSE)</f>
        <v>1</v>
      </c>
      <c r="H14" s="67">
        <f>VLOOKUP($D$1,'estab aut municipio x tip y cat'!$B$8:$BS$39,26+2,FALSE)</f>
        <v>0.125</v>
      </c>
      <c r="I14"/>
      <c r="BG14" s="4">
        <v>0</v>
      </c>
    </row>
    <row r="15" spans="3:59" s="4" customFormat="1" x14ac:dyDescent="0.5">
      <c r="C15" s="70" t="s">
        <v>68</v>
      </c>
      <c r="D15" s="23">
        <f>VLOOKUP($D$1,'estab aut municipio x tip y cat'!$B$8:$BS$39,29,FALSE)</f>
        <v>13</v>
      </c>
      <c r="E15" s="22">
        <f t="shared" si="0"/>
        <v>4.8162418494368704E-4</v>
      </c>
      <c r="F15" s="22">
        <f t="shared" si="1"/>
        <v>1.8544935805991442E-2</v>
      </c>
      <c r="G15" s="23">
        <f>VLOOKUP($D$1,'estab aut municipio x tip y cat'!$B$8:$BS$39,29+1,FALSE)</f>
        <v>2</v>
      </c>
      <c r="H15" s="67">
        <f>VLOOKUP($D$1,'estab aut municipio x tip y cat'!$B$8:$BS$39,29+2,FALSE)</f>
        <v>0.18181818181818188</v>
      </c>
      <c r="I15"/>
      <c r="BG15" s="4">
        <v>0</v>
      </c>
    </row>
    <row r="16" spans="3:59" s="4" customFormat="1" x14ac:dyDescent="0.5">
      <c r="C16" s="64" t="s">
        <v>12</v>
      </c>
      <c r="D16" s="65">
        <f>VLOOKUP($D$1,'estab aut municipio x tip y cat'!$B$8:$BS$39,32,FALSE)</f>
        <v>230</v>
      </c>
      <c r="E16" s="66">
        <f t="shared" si="0"/>
        <v>8.5210432720806157E-3</v>
      </c>
      <c r="F16" s="66">
        <f t="shared" si="1"/>
        <v>0.32810271041369471</v>
      </c>
      <c r="G16" s="65">
        <f>VLOOKUP($D$1,'estab aut municipio x tip y cat'!$B$8:$BS$39,32+1,FALSE)</f>
        <v>0</v>
      </c>
      <c r="H16" s="67">
        <f>VLOOKUP($D$1,'estab aut municipio x tip y cat'!$B$8:$BS$39,32+2,FALSE)</f>
        <v>0</v>
      </c>
      <c r="I16"/>
      <c r="BG16" s="4">
        <v>0</v>
      </c>
    </row>
    <row r="17" spans="1:59" s="4" customFormat="1" x14ac:dyDescent="0.5">
      <c r="C17" s="68" t="s">
        <v>70</v>
      </c>
      <c r="D17" s="23">
        <f>VLOOKUP($D$1,'estab aut municipio x tip y cat'!$B$8:$BS$39,35,FALSE)</f>
        <v>45</v>
      </c>
      <c r="E17" s="22">
        <f t="shared" si="0"/>
        <v>1.6671606401896858E-3</v>
      </c>
      <c r="F17" s="22">
        <f t="shared" si="1"/>
        <v>6.4194008559201141E-2</v>
      </c>
      <c r="G17" s="23">
        <f>VLOOKUP($D$1,'estab aut municipio x tip y cat'!$B$8:$BS$39,35+1,FALSE)</f>
        <v>-2</v>
      </c>
      <c r="H17" s="67">
        <f>VLOOKUP($D$1,'estab aut municipio x tip y cat'!$B$8:$BS$39,35+2,FALSE)</f>
        <v>-4.2553191489361653E-2</v>
      </c>
      <c r="I17" s="32"/>
      <c r="BG17" s="4">
        <v>0</v>
      </c>
    </row>
    <row r="18" spans="1:59" s="4" customFormat="1" x14ac:dyDescent="0.5">
      <c r="C18" s="68" t="s">
        <v>71</v>
      </c>
      <c r="D18" s="23">
        <f>VLOOKUP($D$1,'estab aut municipio x tip y cat'!$B$8:$BS$39,38,FALSE)</f>
        <v>52</v>
      </c>
      <c r="E18" s="22">
        <f t="shared" si="0"/>
        <v>1.9264967397747482E-3</v>
      </c>
      <c r="F18" s="22">
        <f t="shared" si="1"/>
        <v>7.4179743223965769E-2</v>
      </c>
      <c r="G18" s="23">
        <f>VLOOKUP($D$1,'estab aut municipio x tip y cat'!$B$8:$BS$39,38+1,FALSE)</f>
        <v>-1</v>
      </c>
      <c r="H18" s="67">
        <f>VLOOKUP($D$1,'estab aut municipio x tip y cat'!$B$8:$BS$39,38+2,FALSE)</f>
        <v>-1.8867924528301883E-2</v>
      </c>
      <c r="I18" s="32"/>
      <c r="BG18" s="4">
        <v>0</v>
      </c>
    </row>
    <row r="19" spans="1:59" s="4" customFormat="1" x14ac:dyDescent="0.5">
      <c r="C19" s="68" t="s">
        <v>72</v>
      </c>
      <c r="D19" s="23">
        <f>VLOOKUP($D$1,'estab aut municipio x tip y cat'!$B$8:$BS$39,41,FALSE)</f>
        <v>43</v>
      </c>
      <c r="E19" s="22">
        <f t="shared" si="0"/>
        <v>1.5930646117368109E-3</v>
      </c>
      <c r="F19" s="22">
        <f t="shared" si="1"/>
        <v>6.1340941512125532E-2</v>
      </c>
      <c r="G19" s="23">
        <f>VLOOKUP($D$1,'estab aut municipio x tip y cat'!$B$8:$BS$39,41+1,FALSE)</f>
        <v>0</v>
      </c>
      <c r="H19" s="67">
        <f>VLOOKUP($D$1,'estab aut municipio x tip y cat'!$B$8:$BS$39,41+2,FALSE)</f>
        <v>0</v>
      </c>
      <c r="I19" s="32"/>
      <c r="BG19" s="4">
        <v>0</v>
      </c>
    </row>
    <row r="20" spans="1:59" s="4" customFormat="1" x14ac:dyDescent="0.5">
      <c r="C20" s="68" t="s">
        <v>73</v>
      </c>
      <c r="D20" s="23">
        <f>VLOOKUP($D$1,'estab aut municipio x tip y cat'!$B$8:$BS$39,44,FALSE)</f>
        <v>1</v>
      </c>
      <c r="E20" s="22">
        <f t="shared" si="0"/>
        <v>3.704801422643746E-5</v>
      </c>
      <c r="F20" s="22">
        <f t="shared" si="1"/>
        <v>1.4265335235378032E-3</v>
      </c>
      <c r="G20" s="23">
        <f>VLOOKUP($D$1,'estab aut municipio x tip y cat'!$B$8:$BS$39,44+1,FALSE)</f>
        <v>0</v>
      </c>
      <c r="H20" s="67">
        <f>VLOOKUP($D$1,'estab aut municipio x tip y cat'!$B$8:$BS$39,44+2,FALSE)</f>
        <v>0</v>
      </c>
      <c r="I20" s="32"/>
      <c r="BG20" s="4">
        <v>0</v>
      </c>
    </row>
    <row r="21" spans="1:59" s="4" customFormat="1" x14ac:dyDescent="0.5">
      <c r="C21" s="68" t="s">
        <v>63</v>
      </c>
      <c r="D21" s="23">
        <f>VLOOKUP($D$1,'estab aut municipio x tip y cat'!$B$8:$BS$39,47,FALSE)</f>
        <v>24</v>
      </c>
      <c r="E21" s="22">
        <f t="shared" si="0"/>
        <v>8.891523414344991E-4</v>
      </c>
      <c r="F21" s="22">
        <f t="shared" si="1"/>
        <v>3.4236804564907276E-2</v>
      </c>
      <c r="G21" s="23">
        <f>VLOOKUP($D$1,'estab aut municipio x tip y cat'!$B$8:$BS$39,47+1,FALSE)</f>
        <v>0</v>
      </c>
      <c r="H21" s="67">
        <f>VLOOKUP($D$1,'estab aut municipio x tip y cat'!$B$8:$BS$39,47+2,FALSE)</f>
        <v>0</v>
      </c>
      <c r="I21" s="32"/>
      <c r="BG21" s="4">
        <v>0</v>
      </c>
    </row>
    <row r="22" spans="1:59" s="4" customFormat="1" x14ac:dyDescent="0.5">
      <c r="C22" s="68" t="s">
        <v>64</v>
      </c>
      <c r="D22" s="23">
        <f>VLOOKUP($D$1,'estab aut municipio x tip y cat'!$B$8:$BS$39,50,FALSE)</f>
        <v>9</v>
      </c>
      <c r="E22" s="22">
        <f t="shared" si="0"/>
        <v>3.3343212803793717E-4</v>
      </c>
      <c r="F22" s="22">
        <f t="shared" si="1"/>
        <v>1.2838801711840228E-2</v>
      </c>
      <c r="G22" s="23">
        <f>VLOOKUP($D$1,'estab aut municipio x tip y cat'!$B$8:$BS$39,50+1,FALSE)</f>
        <v>0</v>
      </c>
      <c r="H22" s="67">
        <f>VLOOKUP($D$1,'estab aut municipio x tip y cat'!$B$8:$BS$39,50+2,FALSE)</f>
        <v>0</v>
      </c>
      <c r="I22" s="32"/>
      <c r="BG22" s="4">
        <v>0</v>
      </c>
    </row>
    <row r="23" spans="1:59" s="4" customFormat="1" x14ac:dyDescent="0.5">
      <c r="C23" s="68" t="s">
        <v>65</v>
      </c>
      <c r="D23" s="23">
        <f>VLOOKUP($D$1,'estab aut municipio x tip y cat'!$B$8:$BS$39,53,FALSE)</f>
        <v>4</v>
      </c>
      <c r="E23" s="22">
        <f t="shared" si="0"/>
        <v>1.4819205690574984E-4</v>
      </c>
      <c r="F23" s="22">
        <f t="shared" si="1"/>
        <v>5.7061340941512127E-3</v>
      </c>
      <c r="G23" s="23">
        <f>VLOOKUP($D$1,'estab aut municipio x tip y cat'!$B$8:$BS$39,53+1,FALSE)</f>
        <v>0</v>
      </c>
      <c r="H23" s="67">
        <f>VLOOKUP($D$1,'estab aut municipio x tip y cat'!$B$8:$BS$39,53+2,FALSE)</f>
        <v>0</v>
      </c>
      <c r="I23" s="32"/>
      <c r="BG23" s="4">
        <v>0</v>
      </c>
    </row>
    <row r="24" spans="1:59" s="4" customFormat="1" x14ac:dyDescent="0.5">
      <c r="C24" s="68" t="s">
        <v>74</v>
      </c>
      <c r="D24" s="23">
        <f>VLOOKUP($D$1,'estab aut municipio x tip y cat'!$B$8:$BS$39,56,FALSE)</f>
        <v>34</v>
      </c>
      <c r="E24" s="22">
        <f t="shared" si="0"/>
        <v>1.2596324836988738E-3</v>
      </c>
      <c r="F24" s="22">
        <f t="shared" si="1"/>
        <v>4.850213980028531E-2</v>
      </c>
      <c r="G24" s="23">
        <f>VLOOKUP($D$1,'estab aut municipio x tip y cat'!$B$8:$BS$39,56+1,FALSE)</f>
        <v>3</v>
      </c>
      <c r="H24" s="67">
        <f>VLOOKUP($D$1,'estab aut municipio x tip y cat'!$B$8:$BS$39,56+2,FALSE)</f>
        <v>9.6774193548387011E-2</v>
      </c>
      <c r="I24" s="32"/>
      <c r="BG24" s="4">
        <v>0</v>
      </c>
    </row>
    <row r="25" spans="1:59" s="4" customFormat="1" x14ac:dyDescent="0.5">
      <c r="C25" s="70" t="s">
        <v>75</v>
      </c>
      <c r="D25" s="23">
        <f>VLOOKUP($D$1,'estab aut municipio x tip y cat'!$B$8:$BS$39,59,FALSE)</f>
        <v>18</v>
      </c>
      <c r="E25" s="22">
        <f t="shared" si="0"/>
        <v>6.6686425607587435E-4</v>
      </c>
      <c r="F25" s="22">
        <f t="shared" si="1"/>
        <v>2.5677603423680456E-2</v>
      </c>
      <c r="G25" s="23">
        <f>VLOOKUP($D$1,'estab aut municipio x tip y cat'!$B$8:$BS$39,59+1,FALSE)</f>
        <v>0</v>
      </c>
      <c r="H25" s="67">
        <f>VLOOKUP($D$1,'estab aut municipio x tip y cat'!$B$8:$BS$39,59+2,FALSE)</f>
        <v>0</v>
      </c>
      <c r="I25" s="32"/>
      <c r="BG25" s="4">
        <v>0</v>
      </c>
    </row>
    <row r="26" spans="1:59" s="4" customFormat="1" x14ac:dyDescent="0.5">
      <c r="C26" s="64" t="s">
        <v>13</v>
      </c>
      <c r="D26" s="65">
        <f>VLOOKUP($D$1,'estab aut municipio x tip y cat'!$B$8:$BS$39,65,FALSE)</f>
        <v>23</v>
      </c>
      <c r="E26" s="66">
        <f t="shared" si="0"/>
        <v>8.5210432720806166E-4</v>
      </c>
      <c r="F26" s="66">
        <f t="shared" si="1"/>
        <v>3.2810271041369472E-2</v>
      </c>
      <c r="G26" s="65">
        <f>VLOOKUP($D$1,'estab aut municipio x tip y cat'!$B$8:$BS$39,65+1,FALSE)</f>
        <v>0</v>
      </c>
      <c r="H26" s="67">
        <f>VLOOKUP($D$1,'estab aut municipio x tip y cat'!$B$8:$BS$39,65+2,FALSE)</f>
        <v>0</v>
      </c>
      <c r="I26" s="32"/>
      <c r="BG26" s="4">
        <v>0</v>
      </c>
    </row>
    <row r="27" spans="1:59" s="4" customFormat="1" x14ac:dyDescent="0.5">
      <c r="C27" s="64" t="s">
        <v>101</v>
      </c>
      <c r="D27" s="65">
        <f>VLOOKUP($D$1,'estab aut municipio x tip y cat'!$B$8:$BS$39,68,FALSE)</f>
        <v>165</v>
      </c>
      <c r="E27" s="66">
        <f t="shared" si="0"/>
        <v>6.1129223473621814E-3</v>
      </c>
      <c r="F27" s="66">
        <f t="shared" si="1"/>
        <v>0.23537803138373753</v>
      </c>
      <c r="G27" s="65">
        <f>VLOOKUP($D$1,'estab aut municipio x tip y cat'!$B$8:$BS$39,68+1,FALSE)</f>
        <v>0</v>
      </c>
      <c r="H27" s="67">
        <f>VLOOKUP($D$1,'estab aut municipio x tip y cat'!$B$8:$BS$39,68+2,FALSE)</f>
        <v>6.0975609756097615E-3</v>
      </c>
      <c r="I27" s="32"/>
      <c r="BG27" s="4">
        <v>0</v>
      </c>
    </row>
    <row r="28" spans="1:59" s="4" customFormat="1" ht="28.7" x14ac:dyDescent="0.5">
      <c r="C28" s="71" t="s">
        <v>114</v>
      </c>
      <c r="D28" s="72">
        <f>D7+D16+D27+D26</f>
        <v>701</v>
      </c>
      <c r="E28" s="73">
        <f t="shared" si="0"/>
        <v>2.5970657972732663E-2</v>
      </c>
      <c r="F28" s="73">
        <f t="shared" si="1"/>
        <v>1</v>
      </c>
      <c r="G28" s="72">
        <f>G7+G16+G27+G26</f>
        <v>7</v>
      </c>
      <c r="H28" s="74">
        <f>H7+H16+H27+H26</f>
        <v>3.1459879816189362E-2</v>
      </c>
      <c r="I28" s="32"/>
      <c r="BG28" s="4">
        <v>0</v>
      </c>
    </row>
    <row r="29" spans="1:59" s="4" customFormat="1" ht="12.75" customHeight="1" x14ac:dyDescent="0.5">
      <c r="A29" s="84"/>
      <c r="C29" s="85" t="s">
        <v>16</v>
      </c>
      <c r="D29" s="86">
        <f>VLOOKUP($D$1,'estab aut municipio x tip y cat'!$B$8:$BS$39,62,FALSE)</f>
        <v>26291</v>
      </c>
      <c r="E29" s="75">
        <f t="shared" si="0"/>
        <v>0.97402934202726732</v>
      </c>
      <c r="F29" s="75"/>
      <c r="G29" s="86">
        <f>VLOOKUP($D$1,'estab aut municipio x tip y cat'!$B$8:$BS$39,62+1,FALSE)</f>
        <v>10311</v>
      </c>
      <c r="H29" s="87">
        <f>VLOOKUP($D$1,'estab aut municipio x tip y cat'!$B$8:$BS$39,62+2,FALSE)</f>
        <v>0.64520367936925105</v>
      </c>
      <c r="I29" s="32"/>
      <c r="BG29" s="4">
        <v>0</v>
      </c>
    </row>
    <row r="30" spans="1:59" s="4" customFormat="1" ht="15.7" x14ac:dyDescent="0.5">
      <c r="C30" s="76" t="s">
        <v>15</v>
      </c>
      <c r="D30" s="17">
        <f>VLOOKUP($D$1,'estab aut municipio x tip y cat'!$B$8:$BS$39,2,FALSE)</f>
        <v>26992</v>
      </c>
      <c r="E30" s="18">
        <f t="shared" si="0"/>
        <v>1</v>
      </c>
      <c r="F30" s="18"/>
      <c r="G30" s="17">
        <f>VLOOKUP($D$1,'estab aut municipio x tip y cat'!$B$8:$BS$39,3,FALSE)</f>
        <v>10318</v>
      </c>
      <c r="H30" s="77">
        <f>H7+H16+H29+H26+H27</f>
        <v>0.67666355918544041</v>
      </c>
      <c r="I30" s="32"/>
      <c r="BG30" s="4">
        <v>0</v>
      </c>
    </row>
    <row r="31" spans="1:59" s="4" customFormat="1" ht="10.5" customHeight="1" x14ac:dyDescent="0.5">
      <c r="C31" s="88"/>
      <c r="D31" s="28"/>
      <c r="E31" s="28"/>
      <c r="F31" s="28"/>
      <c r="G31" s="28"/>
      <c r="I31" s="32"/>
      <c r="BG31" s="4">
        <v>0</v>
      </c>
    </row>
    <row r="32" spans="1:59" s="4" customFormat="1" ht="42" customHeight="1" x14ac:dyDescent="0.5">
      <c r="C32" s="108" t="s">
        <v>115</v>
      </c>
      <c r="D32" s="108"/>
      <c r="E32" s="108"/>
      <c r="F32" s="108"/>
      <c r="G32" s="108"/>
      <c r="H32" s="108"/>
      <c r="BG32" s="4">
        <v>0</v>
      </c>
    </row>
    <row r="33" spans="3:59" s="4" customFormat="1" x14ac:dyDescent="0.5">
      <c r="C33" s="78"/>
      <c r="D33"/>
      <c r="BG33" s="4">
        <v>0</v>
      </c>
    </row>
    <row r="34" spans="3:59" s="4" customFormat="1" x14ac:dyDescent="0.5">
      <c r="C34" s="78"/>
      <c r="D34"/>
      <c r="H34" s="32"/>
      <c r="BG34" s="4">
        <v>0</v>
      </c>
    </row>
    <row r="35" spans="3:59" s="4" customFormat="1" x14ac:dyDescent="0.5">
      <c r="C35" s="78"/>
      <c r="D35"/>
      <c r="H35" s="32"/>
      <c r="BG35" s="4">
        <v>0</v>
      </c>
    </row>
    <row r="36" spans="3:59" s="4" customFormat="1" x14ac:dyDescent="0.5">
      <c r="C36" s="78"/>
      <c r="D36" s="79"/>
      <c r="H36" s="32"/>
      <c r="BG36" s="4">
        <v>0</v>
      </c>
    </row>
    <row r="37" spans="3:59" s="4" customFormat="1" x14ac:dyDescent="0.5">
      <c r="C37" s="78"/>
      <c r="D37" s="79"/>
      <c r="H37" s="32"/>
      <c r="BG37" s="4">
        <v>0</v>
      </c>
    </row>
    <row r="38" spans="3:59" s="4" customFormat="1" x14ac:dyDescent="0.5">
      <c r="C38" s="78"/>
      <c r="D38" s="79"/>
      <c r="H38" s="32"/>
      <c r="BG38" s="4">
        <v>0</v>
      </c>
    </row>
    <row r="39" spans="3:59" x14ac:dyDescent="0.5">
      <c r="C39" s="78"/>
      <c r="E39" s="4"/>
      <c r="F39" s="4"/>
      <c r="G39" s="4"/>
      <c r="H39" s="4"/>
      <c r="AF39" s="4"/>
      <c r="BG39" s="4">
        <v>0</v>
      </c>
    </row>
    <row r="40" spans="3:59" x14ac:dyDescent="0.5">
      <c r="C40" s="78"/>
      <c r="E40" s="4"/>
      <c r="F40" s="4"/>
      <c r="G40" s="4"/>
    </row>
    <row r="41" spans="3:59" x14ac:dyDescent="0.5">
      <c r="C41" s="78"/>
    </row>
  </sheetData>
  <mergeCells count="3">
    <mergeCell ref="C3:H3"/>
    <mergeCell ref="C4:E4"/>
    <mergeCell ref="C32:H3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79AC9F-ED63-4953-A38E-4F70E19DE043}">
          <x14:formula1>
            <xm:f>'estab aut municipio x tip y cat'!$B$8:$B$39</xm:f>
          </x14:formula1>
          <xm:sqref>D1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41570D85-AFD9-42A5-99E0-80495547A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E81F91-A549-49F2-9B5A-C39E83D65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63B2F5-43FB-4314-B7E4-A592C75F6C56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Menú principal</vt:lpstr>
      <vt:lpstr>plazas aut munic cuota aloj</vt:lpstr>
      <vt:lpstr>plazas aut municipio x cat</vt:lpstr>
      <vt:lpstr>plazas aut catg cuota</vt:lpstr>
      <vt:lpstr>estab aut munic cuota aloj</vt:lpstr>
      <vt:lpstr>estab aut municipio x tip y cat</vt:lpstr>
      <vt:lpstr>estab aut catg cuota aloj</vt:lpstr>
      <vt:lpstr>'estab aut catg cuota aloj'!Área_de_impresión</vt:lpstr>
      <vt:lpstr>'estab aut munic cuota aloj'!Área_de_impresión</vt:lpstr>
      <vt:lpstr>'Menú principal'!Área_de_impresión</vt:lpstr>
      <vt:lpstr>'plazas aut catg cuota'!Área_de_impresión</vt:lpstr>
      <vt:lpstr>'plazas aut munic cuota aloj'!Área_de_impresión</vt:lpstr>
      <vt:lpstr>'Menú principal'!Títulos_a_imprimir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Silvia Canales Tafur</cp:lastModifiedBy>
  <dcterms:created xsi:type="dcterms:W3CDTF">2024-09-24T14:17:09Z</dcterms:created>
  <dcterms:modified xsi:type="dcterms:W3CDTF">2024-09-26T09:37:52Z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