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DT\Turismo de Tenerife S.A\INVESTIGACION365 - General\BOLETIN ESTADÍSTICO SPET\INDICADORES TURISTICOS DE TENERIFE\2019\marzo\"/>
    </mc:Choice>
  </mc:AlternateContent>
  <xr:revisionPtr revIDLastSave="3" documentId="8_{F2161A56-C1AF-44D3-B937-2A487056FE94}" xr6:coauthVersionLast="43" xr6:coauthVersionMax="43" xr10:uidLastSave="{7EE4278E-DCFC-4560-9D91-1E54ECCA0F87}"/>
  <bookViews>
    <workbookView xWindow="-21720" yWindow="-120" windowWidth="21840" windowHeight="13140" xr2:uid="{EBCDE043-8290-4CBB-8A30-EB37B238BDE3}"/>
  </bookViews>
  <sheets>
    <sheet name="Ind turísticos invierno" sheetId="1" r:id="rId1"/>
  </sheets>
  <externalReferences>
    <externalReference r:id="rId2"/>
  </externalReferences>
  <definedNames>
    <definedName name="_xlnm.Print_Area" localSheetId="0">'Ind turísticos invierno'!$C$1:$M$312</definedName>
    <definedName name="imagen100">OFFSET('[1]para grafico de camas'!$A$10,'[1]para grafico de camas'!$K$1-1,0)</definedName>
    <definedName name="imagen110">OFFSET('[1]para grafico de camas'!$A$10,'[1]para grafico de camas'!$B$1-1,0)</definedName>
    <definedName name="imagen120">OFFSET('[1]para grafico de camas'!$A$10,'[1]para grafico de camas'!$C$1-1,0)</definedName>
    <definedName name="imagen130">OFFSET('[1]para grafico de camas'!$A$10,'[1]para grafico de camas'!$D$1-1,0)</definedName>
    <definedName name="imagen140">OFFSET('[1]para grafico de camas'!$A$10,'[1]para grafico de camas'!$E$1-1,0)</definedName>
    <definedName name="imagen150">OFFSET('[1]para grafico de camas'!$A$10,'[1]para grafico de camas'!$F$1-1,0)</definedName>
    <definedName name="imagen160">OFFSET('[1]para grafico de camas'!$A$10,'[1]para grafico de camas'!$G$1-1,0)</definedName>
    <definedName name="imagen170">OFFSET('[1]para grafico de camas'!$A$10,'[1]para grafico de camas'!$H$1-1,0)</definedName>
    <definedName name="imagen180">OFFSET('[1]para grafico de camas'!$A$10,'[1]para grafico de camas'!$I$1-1,0)</definedName>
    <definedName name="imagen190">OFFSET('[1]para grafico de camas'!$A$10,'[1]para grafico de camas'!$J$1-1,0)</definedName>
    <definedName name="imagen200">OFFSET('[1]para grafico de camas'!$A$10,'[1]para grafico de camas'!$K$2-1,0)</definedName>
    <definedName name="imagen210">OFFSET('[1]para grafico de camas'!$A$10,'[1]para grafico de camas'!$B$2-1,0)</definedName>
    <definedName name="imagen220">OFFSET('[1]para grafico de camas'!$A$10,'[1]para grafico de camas'!$C$2-1,0)</definedName>
    <definedName name="imagen230">OFFSET('[1]para grafico de camas'!$A$10,'[1]para grafico de camas'!$D$2-1,0)</definedName>
    <definedName name="imagen240">OFFSET('[1]para grafico de camas'!$A$10,'[1]para grafico de camas'!$E$2-1,0)</definedName>
    <definedName name="imagen250">OFFSET('[1]para grafico de camas'!$A$10,'[1]para grafico de camas'!$F$2-1,0)</definedName>
    <definedName name="imagen260">OFFSET('[1]para grafico de camas'!$A$10,'[1]para grafico de camas'!$G$2-1,0)</definedName>
    <definedName name="imagen270">OFFSET('[1]para grafico de camas'!$A$10,'[1]para grafico de camas'!$H$2-1,0)</definedName>
    <definedName name="imagen280">OFFSET('[1]para grafico de camas'!$A$10,'[1]para grafico de camas'!$I$2-1,0)</definedName>
    <definedName name="imagen290">OFFSET('[1]para grafico de camas'!$A$10,'[1]para grafico de camas'!$J$2-1,0)</definedName>
    <definedName name="imagen300">OFFSET('[1]para grafico de camas'!$A$10,'[1]para grafico de camas'!$K$3-1,0)</definedName>
    <definedName name="imagen310">OFFSET('[1]para grafico de camas'!$A$10,'[1]para grafico de camas'!$B$3-1,0)</definedName>
    <definedName name="imagen320">OFFSET('[1]para grafico de camas'!$A$10,'[1]para grafico de camas'!$C$3-1,0)</definedName>
    <definedName name="imagen330">OFFSET('[1]para grafico de camas'!$A$10,'[1]para grafico de camas'!$D$3-1,0)</definedName>
    <definedName name="imagen340">OFFSET('[1]para grafico de camas'!$A$10,'[1]para grafico de camas'!$E$3-1,0)</definedName>
    <definedName name="imagen350">OFFSET('[1]para grafico de camas'!$A$10,'[1]para grafico de camas'!$F$3-1,0)</definedName>
    <definedName name="imagen360">OFFSET('[1]para grafico de camas'!$A$10,'[1]para grafico de camas'!$G$3-1,0)</definedName>
    <definedName name="imagen370">OFFSET('[1]para grafico de camas'!$A$10,'[1]para grafico de camas'!$H$3-1,0)</definedName>
    <definedName name="imagen380">OFFSET('[1]para grafico de camas'!$A$10,'[1]para grafico de camas'!$I$3-1,0)</definedName>
    <definedName name="imagen390">OFFSET('[1]para grafico de camas'!$A$10,'[1]para grafico de camas'!$J$3-1,0)</definedName>
    <definedName name="imagen400">OFFSET('[1]para grafico de camas'!$A$10,'[1]para grafico de camas'!$K$4-1,0)</definedName>
    <definedName name="imagen410">OFFSET('[1]para grafico de camas'!$A$10,'[1]para grafico de camas'!$B$4-1,0)</definedName>
    <definedName name="imagen420">OFFSET('[1]para grafico de camas'!$A$10,'[1]para grafico de camas'!$C$4-1,0)</definedName>
    <definedName name="imagen430">OFFSET('[1]para grafico de camas'!$A$10,'[1]para grafico de camas'!$D$4-1,0)</definedName>
    <definedName name="imagen440">OFFSET('[1]para grafico de camas'!$A$10,'[1]para grafico de camas'!$E$4-1,0)</definedName>
    <definedName name="imagen450">OFFSET('[1]para grafico de camas'!$A$10,'[1]para grafico de camas'!$F$4-1,0)</definedName>
    <definedName name="imagen460">OFFSET('[1]para grafico de camas'!$A$10,'[1]para grafico de camas'!$G$4-1,0)</definedName>
    <definedName name="imagen470">OFFSET('[1]para grafico de camas'!$A$10,'[1]para grafico de camas'!$H$4-1,0)</definedName>
    <definedName name="imagen480">OFFSET('[1]para grafico de camas'!$A$10,'[1]para grafico de camas'!$I$4-1,0)</definedName>
    <definedName name="imagen490">OFFSET('[1]para grafico de camas'!$A$10,'[1]para grafico de camas'!$J$4-1,0)</definedName>
    <definedName name="imagen500">OFFSET('[1]para grafico de camas'!$A$10,'[1]para grafico de camas'!$K$5-1,0)</definedName>
    <definedName name="imagen510">OFFSET('[1]para grafico de camas'!$A$10,'[1]para grafico de camas'!$B$5-1,0)</definedName>
    <definedName name="imagen520">OFFSET('[1]para grafico de camas'!$A$10,'[1]para grafico de camas'!$C$5-1,0)</definedName>
    <definedName name="imagen530">OFFSET('[1]para grafico de camas'!$A$10,'[1]para grafico de camas'!$D$5-1,0)</definedName>
    <definedName name="imagen540">OFFSET('[1]para grafico de camas'!$A$10,'[1]para grafico de camas'!$E$5-1,0)</definedName>
    <definedName name="imagen550">OFFSET('[1]para grafico de camas'!$A$10,'[1]para grafico de camas'!$F$5-1,0)</definedName>
    <definedName name="imagen560">OFFSET('[1]para grafico de camas'!$A$10,'[1]para grafico de camas'!$G$5-1,0)</definedName>
    <definedName name="imagen570">OFFSET('[1]para grafico de camas'!$A$10,'[1]para grafico de camas'!$H$5-1,0)</definedName>
    <definedName name="imagen580">OFFSET('[1]para grafico de camas'!$A$10,'[1]para grafico de camas'!$I$5-1,0)</definedName>
    <definedName name="imagen590">OFFSET('[1]para grafico de camas'!$A$10,'[1]para grafico de camas'!$J$5-1,0)</definedName>
    <definedName name="imagen600">OFFSET('[1]para grafico de camas'!$A$10,'[1]para grafico de camas'!$K$6-1,0)</definedName>
    <definedName name="imagen610">OFFSET('[1]para grafico de camas'!$A$10,'[1]para grafico de camas'!$B$6-1,0)</definedName>
    <definedName name="imagen620">OFFSET('[1]para grafico de camas'!$A$10,'[1]para grafico de camas'!$C$6-1,0)</definedName>
    <definedName name="imagen630">OFFSET('[1]para grafico de camas'!$A$10,'[1]para grafico de camas'!$D$6-1,0)</definedName>
    <definedName name="imagen640">OFFSET('[1]para grafico de camas'!$A$10,'[1]para grafico de camas'!$E$6-1,0)</definedName>
    <definedName name="imagen650">OFFSET('[1]para grafico de camas'!$A$10,'[1]para grafico de camas'!$F$6-1,0)</definedName>
    <definedName name="imagen660">OFFSET('[1]para grafico de camas'!$A$10,'[1]para grafico de camas'!$G$6-1,0)</definedName>
    <definedName name="imagen670">OFFSET('[1]para grafico de camas'!$A$10,'[1]para grafico de camas'!$H$6-1,0)</definedName>
    <definedName name="imagen680">OFFSET('[1]para grafico de camas'!$A$10,'[1]para grafico de camas'!$I$6-1,0)</definedName>
    <definedName name="imagen690">OFFSET('[1]para grafico de camas'!$A$10,'[1]para grafico de camas'!$J$6-1,0)</definedName>
    <definedName name="Print_Area" localSheetId="0">'Ind turísticos invierno'!$C$1:$M$314</definedName>
    <definedName name="Z_B161D6A3_44F3_469D_B50D_76D907B3525C_.wvu.Cols" localSheetId="0" hidden="1">'Ind turísticos invierno'!#REF!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4" i="1" l="1"/>
  <c r="H272" i="1"/>
  <c r="Q232" i="1" l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Q222" i="1"/>
  <c r="P222" i="1"/>
  <c r="O222" i="1"/>
  <c r="N222" i="1"/>
  <c r="M222" i="1"/>
  <c r="K222" i="1"/>
  <c r="J222" i="1"/>
  <c r="I222" i="1"/>
  <c r="H222" i="1"/>
  <c r="G222" i="1"/>
  <c r="F222" i="1"/>
  <c r="E222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Q194" i="1"/>
  <c r="P194" i="1"/>
  <c r="O194" i="1"/>
  <c r="N194" i="1"/>
  <c r="M194" i="1"/>
  <c r="K194" i="1"/>
  <c r="J194" i="1"/>
  <c r="I194" i="1"/>
  <c r="H194" i="1"/>
  <c r="G194" i="1"/>
  <c r="F194" i="1"/>
  <c r="E194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79" i="1"/>
  <c r="M58" i="1"/>
  <c r="L58" i="1"/>
  <c r="K58" i="1"/>
  <c r="J58" i="1"/>
  <c r="I58" i="1"/>
  <c r="G58" i="1"/>
  <c r="F58" i="1"/>
  <c r="E58" i="1"/>
  <c r="D58" i="1"/>
  <c r="C58" i="1"/>
  <c r="C56" i="1"/>
  <c r="C207" i="1"/>
  <c r="G112" i="1"/>
  <c r="H302" i="1" l="1"/>
  <c r="H297" i="1"/>
  <c r="H301" i="1"/>
  <c r="H300" i="1"/>
  <c r="H292" i="1"/>
  <c r="H295" i="1"/>
  <c r="H303" i="1"/>
  <c r="E234" i="1"/>
  <c r="E287" i="1" s="1"/>
  <c r="E176" i="1"/>
  <c r="E109" i="1"/>
  <c r="I56" i="1"/>
  <c r="G144" i="1"/>
</calcChain>
</file>

<file path=xl/sharedStrings.xml><?xml version="1.0" encoding="utf-8"?>
<sst xmlns="http://schemas.openxmlformats.org/spreadsheetml/2006/main" count="568" uniqueCount="117">
  <si>
    <t>Ámbito</t>
  </si>
  <si>
    <t>Variable</t>
  </si>
  <si>
    <t>Valor absoluto
mensual</t>
  </si>
  <si>
    <t>Variación respecto al período anterior</t>
  </si>
  <si>
    <t>Valor absoluto
acumulado</t>
  </si>
  <si>
    <t>Fuente</t>
  </si>
  <si>
    <t>TURISTAS ALOJADOS</t>
  </si>
  <si>
    <t>TENERIFE</t>
  </si>
  <si>
    <t>Total</t>
  </si>
  <si>
    <t>Desarrollo Económico - Cabildo de Tenerife</t>
  </si>
  <si>
    <t>Hotelero</t>
  </si>
  <si>
    <t>Extrahotelero</t>
  </si>
  <si>
    <t>ZONA 1
Santa Cruz</t>
  </si>
  <si>
    <t>ZONA 2
La Laguna-Bajamar-La Punta</t>
  </si>
  <si>
    <t>ZONA 3
Norte</t>
  </si>
  <si>
    <t>ZONA 4
Sur</t>
  </si>
  <si>
    <t>PERNOCTACIONES</t>
  </si>
  <si>
    <t>ESTANCIAS MEDIAS</t>
  </si>
  <si>
    <t>INDICES DE OCUPACIÓN</t>
  </si>
  <si>
    <t>TURISTAS ALOJADOS POR CATEGORÍAS ALOJATIVAS</t>
  </si>
  <si>
    <t>5*</t>
  </si>
  <si>
    <t>4*</t>
  </si>
  <si>
    <t>3*</t>
  </si>
  <si>
    <t>2*</t>
  </si>
  <si>
    <t>1*</t>
  </si>
  <si>
    <t>PERNOCTACIONES POR CATEGORÍAS ALOJATIVAS</t>
  </si>
  <si>
    <t>STDE Cabildo de Tenerife</t>
  </si>
  <si>
    <t>ESTANCIAS MEDIAS POR CATEGORÍAS ALOJATIVAS</t>
  </si>
  <si>
    <t>ÍNDICES DE OCUPACIÓN POR CATEGORÍAS ALOJATIVAS</t>
  </si>
  <si>
    <t>Nº DE TURISTAS ALOJADOS POR  NACIONALIDAD Y VARIACIÓN DE LA AFLUENCIA  
RESPECTO AL AÑO ANTERIOR SEGÚN  ZONAS</t>
  </si>
  <si>
    <t>ZONA 1 Santa Cruz</t>
  </si>
  <si>
    <t>ZONA 2 La Laguna-Bajamar-La Punta</t>
  </si>
  <si>
    <t>ZONA 3 Norte</t>
  </si>
  <si>
    <t>ZONA 4 Sur</t>
  </si>
  <si>
    <t>Alojados
mes</t>
  </si>
  <si>
    <t>var
interanual</t>
  </si>
  <si>
    <t>España</t>
  </si>
  <si>
    <t>Res. Tenerife</t>
  </si>
  <si>
    <t>-</t>
  </si>
  <si>
    <t>Res. Otras Islas canarias</t>
  </si>
  <si>
    <t>Res. Península</t>
  </si>
  <si>
    <t>Holanda</t>
  </si>
  <si>
    <t>Bélgica</t>
  </si>
  <si>
    <t>Alemania</t>
  </si>
  <si>
    <t>Francia</t>
  </si>
  <si>
    <t>Reino Unido</t>
  </si>
  <si>
    <t>Irlanda</t>
  </si>
  <si>
    <t>Italia</t>
  </si>
  <si>
    <t>Países Nórdicos</t>
  </si>
  <si>
    <t>Suecia</t>
  </si>
  <si>
    <t>Noruega</t>
  </si>
  <si>
    <t>Dinamarca</t>
  </si>
  <si>
    <t>Finlandia</t>
  </si>
  <si>
    <t>Suiza</t>
  </si>
  <si>
    <t>Austria</t>
  </si>
  <si>
    <t>Rusia</t>
  </si>
  <si>
    <t>Países del Este</t>
  </si>
  <si>
    <t>Resto de Europa</t>
  </si>
  <si>
    <t>Usa</t>
  </si>
  <si>
    <t>Resto de América</t>
  </si>
  <si>
    <t>Resto del Mundo</t>
  </si>
  <si>
    <t>Total Extranjero</t>
  </si>
  <si>
    <t>Alojados
acumulado</t>
  </si>
  <si>
    <t>total hotelero</t>
  </si>
  <si>
    <t>extrahotelero</t>
  </si>
  <si>
    <t>var
periodo acumulado</t>
  </si>
  <si>
    <t>Alojados
periodo acumulado</t>
  </si>
  <si>
    <t>CUOTAS DE NACIONALIDAD TOTAL Y POR ZONAS, PARA EL MES ACTUAL Y ACUMULADO ANUAL</t>
  </si>
  <si>
    <t>Cuota mes</t>
  </si>
  <si>
    <t>Cuota periodo acumulado</t>
  </si>
  <si>
    <t>Res. 
Tenerife</t>
  </si>
  <si>
    <t xml:space="preserve">GASTO TURÍSTICO </t>
  </si>
  <si>
    <t>Gasto por turista</t>
  </si>
  <si>
    <t>total</t>
  </si>
  <si>
    <t>en origen</t>
  </si>
  <si>
    <t>en destino</t>
  </si>
  <si>
    <t>Gasto por turista y día</t>
  </si>
  <si>
    <t>PLAZAS ALOJATIVAS AUTORIZADAS A FECHA DEL PERÍODO ANALIZADO</t>
  </si>
  <si>
    <t xml:space="preserve">Policía Turística Cabildo de Tenerife
</t>
  </si>
  <si>
    <t>Hotelera</t>
  </si>
  <si>
    <t>Apartamentos</t>
  </si>
  <si>
    <t>Vivienda vacacional</t>
  </si>
  <si>
    <t>Hoteles Rurales</t>
  </si>
  <si>
    <t>Casas Rurales</t>
  </si>
  <si>
    <t>,</t>
  </si>
  <si>
    <t>PLAZAS ALOJATIVAS ESTIMADAS (no deben ser tomadas como cifra de plazas autorizadas)</t>
  </si>
  <si>
    <t>Hoteleras</t>
  </si>
  <si>
    <t>Extrahoteleras</t>
  </si>
  <si>
    <t>PASAJEROS DE CRUCEROS - PUERTO DE SANTA CRUZ DE TENERIFE</t>
  </si>
  <si>
    <t>PUERTO DE SANTA CRUZ DE TENERIFE</t>
  </si>
  <si>
    <t>Pasajeros Cruceros</t>
  </si>
  <si>
    <t>Nº Buques Cruceros</t>
  </si>
  <si>
    <t>Turismo de Tenerife - Investigación Turística</t>
  </si>
  <si>
    <t>INDICADORES TURÍSTICOS DE TENERIFE definitivo</t>
  </si>
  <si>
    <t>marzo 2019</t>
  </si>
  <si>
    <t>Muestra hotelera= 93,0%;   Muestra extrahotelera= 58,5%;   Muestra total= 77,8%</t>
  </si>
  <si>
    <t>El número de plazas autorizadas por Policía Turística a fecha de marzo 2019 asciendían a 154.325 plazas, registrando un incremento del 2,1% respecto al cierre del año 2018.</t>
  </si>
  <si>
    <t>Las plazas hoteleras autorizadas ascienden a 88.529 y representan el 57% del total. Con respecto al año 2018, las plazas hoteleras se incrementan un 1,1%.</t>
  </si>
  <si>
    <t>Las plazas extrahoteleras autorizadas, el 32% del total, ascienden a  48.741 (no incluye oferta rural). Aumentan un +0,1% respecto al cierre de 2018.</t>
  </si>
  <si>
    <t>Las plazas de vivienda vacacional autorizadas, el 10% del total, ascienden a  15.556 plazas. Aumentan un +15,8% respecto al cierre de 2018.</t>
  </si>
  <si>
    <t>Las plazas de hoteles rurales autorizadas por Policía Turística ascienden a 527, con un descenso del -5,4% respecto a 2018.</t>
  </si>
  <si>
    <t>Las plazas de casas rurales autorizadas por Policía Turística ascienden a 972, registrando un incremento del 0,0% respecto a 2018.</t>
  </si>
  <si>
    <t>Las plazas estimadas por el STDE del Cabildo de Tenerife en el I semestre de 2019 ascienden a 176.060. Se incremantan un 7,1% respecto al mismo período del año anterior.</t>
  </si>
  <si>
    <t>La oferta extrahotelera estimada por el STDE del Cabildo de Tenerife en el I semestre de 2019, asciende a 78.505 plazas, incluyendo oferta rural. Supone el 44,6% del total de las plazas turísticas, registrando un incremento del 12,4%.</t>
  </si>
  <si>
    <t>Las plazas estimadas para la zona de La Laguna, Bajamar, La Punta ascienden a 2.346 en el I semestre de 2019, registrando un incremento respecto al mismo periodo del año anterior del 49,3%.</t>
  </si>
  <si>
    <t>Las plazas extrahoteleras se estiman en 1.500, registrándose un incremento del 100,8% respecto al I semestre del año anterior.</t>
  </si>
  <si>
    <t>Las plazas totales estimadas para la zona Norte se sitúan en las 31.577 plazas,  registrándose un incremento del 7,0% con respecto al incremento del 100,8% respecto al I semestre del año anterior.</t>
  </si>
  <si>
    <t>Las plazas extrahoteleras estimadas se sitúan en las 63.909 en el I semestre del  2019, con un incremento del 9,1%  respecto al I semestre del año anterior.</t>
  </si>
  <si>
    <t>Por el Puerto de Santa Cruz de Tenerife han pasado en los primeros dos meses del año 2019, 175.940 cruceristas, un -0,2% menos en comparación al mismo período del año 2018</t>
  </si>
  <si>
    <t>El número de buques de crucero en el Puerto de Santa Cruz de Tenerife hasta febrero 2019 ascienden a un total de 60 cruceros, cifra que se reduce un -22,1% respecto al mismo período del año anterior.</t>
  </si>
  <si>
    <t>Acumulado febrero 2019
FUENTE: Autoridad Portuaria de S/C de Tenerife</t>
  </si>
  <si>
    <t>Invierno 18/19 (nov-mar)</t>
  </si>
  <si>
    <t>El gasto medio total por turista en el año ha ascendido a 1.119€. Desciende un -6,6% respecto al mismo periodo del año anterior.</t>
  </si>
  <si>
    <t>I trimestre 2019
Encuesta sobre el turista que visita Tenerife, Cabildo de Tenerife</t>
  </si>
  <si>
    <t>El gasto medio por turista en origen se situó en 714€, un 12,2,0% menos que en el I trimestre 2018.</t>
  </si>
  <si>
    <t>El gasto total diario por turista se situó en 121€, un -2% menos que en el I trimestre 2018.</t>
  </si>
  <si>
    <t>El gasto medio en Tenerife, por turista y día  fue de 44€, experimentando un incremento del 9,4% respecto a al I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</si>
</sst>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1" x14ac:knownFonts="1">
    <font>
      <sz val="10"/>
      <name val="Arial"/>
      <family val="2"/>
    </font>
    <font>
      <sz val="10"/>
      <name val="Arial"/>
      <family val="2"/>
    </font>
    <font>
      <sz val="10"/>
      <color theme="1" tint="0.499984740745262"/>
      <name val="Arial"/>
      <family val="2"/>
    </font>
    <font>
      <b/>
      <sz val="18"/>
      <color theme="0"/>
      <name val="Arial"/>
      <family val="2"/>
    </font>
    <font>
      <b/>
      <sz val="18"/>
      <color theme="1" tint="0.499984740745262"/>
      <name val="Arial"/>
      <family val="2"/>
    </font>
    <font>
      <sz val="12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14"/>
      <color theme="9" tint="-0.249977111117893"/>
      <name val="Arial"/>
      <family val="2"/>
    </font>
    <font>
      <b/>
      <sz val="11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14"/>
      <color theme="1" tint="0.499984740745262"/>
      <name val="Arial"/>
      <family val="2"/>
    </font>
    <font>
      <b/>
      <sz val="10"/>
      <color theme="1" tint="0.34998626667073579"/>
      <name val="Arial"/>
      <family val="2"/>
    </font>
    <font>
      <sz val="11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b/>
      <sz val="16"/>
      <color theme="9" tint="-0.249977111117893"/>
      <name val="Arial"/>
      <family val="2"/>
    </font>
    <font>
      <b/>
      <sz val="9"/>
      <color theme="1" tint="0.499984740745262"/>
      <name val="Arial"/>
      <family val="2"/>
    </font>
    <font>
      <sz val="8"/>
      <color theme="1" tint="0.499984740745262"/>
      <name val="Arial"/>
      <family val="2"/>
    </font>
    <font>
      <i/>
      <sz val="9"/>
      <color theme="1" tint="0.499984740745262"/>
      <name val="Arial"/>
      <family val="2"/>
    </font>
    <font>
      <b/>
      <sz val="8"/>
      <color theme="1" tint="0.499984740745262"/>
      <name val="Arial"/>
      <family val="2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0">
    <border>
      <left/>
      <right/>
      <top/>
      <bottom/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theme="0" tint="-0.24994659260841701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theme="0" tint="-0.24994659260841701"/>
      </left>
      <right style="medium">
        <color indexed="9"/>
      </right>
      <top/>
      <bottom/>
      <diagonal/>
    </border>
    <border>
      <left style="medium">
        <color indexed="9"/>
      </left>
      <right/>
      <top style="medium">
        <color theme="9"/>
      </top>
      <bottom style="medium">
        <color theme="9"/>
      </bottom>
      <diagonal/>
    </border>
    <border>
      <left/>
      <right style="medium">
        <color indexed="9"/>
      </right>
      <top style="medium">
        <color theme="9"/>
      </top>
      <bottom style="medium">
        <color theme="9"/>
      </bottom>
      <diagonal/>
    </border>
    <border>
      <left style="medium">
        <color theme="0" tint="-0.24994659260841701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/>
      <bottom style="thin">
        <color theme="0" tint="-4.9989318521683403E-2"/>
      </bottom>
      <diagonal/>
    </border>
    <border>
      <left/>
      <right/>
      <top style="medium">
        <color theme="0" tint="-4.9989318521683403E-2"/>
      </top>
      <bottom/>
      <diagonal/>
    </border>
    <border>
      <left style="medium">
        <color theme="0" tint="-0.24994659260841701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medium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0.24994659260841701"/>
      </left>
      <right/>
      <top/>
      <bottom style="medium">
        <color theme="0" tint="-4.9989318521683403E-2"/>
      </bottom>
      <diagonal/>
    </border>
    <border>
      <left/>
      <right style="thin">
        <color theme="0" tint="-4.9989318521683403E-2"/>
      </right>
      <top/>
      <bottom style="medium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indexed="9"/>
      </left>
      <right/>
      <top style="medium">
        <color theme="0" tint="-0.24994659260841701"/>
      </top>
      <bottom style="medium">
        <color indexed="9"/>
      </bottom>
      <diagonal/>
    </border>
    <border>
      <left/>
      <right/>
      <top style="medium">
        <color theme="0" tint="-0.24994659260841701"/>
      </top>
      <bottom style="medium">
        <color indexed="9"/>
      </bottom>
      <diagonal/>
    </border>
    <border>
      <left/>
      <right style="medium">
        <color indexed="9"/>
      </right>
      <top style="medium">
        <color theme="0" tint="-0.24994659260841701"/>
      </top>
      <bottom style="medium">
        <color indexed="9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indexed="9"/>
      </right>
      <top style="medium">
        <color theme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theme="0" tint="-0.24994659260841701"/>
      </left>
      <right/>
      <top style="medium">
        <color theme="9"/>
      </top>
      <bottom/>
      <diagonal/>
    </border>
    <border>
      <left/>
      <right style="medium">
        <color theme="0" tint="-0.24994659260841701"/>
      </right>
      <top style="medium">
        <color theme="9"/>
      </top>
      <bottom/>
      <diagonal/>
    </border>
    <border>
      <left style="thick">
        <color theme="0" tint="-0.14990691854609822"/>
      </left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14996795556505021"/>
      </left>
      <right style="medium">
        <color rgb="FFECECEC"/>
      </right>
      <top style="thick">
        <color theme="0" tint="-0.14996795556505021"/>
      </top>
      <bottom style="medium">
        <color rgb="FFECECEC"/>
      </bottom>
      <diagonal/>
    </border>
    <border>
      <left style="medium">
        <color rgb="FFECECEC"/>
      </left>
      <right style="thick">
        <color theme="0" tint="-0.14996795556505021"/>
      </right>
      <top style="thick">
        <color theme="0" tint="-0.14996795556505021"/>
      </top>
      <bottom style="medium">
        <color rgb="FFECECEC"/>
      </bottom>
      <diagonal/>
    </border>
    <border>
      <left style="thick">
        <color theme="0" tint="-0.14990691854609822"/>
      </left>
      <right style="thick">
        <color theme="0" tint="-0.14996795556505021"/>
      </right>
      <top/>
      <bottom style="medium">
        <color theme="0" tint="-0.24994659260841701"/>
      </bottom>
      <diagonal/>
    </border>
    <border>
      <left style="thick">
        <color theme="0" tint="-0.14996795556505021"/>
      </left>
      <right style="medium">
        <color rgb="FFECECEC"/>
      </right>
      <top style="medium">
        <color rgb="FFECECEC"/>
      </top>
      <bottom/>
      <diagonal/>
    </border>
    <border>
      <left style="medium">
        <color rgb="FFECECEC"/>
      </left>
      <right style="thick">
        <color theme="0" tint="-0.14996795556505021"/>
      </right>
      <top style="medium">
        <color rgb="FFECECEC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theme="0" tint="-0.14990691854609822"/>
      </left>
      <right/>
      <top/>
      <bottom style="medium">
        <color indexed="9"/>
      </bottom>
      <diagonal/>
    </border>
    <border>
      <left style="medium">
        <color theme="0" tint="-0.24994659260841701"/>
      </left>
      <right/>
      <top/>
      <bottom style="thin">
        <color theme="0" tint="-4.9989318521683403E-2"/>
      </bottom>
      <diagonal/>
    </border>
    <border>
      <left/>
      <right style="medium">
        <color theme="0" tint="-0.24994659260841701"/>
      </right>
      <top/>
      <bottom style="thin">
        <color theme="0" tint="-4.9989318521683403E-2"/>
      </bottom>
      <diagonal/>
    </border>
    <border>
      <left style="thick">
        <color theme="0" tint="-0.14990691854609822"/>
      </left>
      <right/>
      <top style="medium">
        <color indexed="9"/>
      </top>
      <bottom style="medium">
        <color indexed="9"/>
      </bottom>
      <diagonal/>
    </border>
    <border>
      <left style="medium">
        <color theme="0" tint="-0.24994659260841701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/>
      <top style="thin">
        <color theme="0" tint="-4.9989318521683403E-2"/>
      </top>
      <bottom/>
      <diagonal/>
    </border>
    <border>
      <left/>
      <right style="medium">
        <color theme="0" tint="-0.24994659260841701"/>
      </right>
      <top style="thin">
        <color theme="0" tint="-4.9989318521683403E-2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thick">
        <color theme="0" tint="-0.14993743705557422"/>
      </top>
      <bottom/>
      <diagonal/>
    </border>
    <border>
      <left/>
      <right style="medium">
        <color theme="0" tint="-0.24994659260841701"/>
      </right>
      <top style="thick">
        <color theme="0" tint="-0.14993743705557422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 style="medium">
        <color theme="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9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theme="9"/>
      </top>
      <bottom/>
      <diagonal/>
    </border>
    <border>
      <left style="medium">
        <color rgb="FFECECEC"/>
      </left>
      <right style="thick">
        <color theme="0" tint="-0.14990691854609822"/>
      </right>
      <top style="thick">
        <color theme="0" tint="-0.14996795556505021"/>
      </top>
      <bottom style="medium">
        <color rgb="FFECECEC"/>
      </bottom>
      <diagonal/>
    </border>
    <border>
      <left style="thick">
        <color theme="0" tint="-0.14996795556505021"/>
      </left>
      <right style="medium">
        <color rgb="FFECECEC"/>
      </right>
      <top style="medium">
        <color rgb="FFECECEC"/>
      </top>
      <bottom style="thick">
        <color theme="0" tint="-0.14996795556505021"/>
      </bottom>
      <diagonal/>
    </border>
    <border>
      <left style="medium">
        <color rgb="FFECECEC"/>
      </left>
      <right style="thick">
        <color theme="0" tint="-0.14996795556505021"/>
      </right>
      <top style="medium">
        <color rgb="FFECECEC"/>
      </top>
      <bottom style="thick">
        <color theme="0" tint="-0.14996795556505021"/>
      </bottom>
      <diagonal/>
    </border>
    <border>
      <left style="medium">
        <color rgb="FFECECEC"/>
      </left>
      <right style="thick">
        <color theme="0" tint="-0.14990691854609822"/>
      </right>
      <top style="medium">
        <color rgb="FFECECEC"/>
      </top>
      <bottom style="thick">
        <color theme="0" tint="-0.14996795556505021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indexed="9"/>
      </top>
      <bottom style="medium">
        <color indexed="9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indexed="9"/>
      </top>
      <bottom style="medium">
        <color indexed="9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indexed="9"/>
      </top>
      <bottom style="medium">
        <color indexed="9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theme="0" tint="-0.24994659260841701"/>
      </top>
      <bottom style="medium">
        <color theme="9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0.24994659260841701"/>
      </top>
      <bottom style="medium">
        <color theme="9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theme="0" tint="-0.24994659260841701"/>
      </top>
      <bottom style="medium">
        <color theme="9"/>
      </bottom>
      <diagonal/>
    </border>
    <border>
      <left style="thick">
        <color theme="0" tint="-0.14990691854609822"/>
      </left>
      <right style="thick">
        <color theme="0" tint="-4.9989318521683403E-2"/>
      </right>
      <top/>
      <bottom/>
      <diagonal/>
    </border>
    <border>
      <left style="thick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/>
      <top/>
      <bottom/>
      <diagonal/>
    </border>
    <border>
      <left/>
      <right style="thick">
        <color theme="0" tint="-4.9989318521683403E-2"/>
      </right>
      <top/>
      <bottom/>
      <diagonal/>
    </border>
    <border>
      <left/>
      <right style="thick">
        <color theme="0" tint="-0.1499069185460982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/>
      <right/>
      <top/>
      <bottom style="medium">
        <color indexed="9"/>
      </bottom>
      <diagonal/>
    </border>
    <border>
      <left style="thick">
        <color theme="0" tint="-0.14990691854609822"/>
      </left>
      <right/>
      <top/>
      <bottom/>
      <diagonal/>
    </border>
    <border>
      <left style="thick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/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hair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hair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thick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thin">
        <color theme="0" tint="-4.9989318521683403E-2"/>
      </left>
      <right/>
      <top/>
      <bottom style="thick">
        <color theme="0" tint="-4.9989318521683403E-2"/>
      </bottom>
      <diagonal/>
    </border>
    <border>
      <left/>
      <right/>
      <top/>
      <bottom style="thick">
        <color theme="0" tint="-4.9989318521683403E-2"/>
      </bottom>
      <diagonal/>
    </border>
    <border>
      <left/>
      <right style="thick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thick">
        <color theme="0" tint="-0.14990691854609822"/>
      </left>
      <right style="medium">
        <color theme="0" tint="-4.9989318521683403E-2"/>
      </right>
      <top style="thick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 style="medium">
        <color theme="9"/>
      </bottom>
      <diagonal/>
    </border>
    <border>
      <left style="medium">
        <color theme="0" tint="-4.9989318521683403E-2"/>
      </left>
      <right/>
      <top/>
      <bottom style="medium">
        <color theme="9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medium">
        <color theme="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medium">
        <color theme="9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medium">
        <color theme="9"/>
      </bottom>
      <diagonal/>
    </border>
    <border>
      <left/>
      <right style="thick">
        <color theme="0" tint="-0.14990691854609822"/>
      </right>
      <top/>
      <bottom style="medium">
        <color theme="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94">
    <xf numFmtId="0" fontId="0" fillId="0" borderId="0" xfId="0"/>
    <xf numFmtId="0" fontId="2" fillId="2" borderId="1" xfId="0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5" fillId="3" borderId="2" xfId="0" applyFont="1" applyFill="1" applyBorder="1" applyAlignment="1" applyProtection="1">
      <alignment vertical="center" wrapText="1"/>
      <protection hidden="1"/>
    </xf>
    <xf numFmtId="0" fontId="5" fillId="3" borderId="3" xfId="0" applyFont="1" applyFill="1" applyBorder="1" applyAlignment="1" applyProtection="1">
      <alignment vertical="center" wrapText="1"/>
      <protection hidden="1"/>
    </xf>
    <xf numFmtId="0" fontId="2" fillId="0" borderId="4" xfId="0" applyFont="1" applyBorder="1" applyAlignment="1" applyProtection="1">
      <alignment vertical="center" wrapText="1"/>
      <protection hidden="1"/>
    </xf>
    <xf numFmtId="17" fontId="6" fillId="0" borderId="0" xfId="0" applyNumberFormat="1" applyFont="1" applyAlignment="1" applyProtection="1">
      <alignment horizontal="center" vertical="center" wrapText="1"/>
      <protection hidden="1"/>
    </xf>
    <xf numFmtId="17" fontId="6" fillId="0" borderId="5" xfId="0" applyNumberFormat="1" applyFont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vertical="center" wrapText="1"/>
      <protection hidden="1"/>
    </xf>
    <xf numFmtId="17" fontId="6" fillId="0" borderId="4" xfId="0" applyNumberFormat="1" applyFont="1" applyBorder="1" applyAlignment="1" applyProtection="1">
      <alignment horizontal="center" vertical="center" wrapText="1"/>
      <protection hidden="1"/>
    </xf>
    <xf numFmtId="17" fontId="6" fillId="0" borderId="7" xfId="0" applyNumberFormat="1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2" fillId="0" borderId="9" xfId="0" applyFont="1" applyBorder="1" applyAlignment="1" applyProtection="1">
      <alignment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6" fillId="4" borderId="0" xfId="0" applyFont="1" applyFill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3" fontId="9" fillId="5" borderId="15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6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17" xfId="0" applyFont="1" applyFill="1" applyBorder="1" applyAlignment="1" applyProtection="1">
      <alignment vertical="center" wrapText="1"/>
      <protection hidden="1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3" fontId="9" fillId="5" borderId="19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0" xfId="1" applyNumberFormat="1" applyFont="1" applyFill="1" applyBorder="1" applyAlignment="1" applyProtection="1">
      <alignment horizontal="center" vertical="center" wrapText="1"/>
      <protection hidden="1"/>
    </xf>
    <xf numFmtId="0" fontId="8" fillId="5" borderId="22" xfId="0" applyFont="1" applyFill="1" applyBorder="1" applyAlignment="1" applyProtection="1">
      <alignment horizontal="center" vertical="center" wrapText="1"/>
      <protection hidden="1"/>
    </xf>
    <xf numFmtId="3" fontId="9" fillId="5" borderId="22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3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Alignment="1" applyProtection="1">
      <alignment vertical="center" wrapText="1"/>
      <protection hidden="1"/>
    </xf>
    <xf numFmtId="164" fontId="10" fillId="6" borderId="24" xfId="1" applyNumberFormat="1" applyFont="1" applyFill="1" applyBorder="1" applyAlignment="1" applyProtection="1">
      <alignment horizontal="center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hidden="1"/>
    </xf>
    <xf numFmtId="0" fontId="8" fillId="5" borderId="28" xfId="0" applyFont="1" applyFill="1" applyBorder="1" applyAlignment="1" applyProtection="1">
      <alignment horizontal="center" vertical="center" wrapText="1"/>
      <protection hidden="1"/>
    </xf>
    <xf numFmtId="3" fontId="9" fillId="5" borderId="28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8" xfId="0" applyFont="1" applyBorder="1" applyAlignment="1" applyProtection="1">
      <alignment horizontal="center" vertical="center" wrapText="1"/>
      <protection hidden="1"/>
    </xf>
    <xf numFmtId="3" fontId="10" fillId="0" borderId="28" xfId="0" applyNumberFormat="1" applyFont="1" applyBorder="1" applyAlignment="1" applyProtection="1">
      <alignment horizontal="center" vertical="center" wrapText="1"/>
      <protection hidden="1"/>
    </xf>
    <xf numFmtId="164" fontId="10" fillId="6" borderId="32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vertical="center" wrapText="1"/>
      <protection hidden="1"/>
    </xf>
    <xf numFmtId="0" fontId="12" fillId="0" borderId="18" xfId="0" applyFont="1" applyBorder="1" applyAlignment="1" applyProtection="1">
      <alignment horizontal="center" vertical="center" wrapText="1"/>
      <protection hidden="1"/>
    </xf>
    <xf numFmtId="0" fontId="12" fillId="7" borderId="19" xfId="0" applyFont="1" applyFill="1" applyBorder="1" applyAlignment="1" applyProtection="1">
      <alignment horizontal="center" vertical="center" wrapText="1"/>
      <protection hidden="1"/>
    </xf>
    <xf numFmtId="3" fontId="10" fillId="7" borderId="19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33" xfId="1" applyNumberFormat="1" applyFont="1" applyFill="1" applyBorder="1" applyAlignment="1" applyProtection="1">
      <alignment horizontal="center" vertical="center" wrapText="1"/>
      <protection hidden="1"/>
    </xf>
    <xf numFmtId="0" fontId="12" fillId="7" borderId="22" xfId="0" applyFont="1" applyFill="1" applyBorder="1" applyAlignment="1" applyProtection="1">
      <alignment horizontal="center" vertical="center" wrapText="1"/>
      <protection hidden="1"/>
    </xf>
    <xf numFmtId="3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28" xfId="0" applyFont="1" applyFill="1" applyBorder="1" applyAlignment="1" applyProtection="1">
      <alignment horizontal="center" vertical="center" wrapText="1"/>
      <protection hidden="1"/>
    </xf>
    <xf numFmtId="3" fontId="10" fillId="7" borderId="28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3" fontId="10" fillId="0" borderId="19" xfId="0" applyNumberFormat="1" applyFont="1" applyBorder="1" applyAlignment="1" applyProtection="1">
      <alignment horizontal="center" vertical="center" wrapText="1"/>
      <protection hidden="1"/>
    </xf>
    <xf numFmtId="0" fontId="12" fillId="0" borderId="22" xfId="0" applyFont="1" applyBorder="1" applyAlignment="1" applyProtection="1">
      <alignment horizontal="center" vertical="center" wrapText="1"/>
      <protection hidden="1"/>
    </xf>
    <xf numFmtId="3" fontId="10" fillId="0" borderId="22" xfId="0" applyNumberFormat="1" applyFont="1" applyBorder="1" applyAlignment="1" applyProtection="1">
      <alignment horizontal="center" vertical="center" wrapText="1"/>
      <protection hidden="1"/>
    </xf>
    <xf numFmtId="0" fontId="12" fillId="6" borderId="19" xfId="0" applyFont="1" applyFill="1" applyBorder="1" applyAlignment="1" applyProtection="1">
      <alignment horizontal="center" vertical="center" wrapText="1"/>
      <protection hidden="1"/>
    </xf>
    <xf numFmtId="3" fontId="10" fillId="6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22" xfId="0" applyFont="1" applyFill="1" applyBorder="1" applyAlignment="1" applyProtection="1">
      <alignment horizontal="center" vertical="center" wrapText="1"/>
      <protection hidden="1"/>
    </xf>
    <xf numFmtId="3" fontId="10" fillId="6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28" xfId="0" applyFont="1" applyFill="1" applyBorder="1" applyAlignment="1" applyProtection="1">
      <alignment horizontal="center" vertical="center" wrapText="1"/>
      <protection hidden="1"/>
    </xf>
    <xf numFmtId="3" fontId="10" fillId="6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2" fontId="9" fillId="5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3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20" xfId="1" applyNumberFormat="1" applyFont="1" applyFill="1" applyBorder="1" applyAlignment="1" applyProtection="1">
      <alignment horizontal="center" vertical="center" wrapText="1"/>
      <protection hidden="1"/>
    </xf>
    <xf numFmtId="2" fontId="9" fillId="5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23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24" xfId="1" applyNumberFormat="1" applyFont="1" applyFill="1" applyBorder="1" applyAlignment="1" applyProtection="1">
      <alignment horizontal="center" vertical="center" wrapText="1"/>
      <protection hidden="1"/>
    </xf>
    <xf numFmtId="2" fontId="9" fillId="5" borderId="28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2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29" xfId="1" applyNumberFormat="1" applyFont="1" applyFill="1" applyBorder="1" applyAlignment="1" applyProtection="1">
      <alignment horizontal="center" vertical="center" wrapText="1"/>
      <protection hidden="1"/>
    </xf>
    <xf numFmtId="2" fontId="10" fillId="0" borderId="28" xfId="0" applyNumberFormat="1" applyFont="1" applyBorder="1" applyAlignment="1" applyProtection="1">
      <alignment horizontal="center" vertical="center" wrapText="1"/>
      <protection hidden="1"/>
    </xf>
    <xf numFmtId="2" fontId="10" fillId="7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28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19" xfId="0" applyNumberFormat="1" applyFont="1" applyBorder="1" applyAlignment="1" applyProtection="1">
      <alignment horizontal="center" vertical="center" wrapText="1"/>
      <protection hidden="1"/>
    </xf>
    <xf numFmtId="2" fontId="10" fillId="0" borderId="22" xfId="0" applyNumberFormat="1" applyFont="1" applyBorder="1" applyAlignment="1" applyProtection="1">
      <alignment horizontal="center" vertical="center" wrapText="1"/>
      <protection hidden="1"/>
    </xf>
    <xf numFmtId="2" fontId="10" fillId="6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35" xfId="0" applyFont="1" applyFill="1" applyBorder="1" applyAlignment="1" applyProtection="1">
      <alignment horizontal="center" vertical="center" wrapText="1"/>
      <protection hidden="1"/>
    </xf>
    <xf numFmtId="2" fontId="10" fillId="6" borderId="35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6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37" xfId="0" applyFont="1" applyFill="1" applyBorder="1" applyAlignment="1" applyProtection="1">
      <alignment vertical="center" wrapText="1"/>
      <protection hidden="1"/>
    </xf>
    <xf numFmtId="2" fontId="10" fillId="6" borderId="38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164" fontId="9" fillId="5" borderId="19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22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28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28" xfId="1" applyNumberFormat="1" applyFont="1" applyBorder="1" applyAlignment="1" applyProtection="1">
      <alignment horizontal="center" vertical="center" wrapText="1"/>
      <protection hidden="1"/>
    </xf>
    <xf numFmtId="164" fontId="10" fillId="7" borderId="19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22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28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9" xfId="1" applyNumberFormat="1" applyFont="1" applyBorder="1" applyAlignment="1" applyProtection="1">
      <alignment horizontal="center" vertical="center" wrapText="1"/>
      <protection hidden="1"/>
    </xf>
    <xf numFmtId="164" fontId="10" fillId="0" borderId="22" xfId="1" applyNumberFormat="1" applyFont="1" applyBorder="1" applyAlignment="1" applyProtection="1">
      <alignment horizontal="center" vertical="center" wrapText="1"/>
      <protection hidden="1"/>
    </xf>
    <xf numFmtId="164" fontId="10" fillId="6" borderId="19" xfId="1" applyNumberFormat="1" applyFont="1" applyFill="1" applyBorder="1" applyAlignment="1" applyProtection="1">
      <alignment horizontal="center" vertical="center" wrapText="1"/>
      <protection hidden="1"/>
    </xf>
    <xf numFmtId="164" fontId="10" fillId="6" borderId="22" xfId="1" applyNumberFormat="1" applyFont="1" applyFill="1" applyBorder="1" applyAlignment="1" applyProtection="1">
      <alignment horizontal="center" vertical="center" wrapText="1"/>
      <protection hidden="1"/>
    </xf>
    <xf numFmtId="164" fontId="10" fillId="6" borderId="28" xfId="1" applyNumberFormat="1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2" fillId="3" borderId="17" xfId="0" applyFont="1" applyFill="1" applyBorder="1" applyAlignment="1" applyProtection="1">
      <alignment vertical="center" wrapText="1"/>
      <protection hidden="1"/>
    </xf>
    <xf numFmtId="0" fontId="2" fillId="3" borderId="43" xfId="0" applyFont="1" applyFill="1" applyBorder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 wrapText="1"/>
      <protection hidden="1"/>
    </xf>
    <xf numFmtId="4" fontId="10" fillId="0" borderId="19" xfId="0" applyNumberFormat="1" applyFont="1" applyBorder="1" applyAlignment="1" applyProtection="1">
      <alignment horizontal="center" vertical="center" wrapText="1"/>
      <protection hidden="1"/>
    </xf>
    <xf numFmtId="4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22" xfId="0" applyNumberFormat="1" applyFont="1" applyBorder="1" applyAlignment="1" applyProtection="1">
      <alignment horizontal="center" vertical="center" wrapText="1"/>
      <protection hidden="1"/>
    </xf>
    <xf numFmtId="2" fontId="2" fillId="0" borderId="0" xfId="0" applyNumberFormat="1" applyFont="1" applyAlignment="1" applyProtection="1">
      <alignment vertical="center" wrapText="1"/>
      <protection hidden="1"/>
    </xf>
    <xf numFmtId="4" fontId="10" fillId="0" borderId="28" xfId="0" applyNumberFormat="1" applyFont="1" applyBorder="1" applyAlignment="1" applyProtection="1">
      <alignment horizontal="center" vertical="center" wrapText="1"/>
      <protection hidden="1"/>
    </xf>
    <xf numFmtId="0" fontId="6" fillId="4" borderId="44" xfId="0" applyFont="1" applyFill="1" applyBorder="1" applyAlignment="1" applyProtection="1">
      <alignment horizontal="center" vertical="center" wrapText="1"/>
      <protection hidden="1"/>
    </xf>
    <xf numFmtId="0" fontId="13" fillId="4" borderId="0" xfId="0" applyFont="1" applyFill="1" applyAlignment="1" applyProtection="1">
      <alignment horizontal="center" vertical="center" wrapText="1"/>
      <protection hidden="1"/>
    </xf>
    <xf numFmtId="164" fontId="6" fillId="4" borderId="0" xfId="1" applyNumberFormat="1" applyFont="1" applyFill="1" applyAlignment="1" applyProtection="1">
      <alignment horizontal="center" vertical="center" wrapText="1"/>
      <protection hidden="1"/>
    </xf>
    <xf numFmtId="165" fontId="6" fillId="4" borderId="0" xfId="0" applyNumberFormat="1" applyFont="1" applyFill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vertical="center" wrapText="1"/>
      <protection hidden="1"/>
    </xf>
    <xf numFmtId="0" fontId="13" fillId="4" borderId="7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2" fillId="0" borderId="46" xfId="0" applyFont="1" applyBorder="1" applyAlignment="1" applyProtection="1">
      <alignment vertical="center" wrapText="1"/>
      <protection hidden="1"/>
    </xf>
    <xf numFmtId="0" fontId="14" fillId="0" borderId="46" xfId="0" applyFont="1" applyBorder="1" applyAlignment="1" applyProtection="1">
      <alignment horizontal="center" vertical="center" wrapText="1"/>
      <protection hidden="1"/>
    </xf>
    <xf numFmtId="0" fontId="2" fillId="0" borderId="47" xfId="0" applyFont="1" applyBorder="1" applyAlignment="1" applyProtection="1">
      <alignment vertical="center" wrapText="1"/>
      <protection hidden="1"/>
    </xf>
    <xf numFmtId="0" fontId="14" fillId="0" borderId="4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5" xfId="0" applyFont="1" applyBorder="1" applyAlignment="1" applyProtection="1">
      <alignment horizontal="center" vertical="center" wrapText="1"/>
      <protection hidden="1"/>
    </xf>
    <xf numFmtId="0" fontId="14" fillId="0" borderId="8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2" fillId="4" borderId="50" xfId="0" applyFont="1" applyFill="1" applyBorder="1" applyAlignment="1" applyProtection="1">
      <alignment vertical="center" wrapText="1"/>
      <protection hidden="1"/>
    </xf>
    <xf numFmtId="0" fontId="2" fillId="4" borderId="53" xfId="0" applyFont="1" applyFill="1" applyBorder="1" applyAlignment="1" applyProtection="1">
      <alignment vertical="center" wrapText="1"/>
      <protection hidden="1"/>
    </xf>
    <xf numFmtId="0" fontId="5" fillId="4" borderId="54" xfId="0" applyFont="1" applyFill="1" applyBorder="1" applyAlignment="1" applyProtection="1">
      <alignment horizontal="center" vertical="center" wrapText="1"/>
      <protection hidden="1"/>
    </xf>
    <xf numFmtId="0" fontId="5" fillId="4" borderId="55" xfId="0" applyFont="1" applyFill="1" applyBorder="1" applyAlignment="1" applyProtection="1">
      <alignment horizontal="center" vertical="center" wrapText="1"/>
      <protection hidden="1"/>
    </xf>
    <xf numFmtId="0" fontId="6" fillId="0" borderId="56" xfId="0" applyFont="1" applyBorder="1" applyAlignment="1" applyProtection="1">
      <alignment horizontal="left" vertical="center" wrapText="1"/>
      <protection hidden="1"/>
    </xf>
    <xf numFmtId="3" fontId="10" fillId="0" borderId="57" xfId="0" applyNumberFormat="1" applyFont="1" applyBorder="1" applyAlignment="1" applyProtection="1">
      <alignment horizontal="right" vertical="center" wrapText="1" indent="1"/>
      <protection hidden="1"/>
    </xf>
    <xf numFmtId="164" fontId="10" fillId="6" borderId="5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9" xfId="0" applyFont="1" applyBorder="1" applyAlignment="1" applyProtection="1">
      <alignment horizontal="right" vertical="center" wrapText="1"/>
      <protection hidden="1"/>
    </xf>
    <xf numFmtId="3" fontId="10" fillId="0" borderId="60" xfId="0" applyNumberFormat="1" applyFont="1" applyBorder="1" applyAlignment="1" applyProtection="1">
      <alignment horizontal="right" vertical="center" wrapText="1" indent="1"/>
      <protection hidden="1"/>
    </xf>
    <xf numFmtId="164" fontId="10" fillId="6" borderId="6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2" xfId="0" applyFont="1" applyBorder="1" applyAlignment="1" applyProtection="1">
      <alignment horizontal="right" vertical="center" wrapText="1"/>
      <protection hidden="1"/>
    </xf>
    <xf numFmtId="3" fontId="10" fillId="0" borderId="63" xfId="0" applyNumberFormat="1" applyFont="1" applyBorder="1" applyAlignment="1" applyProtection="1">
      <alignment horizontal="right" vertical="center" wrapText="1" indent="1"/>
      <protection hidden="1"/>
    </xf>
    <xf numFmtId="164" fontId="10" fillId="6" borderId="64" xfId="1" applyNumberFormat="1" applyFont="1" applyFill="1" applyBorder="1" applyAlignment="1" applyProtection="1">
      <alignment horizontal="center" vertical="center" wrapText="1"/>
      <protection hidden="1"/>
    </xf>
    <xf numFmtId="3" fontId="14" fillId="7" borderId="59" xfId="0" applyNumberFormat="1" applyFont="1" applyFill="1" applyBorder="1" applyAlignment="1" applyProtection="1">
      <alignment horizontal="left" vertical="center" wrapText="1"/>
      <protection hidden="1"/>
    </xf>
    <xf numFmtId="3" fontId="10" fillId="7" borderId="63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62" xfId="0" applyFont="1" applyBorder="1" applyAlignment="1" applyProtection="1">
      <alignment horizontal="left" vertical="center" wrapText="1"/>
      <protection hidden="1"/>
    </xf>
    <xf numFmtId="3" fontId="14" fillId="7" borderId="59" xfId="0" applyNumberFormat="1" applyFont="1" applyFill="1" applyBorder="1" applyAlignment="1" applyProtection="1">
      <alignment horizontal="right" vertical="center" wrapText="1"/>
      <protection hidden="1"/>
    </xf>
    <xf numFmtId="3" fontId="10" fillId="0" borderId="65" xfId="0" applyNumberFormat="1" applyFont="1" applyBorder="1" applyAlignment="1" applyProtection="1">
      <alignment horizontal="right" vertical="center" wrapText="1" indent="1"/>
      <protection hidden="1"/>
    </xf>
    <xf numFmtId="164" fontId="10" fillId="6" borderId="66" xfId="1" applyNumberFormat="1" applyFont="1" applyFill="1" applyBorder="1" applyAlignment="1" applyProtection="1">
      <alignment horizontal="center" vertical="center" wrapText="1"/>
      <protection hidden="1"/>
    </xf>
    <xf numFmtId="3" fontId="6" fillId="4" borderId="67" xfId="0" applyNumberFormat="1" applyFont="1" applyFill="1" applyBorder="1" applyAlignment="1" applyProtection="1">
      <alignment horizontal="left" vertical="center" wrapText="1"/>
      <protection hidden="1"/>
    </xf>
    <xf numFmtId="3" fontId="10" fillId="4" borderId="68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69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70" xfId="0" applyFont="1" applyFill="1" applyBorder="1" applyAlignment="1" applyProtection="1">
      <alignment horizontal="left" vertical="center" wrapText="1"/>
      <protection hidden="1"/>
    </xf>
    <xf numFmtId="3" fontId="9" fillId="5" borderId="71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7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6" fillId="0" borderId="47" xfId="0" applyFont="1" applyBorder="1" applyAlignment="1" applyProtection="1">
      <alignment horizontal="center" vertical="center" wrapText="1"/>
      <protection hidden="1"/>
    </xf>
    <xf numFmtId="0" fontId="2" fillId="9" borderId="10" xfId="0" applyFont="1" applyFill="1" applyBorder="1" applyAlignment="1" applyProtection="1">
      <alignment vertical="center" wrapText="1"/>
      <protection hidden="1"/>
    </xf>
    <xf numFmtId="0" fontId="17" fillId="8" borderId="78" xfId="0" applyFont="1" applyFill="1" applyBorder="1" applyAlignment="1" applyProtection="1">
      <alignment horizontal="center" vertical="center" wrapText="1"/>
      <protection hidden="1"/>
    </xf>
    <xf numFmtId="0" fontId="13" fillId="9" borderId="79" xfId="0" applyFont="1" applyFill="1" applyBorder="1" applyAlignment="1" applyProtection="1">
      <alignment horizontal="center" vertical="center" wrapText="1"/>
      <protection hidden="1"/>
    </xf>
    <xf numFmtId="10" fontId="6" fillId="0" borderId="79" xfId="1" applyNumberFormat="1" applyFont="1" applyBorder="1" applyAlignment="1" applyProtection="1">
      <alignment horizontal="center" vertical="center" wrapText="1"/>
      <protection hidden="1"/>
    </xf>
    <xf numFmtId="3" fontId="6" fillId="9" borderId="79" xfId="0" applyNumberFormat="1" applyFont="1" applyFill="1" applyBorder="1" applyAlignment="1" applyProtection="1">
      <alignment horizontal="center" vertical="center" wrapText="1"/>
      <protection hidden="1"/>
    </xf>
    <xf numFmtId="0" fontId="18" fillId="9" borderId="79" xfId="0" applyFont="1" applyFill="1" applyBorder="1" applyAlignment="1" applyProtection="1">
      <alignment horizontal="right" vertical="center" wrapText="1"/>
      <protection hidden="1"/>
    </xf>
    <xf numFmtId="0" fontId="14" fillId="0" borderId="77" xfId="0" applyFont="1" applyBorder="1" applyAlignment="1" applyProtection="1">
      <alignment horizontal="center" vertical="center" wrapText="1"/>
      <protection hidden="1"/>
    </xf>
    <xf numFmtId="0" fontId="14" fillId="0" borderId="80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14" fillId="0" borderId="44" xfId="0" applyFont="1" applyBorder="1" applyAlignment="1" applyProtection="1">
      <alignment horizontal="center" vertical="center" wrapText="1"/>
      <protection hidden="1"/>
    </xf>
    <xf numFmtId="0" fontId="5" fillId="4" borderId="82" xfId="0" applyFont="1" applyFill="1" applyBorder="1" applyAlignment="1" applyProtection="1">
      <alignment horizontal="center" vertical="center" wrapText="1"/>
      <protection hidden="1"/>
    </xf>
    <xf numFmtId="0" fontId="5" fillId="4" borderId="83" xfId="0" applyFont="1" applyFill="1" applyBorder="1" applyAlignment="1" applyProtection="1">
      <alignment horizontal="center" vertical="center" wrapText="1"/>
      <protection hidden="1"/>
    </xf>
    <xf numFmtId="0" fontId="5" fillId="4" borderId="84" xfId="0" applyFont="1" applyFill="1" applyBorder="1" applyAlignment="1" applyProtection="1">
      <alignment horizontal="center" vertical="center" wrapText="1"/>
      <protection hidden="1"/>
    </xf>
    <xf numFmtId="164" fontId="10" fillId="0" borderId="85" xfId="1" applyNumberFormat="1" applyFont="1" applyBorder="1" applyAlignment="1" applyProtection="1">
      <alignment horizontal="center" vertical="center" wrapText="1"/>
      <protection hidden="1"/>
    </xf>
    <xf numFmtId="164" fontId="10" fillId="0" borderId="86" xfId="0" applyNumberFormat="1" applyFont="1" applyBorder="1" applyAlignment="1" applyProtection="1">
      <alignment horizontal="center" vertical="center" wrapText="1"/>
      <protection hidden="1"/>
    </xf>
    <xf numFmtId="164" fontId="10" fillId="0" borderId="87" xfId="0" applyNumberFormat="1" applyFont="1" applyBorder="1" applyAlignment="1" applyProtection="1">
      <alignment horizontal="center" vertical="center" wrapText="1"/>
      <protection hidden="1"/>
    </xf>
    <xf numFmtId="164" fontId="2" fillId="0" borderId="62" xfId="0" applyNumberFormat="1" applyFont="1" applyBorder="1" applyAlignment="1" applyProtection="1">
      <alignment horizontal="right" vertical="center" wrapText="1"/>
      <protection hidden="1"/>
    </xf>
    <xf numFmtId="164" fontId="10" fillId="0" borderId="88" xfId="1" applyNumberFormat="1" applyFont="1" applyBorder="1" applyAlignment="1" applyProtection="1">
      <alignment horizontal="center" vertical="center" wrapText="1"/>
      <protection hidden="1"/>
    </xf>
    <xf numFmtId="164" fontId="10" fillId="0" borderId="89" xfId="0" applyNumberFormat="1" applyFont="1" applyBorder="1" applyAlignment="1" applyProtection="1">
      <alignment horizontal="center" vertical="center" wrapText="1"/>
      <protection hidden="1"/>
    </xf>
    <xf numFmtId="164" fontId="10" fillId="0" borderId="90" xfId="0" applyNumberFormat="1" applyFont="1" applyBorder="1" applyAlignment="1" applyProtection="1">
      <alignment horizontal="center" vertical="center" wrapText="1"/>
      <protection hidden="1"/>
    </xf>
    <xf numFmtId="164" fontId="14" fillId="7" borderId="59" xfId="0" applyNumberFormat="1" applyFont="1" applyFill="1" applyBorder="1" applyAlignment="1" applyProtection="1">
      <alignment horizontal="left" vertical="center" wrapText="1"/>
      <protection hidden="1"/>
    </xf>
    <xf numFmtId="164" fontId="10" fillId="7" borderId="88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89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90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62" xfId="0" applyNumberFormat="1" applyFont="1" applyBorder="1" applyAlignment="1" applyProtection="1">
      <alignment horizontal="left" vertical="center" wrapText="1"/>
      <protection hidden="1"/>
    </xf>
    <xf numFmtId="164" fontId="14" fillId="7" borderId="59" xfId="0" applyNumberFormat="1" applyFont="1" applyFill="1" applyBorder="1" applyAlignment="1" applyProtection="1">
      <alignment horizontal="right" vertical="center" wrapText="1"/>
      <protection hidden="1"/>
    </xf>
    <xf numFmtId="3" fontId="6" fillId="7" borderId="56" xfId="0" applyNumberFormat="1" applyFont="1" applyFill="1" applyBorder="1" applyAlignment="1" applyProtection="1">
      <alignment horizontal="left" vertical="center" wrapText="1"/>
      <protection hidden="1"/>
    </xf>
    <xf numFmtId="164" fontId="10" fillId="7" borderId="85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86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87" xfId="0" applyNumberFormat="1" applyFont="1" applyFill="1" applyBorder="1" applyAlignment="1" applyProtection="1">
      <alignment horizontal="center" vertical="center" wrapText="1"/>
      <protection hidden="1"/>
    </xf>
    <xf numFmtId="164" fontId="9" fillId="5" borderId="70" xfId="0" applyNumberFormat="1" applyFont="1" applyFill="1" applyBorder="1" applyAlignment="1" applyProtection="1">
      <alignment horizontal="left" vertical="center" wrapText="1"/>
      <protection hidden="1"/>
    </xf>
    <xf numFmtId="164" fontId="9" fillId="5" borderId="91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92" xfId="0" applyNumberFormat="1" applyFont="1" applyFill="1" applyBorder="1" applyAlignment="1" applyProtection="1">
      <alignment horizontal="center" vertical="center" wrapText="1"/>
      <protection hidden="1"/>
    </xf>
    <xf numFmtId="164" fontId="9" fillId="5" borderId="93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10" fontId="19" fillId="0" borderId="0" xfId="1" applyNumberFormat="1" applyFont="1" applyAlignment="1" applyProtection="1">
      <alignment horizontal="center" vertical="center" wrapText="1"/>
      <protection hidden="1"/>
    </xf>
    <xf numFmtId="164" fontId="19" fillId="0" borderId="0" xfId="0" applyNumberFormat="1" applyFont="1" applyAlignment="1" applyProtection="1">
      <alignment horizontal="center" vertical="center" wrapText="1"/>
      <protection hidden="1"/>
    </xf>
    <xf numFmtId="0" fontId="12" fillId="7" borderId="96" xfId="0" applyFont="1" applyFill="1" applyBorder="1" applyAlignment="1" applyProtection="1">
      <alignment horizontal="center" vertical="center" wrapText="1"/>
      <protection hidden="1"/>
    </xf>
    <xf numFmtId="3" fontId="10" fillId="7" borderId="96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00" xfId="0" applyFont="1" applyFill="1" applyBorder="1" applyAlignment="1" applyProtection="1">
      <alignment horizontal="center" vertical="center" wrapText="1"/>
      <protection hidden="1"/>
    </xf>
    <xf numFmtId="3" fontId="10" fillId="7" borderId="100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02" xfId="0" applyFont="1" applyFill="1" applyBorder="1" applyAlignment="1" applyProtection="1">
      <alignment horizontal="center" vertical="center" wrapText="1"/>
      <protection hidden="1"/>
    </xf>
    <xf numFmtId="3" fontId="10" fillId="7" borderId="10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4" xfId="0" applyFont="1" applyBorder="1" applyAlignment="1" applyProtection="1">
      <alignment horizontal="center" vertical="center" wrapText="1"/>
      <protection hidden="1"/>
    </xf>
    <xf numFmtId="3" fontId="10" fillId="0" borderId="104" xfId="0" applyNumberFormat="1" applyFont="1" applyBorder="1" applyAlignment="1" applyProtection="1">
      <alignment horizontal="center" vertical="center" wrapText="1"/>
      <protection hidden="1"/>
    </xf>
    <xf numFmtId="0" fontId="12" fillId="0" borderId="100" xfId="0" applyFont="1" applyBorder="1" applyAlignment="1" applyProtection="1">
      <alignment horizontal="center" vertical="center" wrapText="1"/>
      <protection hidden="1"/>
    </xf>
    <xf numFmtId="3" fontId="10" fillId="0" borderId="100" xfId="0" applyNumberFormat="1" applyFont="1" applyBorder="1" applyAlignment="1" applyProtection="1">
      <alignment horizontal="center" vertical="center" wrapText="1"/>
      <protection hidden="1"/>
    </xf>
    <xf numFmtId="0" fontId="12" fillId="0" borderId="105" xfId="0" applyFont="1" applyBorder="1" applyAlignment="1" applyProtection="1">
      <alignment horizontal="center" vertical="center" wrapText="1"/>
      <protection hidden="1"/>
    </xf>
    <xf numFmtId="3" fontId="10" fillId="0" borderId="105" xfId="0" applyNumberFormat="1" applyFont="1" applyBorder="1" applyAlignment="1" applyProtection="1">
      <alignment horizontal="center" vertical="center" wrapText="1"/>
      <protection hidden="1"/>
    </xf>
    <xf numFmtId="0" fontId="6" fillId="4" borderId="106" xfId="0" applyFont="1" applyFill="1" applyBorder="1" applyAlignment="1" applyProtection="1">
      <alignment horizontal="center" vertical="center" wrapText="1"/>
      <protection hidden="1"/>
    </xf>
    <xf numFmtId="0" fontId="6" fillId="4" borderId="77" xfId="0" applyFont="1" applyFill="1" applyBorder="1" applyAlignment="1" applyProtection="1">
      <alignment horizontal="center" vertical="center" wrapText="1"/>
      <protection hidden="1"/>
    </xf>
    <xf numFmtId="0" fontId="12" fillId="5" borderId="108" xfId="0" applyFont="1" applyFill="1" applyBorder="1" applyAlignment="1" applyProtection="1">
      <alignment horizontal="center" vertical="center" wrapText="1"/>
      <protection hidden="1"/>
    </xf>
    <xf numFmtId="3" fontId="10" fillId="5" borderId="109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09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1" applyNumberFormat="1" applyFont="1"/>
    <xf numFmtId="0" fontId="12" fillId="0" borderId="111" xfId="0" applyFont="1" applyBorder="1" applyAlignment="1" applyProtection="1">
      <alignment horizontal="center" vertical="center" wrapText="1"/>
      <protection hidden="1"/>
    </xf>
    <xf numFmtId="3" fontId="10" fillId="0" borderId="112" xfId="0" applyNumberFormat="1" applyFont="1" applyBorder="1" applyAlignment="1" applyProtection="1">
      <alignment horizontal="center" vertical="center" wrapText="1"/>
      <protection hidden="1"/>
    </xf>
    <xf numFmtId="164" fontId="10" fillId="6" borderId="112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0" xfId="1" applyNumberFormat="1" applyFont="1" applyAlignment="1" applyProtection="1">
      <alignment vertical="center" wrapText="1"/>
      <protection hidden="1"/>
    </xf>
    <xf numFmtId="0" fontId="12" fillId="7" borderId="111" xfId="0" applyFont="1" applyFill="1" applyBorder="1" applyAlignment="1" applyProtection="1">
      <alignment horizontal="center" vertical="center" wrapText="1"/>
      <protection hidden="1"/>
    </xf>
    <xf numFmtId="3" fontId="10" fillId="7" borderId="1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8" fillId="5" borderId="116" xfId="0" applyFont="1" applyFill="1" applyBorder="1" applyAlignment="1" applyProtection="1">
      <alignment horizontal="center" vertical="center" wrapText="1"/>
      <protection hidden="1"/>
    </xf>
    <xf numFmtId="164" fontId="10" fillId="6" borderId="15" xfId="1" applyNumberFormat="1" applyFont="1" applyFill="1" applyBorder="1" applyAlignment="1" applyProtection="1">
      <alignment horizontal="center" vertical="center" wrapText="1"/>
      <protection hidden="1"/>
    </xf>
    <xf numFmtId="0" fontId="8" fillId="5" borderId="120" xfId="0" applyFont="1" applyFill="1" applyBorder="1" applyAlignment="1" applyProtection="1">
      <alignment horizontal="center" vertical="center" wrapText="1"/>
      <protection hidden="1"/>
    </xf>
    <xf numFmtId="0" fontId="8" fillId="5" borderId="124" xfId="0" applyFont="1" applyFill="1" applyBorder="1" applyAlignment="1" applyProtection="1">
      <alignment horizontal="center" vertical="center" wrapText="1"/>
      <protection hidden="1"/>
    </xf>
    <xf numFmtId="3" fontId="9" fillId="5" borderId="125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2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" applyFont="1"/>
    <xf numFmtId="0" fontId="12" fillId="0" borderId="129" xfId="0" applyFont="1" applyBorder="1" applyAlignment="1" applyProtection="1">
      <alignment horizontal="center" vertical="center" wrapText="1"/>
      <protection hidden="1"/>
    </xf>
    <xf numFmtId="3" fontId="10" fillId="0" borderId="130" xfId="0" applyNumberFormat="1" applyFont="1" applyBorder="1" applyAlignment="1" applyProtection="1">
      <alignment horizontal="center" vertical="center" wrapText="1"/>
      <protection hidden="1"/>
    </xf>
    <xf numFmtId="164" fontId="10" fillId="6" borderId="13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30" xfId="0" applyFont="1" applyBorder="1" applyAlignment="1" applyProtection="1">
      <alignment vertical="center" wrapText="1"/>
      <protection hidden="1"/>
    </xf>
    <xf numFmtId="0" fontId="2" fillId="0" borderId="131" xfId="0" applyFont="1" applyBorder="1" applyAlignment="1" applyProtection="1">
      <alignment vertical="center" wrapText="1"/>
      <protection hidden="1"/>
    </xf>
    <xf numFmtId="0" fontId="12" fillId="0" borderId="124" xfId="0" applyFont="1" applyBorder="1" applyAlignment="1" applyProtection="1">
      <alignment horizontal="center" vertical="center" wrapText="1"/>
      <protection hidden="1"/>
    </xf>
    <xf numFmtId="3" fontId="10" fillId="0" borderId="125" xfId="0" applyNumberFormat="1" applyFont="1" applyBorder="1" applyAlignment="1" applyProtection="1">
      <alignment horizontal="center" vertical="center" wrapText="1"/>
      <protection hidden="1"/>
    </xf>
    <xf numFmtId="0" fontId="12" fillId="7" borderId="129" xfId="0" applyFont="1" applyFill="1" applyBorder="1" applyAlignment="1" applyProtection="1">
      <alignment horizontal="center" vertical="center" wrapText="1"/>
      <protection hidden="1"/>
    </xf>
    <xf numFmtId="3" fontId="10" fillId="7" borderId="130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20" xfId="0" applyFont="1" applyFill="1" applyBorder="1" applyAlignment="1" applyProtection="1">
      <alignment horizontal="center" vertical="center" wrapText="1"/>
      <protection hidden="1"/>
    </xf>
    <xf numFmtId="0" fontId="12" fillId="7" borderId="124" xfId="0" applyFont="1" applyFill="1" applyBorder="1" applyAlignment="1" applyProtection="1">
      <alignment horizontal="center" vertical="center" wrapText="1"/>
      <protection hidden="1"/>
    </xf>
    <xf numFmtId="3" fontId="10" fillId="7" borderId="125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20" xfId="0" applyFont="1" applyBorder="1" applyAlignment="1" applyProtection="1">
      <alignment horizontal="center" vertical="center" wrapText="1"/>
      <protection hidden="1"/>
    </xf>
    <xf numFmtId="0" fontId="12" fillId="6" borderId="129" xfId="0" applyFont="1" applyFill="1" applyBorder="1" applyAlignment="1" applyProtection="1">
      <alignment horizontal="center" vertical="center" wrapText="1"/>
      <protection hidden="1"/>
    </xf>
    <xf numFmtId="3" fontId="10" fillId="6" borderId="130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120" xfId="0" applyFont="1" applyFill="1" applyBorder="1" applyAlignment="1" applyProtection="1">
      <alignment horizontal="center" vertical="center" wrapText="1"/>
      <protection hidden="1"/>
    </xf>
    <xf numFmtId="0" fontId="12" fillId="6" borderId="141" xfId="0" applyFont="1" applyFill="1" applyBorder="1" applyAlignment="1" applyProtection="1">
      <alignment horizontal="center" vertical="center" wrapText="1"/>
      <protection hidden="1"/>
    </xf>
    <xf numFmtId="3" fontId="10" fillId="6" borderId="26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3" xfId="0" applyFont="1" applyBorder="1" applyAlignment="1" applyProtection="1">
      <alignment horizontal="center" vertical="center" wrapText="1"/>
      <protection hidden="1"/>
    </xf>
    <xf numFmtId="3" fontId="10" fillId="0" borderId="109" xfId="0" applyNumberFormat="1" applyFont="1" applyBorder="1" applyAlignment="1" applyProtection="1">
      <alignment horizontal="center" vertical="center" wrapText="1"/>
      <protection hidden="1"/>
    </xf>
    <xf numFmtId="0" fontId="12" fillId="7" borderId="146" xfId="0" applyFont="1" applyFill="1" applyBorder="1" applyAlignment="1" applyProtection="1">
      <alignment horizontal="center" vertical="center" wrapText="1"/>
      <protection hidden="1"/>
    </xf>
    <xf numFmtId="3" fontId="10" fillId="7" borderId="147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4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0" fontId="20" fillId="2" borderId="0" xfId="0" applyFont="1" applyFill="1" applyAlignment="1" applyProtection="1">
      <alignment horizontal="center" vertical="center" wrapText="1"/>
      <protection hidden="1"/>
    </xf>
    <xf numFmtId="0" fontId="12" fillId="6" borderId="127" xfId="0" applyFont="1" applyFill="1" applyBorder="1" applyAlignment="1" applyProtection="1">
      <alignment horizontal="center" vertical="center" wrapText="1"/>
      <protection hidden="1"/>
    </xf>
    <xf numFmtId="0" fontId="12" fillId="6" borderId="128" xfId="0" applyFont="1" applyFill="1" applyBorder="1" applyAlignment="1" applyProtection="1">
      <alignment horizontal="center" vertical="center" wrapText="1"/>
      <protection hidden="1"/>
    </xf>
    <xf numFmtId="0" fontId="12" fillId="6" borderId="137" xfId="0" applyFont="1" applyFill="1" applyBorder="1" applyAlignment="1" applyProtection="1">
      <alignment horizontal="center" vertical="center" wrapText="1"/>
      <protection hidden="1"/>
    </xf>
    <xf numFmtId="0" fontId="12" fillId="6" borderId="138" xfId="0" applyFont="1" applyFill="1" applyBorder="1" applyAlignment="1" applyProtection="1">
      <alignment horizontal="center" vertical="center" wrapText="1"/>
      <protection hidden="1"/>
    </xf>
    <xf numFmtId="0" fontId="2" fillId="7" borderId="130" xfId="0" applyFont="1" applyFill="1" applyBorder="1" applyAlignment="1" applyProtection="1">
      <alignment horizontal="justify" vertical="center" wrapText="1"/>
      <protection hidden="1"/>
    </xf>
    <xf numFmtId="0" fontId="2" fillId="7" borderId="131" xfId="0" applyFont="1" applyFill="1" applyBorder="1" applyAlignment="1" applyProtection="1">
      <alignment horizontal="justify" vertical="center" wrapText="1"/>
      <protection hidden="1"/>
    </xf>
    <xf numFmtId="0" fontId="2" fillId="7" borderId="22" xfId="0" applyFont="1" applyFill="1" applyBorder="1" applyAlignment="1" applyProtection="1">
      <alignment horizontal="justify" vertical="center" wrapText="1"/>
      <protection hidden="1"/>
    </xf>
    <xf numFmtId="0" fontId="2" fillId="7" borderId="121" xfId="0" applyFont="1" applyFill="1" applyBorder="1" applyAlignment="1" applyProtection="1">
      <alignment horizontal="justify" vertical="center" wrapText="1"/>
      <protection hidden="1"/>
    </xf>
    <xf numFmtId="0" fontId="2" fillId="7" borderId="26" xfId="0" applyFont="1" applyFill="1" applyBorder="1" applyAlignment="1" applyProtection="1">
      <alignment horizontal="justify" vertical="center" wrapText="1"/>
      <protection hidden="1"/>
    </xf>
    <xf numFmtId="0" fontId="2" fillId="7" borderId="142" xfId="0" applyFont="1" applyFill="1" applyBorder="1" applyAlignment="1" applyProtection="1">
      <alignment horizontal="justify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12" fillId="0" borderId="137" xfId="0" applyFont="1" applyBorder="1" applyAlignment="1" applyProtection="1">
      <alignment horizontal="center" vertical="center" wrapText="1"/>
      <protection hidden="1"/>
    </xf>
    <xf numFmtId="0" fontId="12" fillId="0" borderId="97" xfId="0" applyFont="1" applyBorder="1" applyAlignment="1" applyProtection="1">
      <alignment horizontal="center" vertical="center" wrapText="1"/>
      <protection hidden="1"/>
    </xf>
    <xf numFmtId="0" fontId="12" fillId="0" borderId="144" xfId="0" applyFont="1" applyBorder="1" applyAlignment="1" applyProtection="1">
      <alignment horizontal="center" vertical="center" wrapText="1"/>
      <protection hidden="1"/>
    </xf>
    <xf numFmtId="0" fontId="12" fillId="0" borderId="145" xfId="0" applyFont="1" applyBorder="1" applyAlignment="1" applyProtection="1">
      <alignment horizontal="center" vertical="center" wrapText="1"/>
      <protection hidden="1"/>
    </xf>
    <xf numFmtId="0" fontId="2" fillId="0" borderId="109" xfId="0" applyFont="1" applyBorder="1" applyAlignment="1" applyProtection="1">
      <alignment horizontal="justify" vertical="center" wrapText="1"/>
      <protection hidden="1"/>
    </xf>
    <xf numFmtId="0" fontId="2" fillId="0" borderId="110" xfId="0" applyFont="1" applyBorder="1" applyAlignment="1" applyProtection="1">
      <alignment horizontal="justify" vertical="center" wrapText="1"/>
      <protection hidden="1"/>
    </xf>
    <xf numFmtId="0" fontId="12" fillId="0" borderId="99" xfId="0" applyFont="1" applyBorder="1" applyAlignment="1" applyProtection="1">
      <alignment horizontal="center" vertical="center" wrapText="1"/>
      <protection hidden="1"/>
    </xf>
    <xf numFmtId="0" fontId="12" fillId="0" borderId="149" xfId="0" applyFont="1" applyBorder="1" applyAlignment="1" applyProtection="1">
      <alignment horizontal="center" vertical="center" wrapText="1"/>
      <protection hidden="1"/>
    </xf>
    <xf numFmtId="0" fontId="2" fillId="7" borderId="147" xfId="0" applyFont="1" applyFill="1" applyBorder="1" applyAlignment="1" applyProtection="1">
      <alignment horizontal="justify" vertical="center" wrapText="1"/>
      <protection hidden="1"/>
    </xf>
    <xf numFmtId="0" fontId="2" fillId="7" borderId="148" xfId="0" applyFont="1" applyFill="1" applyBorder="1" applyAlignment="1" applyProtection="1">
      <alignment horizontal="justify" vertical="center" wrapText="1"/>
      <protection hidden="1"/>
    </xf>
    <xf numFmtId="0" fontId="2" fillId="7" borderId="125" xfId="0" applyFont="1" applyFill="1" applyBorder="1" applyAlignment="1" applyProtection="1">
      <alignment horizontal="justify" vertical="center" wrapText="1"/>
      <protection hidden="1"/>
    </xf>
    <xf numFmtId="0" fontId="2" fillId="7" borderId="126" xfId="0" applyFont="1" applyFill="1" applyBorder="1" applyAlignment="1" applyProtection="1">
      <alignment horizontal="justify" vertical="center" wrapText="1"/>
      <protection hidden="1"/>
    </xf>
    <xf numFmtId="0" fontId="12" fillId="0" borderId="139" xfId="0" applyFont="1" applyBorder="1" applyAlignment="1" applyProtection="1">
      <alignment horizontal="center" vertical="center" wrapText="1"/>
      <protection hidden="1"/>
    </xf>
    <xf numFmtId="0" fontId="12" fillId="0" borderId="140" xfId="0" applyFont="1" applyBorder="1" applyAlignment="1" applyProtection="1">
      <alignment horizontal="center" vertical="center" wrapText="1"/>
      <protection hidden="1"/>
    </xf>
    <xf numFmtId="0" fontId="12" fillId="0" borderId="118" xfId="0" applyFont="1" applyBorder="1" applyAlignment="1" applyProtection="1">
      <alignment horizontal="center" vertical="center" wrapText="1"/>
      <protection hidden="1"/>
    </xf>
    <xf numFmtId="0" fontId="12" fillId="0" borderId="119" xfId="0" applyFont="1" applyBorder="1" applyAlignment="1" applyProtection="1">
      <alignment horizontal="center" vertical="center" wrapText="1"/>
      <protection hidden="1"/>
    </xf>
    <xf numFmtId="0" fontId="12" fillId="0" borderId="122" xfId="0" applyFont="1" applyBorder="1" applyAlignment="1" applyProtection="1">
      <alignment horizontal="center" vertical="center" wrapText="1"/>
      <protection hidden="1"/>
    </xf>
    <xf numFmtId="0" fontId="12" fillId="0" borderId="123" xfId="0" applyFont="1" applyBorder="1" applyAlignment="1" applyProtection="1">
      <alignment horizontal="center" vertical="center" wrapText="1"/>
      <protection hidden="1"/>
    </xf>
    <xf numFmtId="0" fontId="2" fillId="0" borderId="130" xfId="0" applyFont="1" applyBorder="1" applyAlignment="1" applyProtection="1">
      <alignment horizontal="justify" vertical="center" wrapText="1"/>
      <protection hidden="1"/>
    </xf>
    <xf numFmtId="0" fontId="2" fillId="0" borderId="131" xfId="0" applyFont="1" applyBorder="1" applyAlignment="1" applyProtection="1">
      <alignment horizontal="justify" vertical="center" wrapText="1"/>
      <protection hidden="1"/>
    </xf>
    <xf numFmtId="0" fontId="2" fillId="0" borderId="22" xfId="0" applyFont="1" applyBorder="1" applyAlignment="1" applyProtection="1">
      <alignment horizontal="justify" vertical="center" wrapText="1"/>
      <protection hidden="1"/>
    </xf>
    <xf numFmtId="0" fontId="2" fillId="0" borderId="121" xfId="0" applyFont="1" applyBorder="1" applyAlignment="1" applyProtection="1">
      <alignment horizontal="justify" vertical="center" wrapText="1"/>
      <protection hidden="1"/>
    </xf>
    <xf numFmtId="0" fontId="2" fillId="0" borderId="125" xfId="0" applyFont="1" applyBorder="1" applyAlignment="1" applyProtection="1">
      <alignment horizontal="justify" vertical="center" wrapText="1"/>
      <protection hidden="1"/>
    </xf>
    <xf numFmtId="0" fontId="2" fillId="0" borderId="126" xfId="0" applyFont="1" applyBorder="1" applyAlignment="1" applyProtection="1">
      <alignment horizontal="justify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45" xfId="0" applyFont="1" applyBorder="1" applyAlignment="1" applyProtection="1">
      <alignment horizontal="center" vertical="center" wrapText="1"/>
      <protection hidden="1"/>
    </xf>
    <xf numFmtId="0" fontId="6" fillId="0" borderId="46" xfId="0" applyFont="1" applyBorder="1" applyAlignment="1" applyProtection="1">
      <alignment horizontal="center" vertical="center" wrapText="1"/>
      <protection hidden="1"/>
    </xf>
    <xf numFmtId="0" fontId="6" fillId="0" borderId="47" xfId="0" applyFont="1" applyBorder="1" applyAlignment="1" applyProtection="1">
      <alignment horizontal="center" vertical="center" wrapText="1"/>
      <protection hidden="1"/>
    </xf>
    <xf numFmtId="0" fontId="8" fillId="5" borderId="114" xfId="0" applyFont="1" applyFill="1" applyBorder="1" applyAlignment="1" applyProtection="1">
      <alignment horizontal="center" vertical="center" wrapText="1"/>
      <protection hidden="1"/>
    </xf>
    <xf numFmtId="0" fontId="8" fillId="5" borderId="115" xfId="0" applyFont="1" applyFill="1" applyBorder="1" applyAlignment="1" applyProtection="1">
      <alignment horizontal="center" vertical="center" wrapText="1"/>
      <protection hidden="1"/>
    </xf>
    <xf numFmtId="0" fontId="8" fillId="5" borderId="118" xfId="0" applyFont="1" applyFill="1" applyBorder="1" applyAlignment="1" applyProtection="1">
      <alignment horizontal="center" vertical="center" wrapText="1"/>
      <protection hidden="1"/>
    </xf>
    <xf numFmtId="0" fontId="8" fillId="5" borderId="119" xfId="0" applyFont="1" applyFill="1" applyBorder="1" applyAlignment="1" applyProtection="1">
      <alignment horizontal="center" vertical="center" wrapText="1"/>
      <protection hidden="1"/>
    </xf>
    <xf numFmtId="0" fontId="8" fillId="5" borderId="122" xfId="0" applyFont="1" applyFill="1" applyBorder="1" applyAlignment="1" applyProtection="1">
      <alignment horizontal="center" vertical="center" wrapText="1"/>
      <protection hidden="1"/>
    </xf>
    <xf numFmtId="0" fontId="8" fillId="5" borderId="123" xfId="0" applyFont="1" applyFill="1" applyBorder="1" applyAlignment="1" applyProtection="1">
      <alignment horizontal="center" vertical="center" wrapText="1"/>
      <protection hidden="1"/>
    </xf>
    <xf numFmtId="0" fontId="2" fillId="5" borderId="15" xfId="0" applyFont="1" applyFill="1" applyBorder="1" applyAlignment="1" applyProtection="1">
      <alignment horizontal="justify" vertical="center" wrapText="1"/>
      <protection hidden="1"/>
    </xf>
    <xf numFmtId="0" fontId="2" fillId="5" borderId="117" xfId="0" applyFont="1" applyFill="1" applyBorder="1" applyAlignment="1" applyProtection="1">
      <alignment horizontal="justify" vertical="center" wrapText="1"/>
      <protection hidden="1"/>
    </xf>
    <xf numFmtId="0" fontId="2" fillId="5" borderId="22" xfId="0" applyFont="1" applyFill="1" applyBorder="1" applyAlignment="1" applyProtection="1">
      <alignment horizontal="justify" vertical="center" wrapText="1"/>
      <protection hidden="1"/>
    </xf>
    <xf numFmtId="0" fontId="2" fillId="5" borderId="121" xfId="0" applyFont="1" applyFill="1" applyBorder="1" applyAlignment="1" applyProtection="1">
      <alignment horizontal="justify" vertical="center" wrapText="1"/>
      <protection hidden="1"/>
    </xf>
    <xf numFmtId="0" fontId="2" fillId="5" borderId="125" xfId="0" applyFont="1" applyFill="1" applyBorder="1" applyAlignment="1" applyProtection="1">
      <alignment horizontal="justify" vertical="center" wrapText="1"/>
      <protection hidden="1"/>
    </xf>
    <xf numFmtId="0" fontId="2" fillId="5" borderId="126" xfId="0" applyFont="1" applyFill="1" applyBorder="1" applyAlignment="1" applyProtection="1">
      <alignment horizontal="justify" vertical="center" wrapText="1"/>
      <protection hidden="1"/>
    </xf>
    <xf numFmtId="0" fontId="12" fillId="0" borderId="127" xfId="0" applyFont="1" applyBorder="1" applyAlignment="1" applyProtection="1">
      <alignment horizontal="center" vertical="center" wrapText="1"/>
      <protection hidden="1"/>
    </xf>
    <xf numFmtId="0" fontId="12" fillId="0" borderId="128" xfId="0" applyFont="1" applyBorder="1" applyAlignment="1" applyProtection="1">
      <alignment horizontal="center" vertical="center" wrapText="1"/>
      <protection hidden="1"/>
    </xf>
    <xf numFmtId="0" fontId="12" fillId="0" borderId="132" xfId="0" applyFont="1" applyBorder="1" applyAlignment="1" applyProtection="1">
      <alignment horizontal="center" vertical="center" wrapText="1"/>
      <protection hidden="1"/>
    </xf>
    <xf numFmtId="0" fontId="12" fillId="0" borderId="133" xfId="0" applyFont="1" applyBorder="1" applyAlignment="1" applyProtection="1">
      <alignment horizontal="center" vertical="center" wrapText="1"/>
      <protection hidden="1"/>
    </xf>
    <xf numFmtId="0" fontId="2" fillId="0" borderId="134" xfId="0" applyFont="1" applyBorder="1" applyAlignment="1" applyProtection="1">
      <alignment horizontal="left" vertical="center" wrapText="1"/>
      <protection hidden="1"/>
    </xf>
    <xf numFmtId="0" fontId="2" fillId="0" borderId="135" xfId="0" applyFont="1" applyBorder="1" applyAlignment="1" applyProtection="1">
      <alignment horizontal="left" vertical="center" wrapText="1"/>
      <protection hidden="1"/>
    </xf>
    <xf numFmtId="0" fontId="2" fillId="0" borderId="136" xfId="0" applyFont="1" applyBorder="1" applyAlignment="1" applyProtection="1">
      <alignment horizontal="left" vertical="center" wrapText="1"/>
      <protection hidden="1"/>
    </xf>
    <xf numFmtId="0" fontId="12" fillId="7" borderId="127" xfId="0" applyFont="1" applyFill="1" applyBorder="1" applyAlignment="1" applyProtection="1">
      <alignment horizontal="center" vertical="center" wrapText="1"/>
      <protection hidden="1"/>
    </xf>
    <xf numFmtId="0" fontId="12" fillId="7" borderId="128" xfId="0" applyFont="1" applyFill="1" applyBorder="1" applyAlignment="1" applyProtection="1">
      <alignment horizontal="center" vertical="center" wrapText="1"/>
      <protection hidden="1"/>
    </xf>
    <xf numFmtId="0" fontId="12" fillId="7" borderId="137" xfId="0" applyFont="1" applyFill="1" applyBorder="1" applyAlignment="1" applyProtection="1">
      <alignment horizontal="center" vertical="center" wrapText="1"/>
      <protection hidden="1"/>
    </xf>
    <xf numFmtId="0" fontId="12" fillId="7" borderId="138" xfId="0" applyFont="1" applyFill="1" applyBorder="1" applyAlignment="1" applyProtection="1">
      <alignment horizontal="center" vertical="center" wrapText="1"/>
      <protection hidden="1"/>
    </xf>
    <xf numFmtId="0" fontId="12" fillId="7" borderId="132" xfId="0" applyFont="1" applyFill="1" applyBorder="1" applyAlignment="1" applyProtection="1">
      <alignment horizontal="center" vertical="center" wrapText="1"/>
      <protection hidden="1"/>
    </xf>
    <xf numFmtId="0" fontId="12" fillId="7" borderId="133" xfId="0" applyFont="1" applyFill="1" applyBorder="1" applyAlignment="1" applyProtection="1">
      <alignment horizontal="center" vertical="center" wrapText="1"/>
      <protection hidden="1"/>
    </xf>
    <xf numFmtId="0" fontId="2" fillId="0" borderId="97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98" xfId="0" applyFont="1" applyBorder="1" applyAlignment="1" applyProtection="1">
      <alignment horizontal="left" vertical="center" wrapText="1"/>
      <protection hidden="1"/>
    </xf>
    <xf numFmtId="0" fontId="12" fillId="0" borderId="107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2" fillId="5" borderId="109" xfId="0" applyFont="1" applyFill="1" applyBorder="1" applyAlignment="1" applyProtection="1">
      <alignment horizontal="left" vertical="center" wrapText="1"/>
      <protection hidden="1"/>
    </xf>
    <xf numFmtId="0" fontId="2" fillId="5" borderId="110" xfId="0" applyFont="1" applyFill="1" applyBorder="1" applyAlignment="1" applyProtection="1">
      <alignment horizontal="left" vertical="center" wrapText="1"/>
      <protection hidden="1"/>
    </xf>
    <xf numFmtId="0" fontId="2" fillId="0" borderId="112" xfId="0" applyFont="1" applyBorder="1" applyAlignment="1" applyProtection="1">
      <alignment horizontal="left" vertical="center" wrapText="1"/>
      <protection hidden="1"/>
    </xf>
    <xf numFmtId="0" fontId="0" fillId="0" borderId="112" xfId="0" applyBorder="1" applyAlignment="1">
      <alignment horizontal="left" vertical="center" wrapText="1"/>
    </xf>
    <xf numFmtId="0" fontId="0" fillId="0" borderId="113" xfId="0" applyBorder="1" applyAlignment="1">
      <alignment horizontal="left" vertical="center" wrapText="1"/>
    </xf>
    <xf numFmtId="0" fontId="2" fillId="7" borderId="112" xfId="0" applyFont="1" applyFill="1" applyBorder="1" applyAlignment="1" applyProtection="1">
      <alignment horizontal="left" vertical="center" wrapText="1"/>
      <protection hidden="1"/>
    </xf>
    <xf numFmtId="0" fontId="12" fillId="0" borderId="94" xfId="0" applyFont="1" applyBorder="1" applyAlignment="1" applyProtection="1">
      <alignment horizontal="center" vertical="center" wrapText="1"/>
      <protection hidden="1"/>
    </xf>
    <xf numFmtId="0" fontId="12" fillId="7" borderId="95" xfId="0" applyFont="1" applyFill="1" applyBorder="1" applyAlignment="1" applyProtection="1">
      <alignment horizontal="center" vertical="center" wrapText="1"/>
      <protection hidden="1"/>
    </xf>
    <xf numFmtId="0" fontId="12" fillId="7" borderId="101" xfId="0" applyFont="1" applyFill="1" applyBorder="1" applyAlignment="1" applyProtection="1">
      <alignment horizontal="center" vertical="center" wrapText="1"/>
      <protection hidden="1"/>
    </xf>
    <xf numFmtId="0" fontId="2" fillId="7" borderId="97" xfId="0" applyFont="1" applyFill="1" applyBorder="1" applyAlignment="1" applyProtection="1">
      <alignment horizontal="left" vertical="center" wrapText="1"/>
      <protection hidden="1"/>
    </xf>
    <xf numFmtId="0" fontId="2" fillId="7" borderId="0" xfId="0" applyFont="1" applyFill="1" applyAlignment="1" applyProtection="1">
      <alignment horizontal="left" vertical="center" wrapText="1"/>
      <protection hidden="1"/>
    </xf>
    <xf numFmtId="0" fontId="2" fillId="7" borderId="98" xfId="0" applyFont="1" applyFill="1" applyBorder="1" applyAlignment="1" applyProtection="1">
      <alignment horizontal="left" vertical="center" wrapText="1"/>
      <protection hidden="1"/>
    </xf>
    <xf numFmtId="0" fontId="12" fillId="0" borderId="103" xfId="0" applyFont="1" applyBorder="1" applyAlignment="1" applyProtection="1">
      <alignment horizontal="center" vertical="center" wrapText="1"/>
      <protection hidden="1"/>
    </xf>
    <xf numFmtId="0" fontId="12" fillId="0" borderId="95" xfId="0" applyFont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6" fillId="4" borderId="81" xfId="0" applyFont="1" applyFill="1" applyBorder="1" applyAlignment="1" applyProtection="1">
      <alignment horizontal="center" vertical="center" wrapText="1"/>
      <protection hidden="1"/>
    </xf>
    <xf numFmtId="0" fontId="16" fillId="5" borderId="76" xfId="0" applyFont="1" applyFill="1" applyBorder="1" applyAlignment="1" applyProtection="1">
      <alignment horizontal="center" vertical="center"/>
      <protection hidden="1"/>
    </xf>
    <xf numFmtId="0" fontId="16" fillId="5" borderId="77" xfId="0" applyFont="1" applyFill="1" applyBorder="1" applyAlignment="1" applyProtection="1">
      <alignment horizontal="center" vertical="center"/>
      <protection hidden="1"/>
    </xf>
    <xf numFmtId="0" fontId="6" fillId="8" borderId="8" xfId="0" applyFont="1" applyFill="1" applyBorder="1" applyAlignment="1" applyProtection="1">
      <alignment horizontal="center" vertical="center" wrapText="1"/>
      <protection hidden="1"/>
    </xf>
    <xf numFmtId="0" fontId="6" fillId="8" borderId="0" xfId="0" applyFont="1" applyFill="1" applyAlignment="1" applyProtection="1">
      <alignment horizontal="center" vertical="center" wrapText="1"/>
      <protection hidden="1"/>
    </xf>
    <xf numFmtId="3" fontId="6" fillId="8" borderId="8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0" xfId="0" applyNumberFormat="1" applyFont="1" applyFill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2" fillId="0" borderId="46" xfId="0" applyFont="1" applyBorder="1" applyAlignment="1" applyProtection="1">
      <alignment vertical="center" wrapText="1"/>
      <protection hidden="1"/>
    </xf>
    <xf numFmtId="0" fontId="2" fillId="0" borderId="47" xfId="0" applyFont="1" applyBorder="1" applyAlignment="1" applyProtection="1">
      <alignment vertical="center" wrapText="1"/>
      <protection hidden="1"/>
    </xf>
    <xf numFmtId="0" fontId="6" fillId="8" borderId="73" xfId="0" applyFont="1" applyFill="1" applyBorder="1" applyAlignment="1" applyProtection="1">
      <alignment horizontal="center" vertical="center" wrapText="1"/>
      <protection hidden="1"/>
    </xf>
    <xf numFmtId="0" fontId="6" fillId="8" borderId="74" xfId="0" applyFont="1" applyFill="1" applyBorder="1" applyAlignment="1" applyProtection="1">
      <alignment horizontal="center" vertical="center" wrapText="1"/>
      <protection hidden="1"/>
    </xf>
    <xf numFmtId="0" fontId="6" fillId="8" borderId="75" xfId="0" applyFont="1" applyFill="1" applyBorder="1" applyAlignment="1" applyProtection="1">
      <alignment horizontal="center" vertical="center" wrapText="1"/>
      <protection hidden="1"/>
    </xf>
    <xf numFmtId="17" fontId="6" fillId="8" borderId="8" xfId="0" applyNumberFormat="1" applyFont="1" applyFill="1" applyBorder="1" applyAlignment="1" applyProtection="1">
      <alignment horizontal="center" vertical="center" wrapText="1"/>
      <protection hidden="1"/>
    </xf>
    <xf numFmtId="17" fontId="6" fillId="8" borderId="0" xfId="0" applyNumberFormat="1" applyFont="1" applyFill="1" applyAlignment="1" applyProtection="1">
      <alignment horizontal="center" vertical="center" wrapText="1"/>
      <protection hidden="1"/>
    </xf>
    <xf numFmtId="0" fontId="6" fillId="0" borderId="48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49" xfId="0" applyFont="1" applyBorder="1" applyAlignment="1" applyProtection="1">
      <alignment horizontal="center" vertical="center" wrapText="1"/>
      <protection hidden="1"/>
    </xf>
    <xf numFmtId="0" fontId="15" fillId="0" borderId="45" xfId="0" applyFont="1" applyBorder="1" applyAlignment="1" applyProtection="1">
      <alignment horizontal="center" vertical="center" wrapText="1"/>
      <protection hidden="1"/>
    </xf>
    <xf numFmtId="0" fontId="15" fillId="0" borderId="46" xfId="0" applyFont="1" applyBorder="1" applyAlignment="1" applyProtection="1">
      <alignment horizontal="center" vertical="center" wrapText="1"/>
      <protection hidden="1"/>
    </xf>
    <xf numFmtId="0" fontId="12" fillId="0" borderId="18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0" fontId="12" fillId="0" borderId="22" xfId="0" applyFont="1" applyBorder="1" applyAlignment="1" applyProtection="1">
      <alignment horizontal="center" vertical="center" wrapText="1"/>
      <protection hidden="1"/>
    </xf>
    <xf numFmtId="0" fontId="12" fillId="0" borderId="27" xfId="0" applyFont="1" applyBorder="1" applyAlignment="1" applyProtection="1">
      <alignment horizontal="center" vertical="center" wrapText="1"/>
      <protection hidden="1"/>
    </xf>
    <xf numFmtId="0" fontId="12" fillId="0" borderId="28" xfId="0" applyFont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12" fillId="6" borderId="18" xfId="0" applyFont="1" applyFill="1" applyBorder="1" applyAlignment="1" applyProtection="1">
      <alignment horizontal="center" vertical="center" wrapText="1"/>
      <protection hidden="1"/>
    </xf>
    <xf numFmtId="0" fontId="12" fillId="6" borderId="21" xfId="0" applyFont="1" applyFill="1" applyBorder="1" applyAlignment="1" applyProtection="1">
      <alignment horizontal="center" vertical="center" wrapText="1"/>
      <protection hidden="1"/>
    </xf>
    <xf numFmtId="0" fontId="12" fillId="6" borderId="27" xfId="0" applyFont="1" applyFill="1" applyBorder="1" applyAlignment="1" applyProtection="1">
      <alignment horizontal="center" vertical="center" wrapText="1"/>
      <protection hidden="1"/>
    </xf>
    <xf numFmtId="0" fontId="8" fillId="5" borderId="18" xfId="0" applyFont="1" applyFill="1" applyBorder="1" applyAlignment="1" applyProtection="1">
      <alignment horizontal="center" vertical="center" wrapText="1"/>
      <protection hidden="1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0" fontId="8" fillId="5" borderId="21" xfId="0" applyFont="1" applyFill="1" applyBorder="1" applyAlignment="1" applyProtection="1">
      <alignment horizontal="center" vertical="center" wrapText="1"/>
      <protection hidden="1"/>
    </xf>
    <xf numFmtId="0" fontId="8" fillId="5" borderId="22" xfId="0" applyFont="1" applyFill="1" applyBorder="1" applyAlignment="1" applyProtection="1">
      <alignment horizontal="center" vertical="center" wrapText="1"/>
      <protection hidden="1"/>
    </xf>
    <xf numFmtId="0" fontId="8" fillId="5" borderId="27" xfId="0" applyFont="1" applyFill="1" applyBorder="1" applyAlignment="1" applyProtection="1">
      <alignment horizontal="center" vertical="center" wrapText="1"/>
      <protection hidden="1"/>
    </xf>
    <xf numFmtId="0" fontId="8" fillId="5" borderId="28" xfId="0" applyFont="1" applyFill="1" applyBorder="1" applyAlignment="1" applyProtection="1">
      <alignment horizontal="center" vertical="center" wrapText="1"/>
      <protection hidden="1"/>
    </xf>
    <xf numFmtId="0" fontId="12" fillId="0" borderId="30" xfId="0" applyFont="1" applyBorder="1" applyAlignment="1" applyProtection="1">
      <alignment horizontal="center" vertical="center" wrapText="1"/>
      <protection hidden="1"/>
    </xf>
    <xf numFmtId="0" fontId="12" fillId="0" borderId="31" xfId="0" applyFont="1" applyBorder="1" applyAlignment="1" applyProtection="1">
      <alignment horizontal="center" vertical="center" wrapText="1"/>
      <protection hidden="1"/>
    </xf>
    <xf numFmtId="0" fontId="12" fillId="7" borderId="18" xfId="0" applyFont="1" applyFill="1" applyBorder="1" applyAlignment="1" applyProtection="1">
      <alignment horizontal="center" vertical="center" wrapText="1"/>
      <protection hidden="1"/>
    </xf>
    <xf numFmtId="0" fontId="12" fillId="7" borderId="19" xfId="0" applyFont="1" applyFill="1" applyBorder="1" applyAlignment="1" applyProtection="1">
      <alignment horizontal="center" vertical="center" wrapText="1"/>
      <protection hidden="1"/>
    </xf>
    <xf numFmtId="0" fontId="12" fillId="7" borderId="21" xfId="0" applyFont="1" applyFill="1" applyBorder="1" applyAlignment="1" applyProtection="1">
      <alignment horizontal="center" vertical="center" wrapText="1"/>
      <protection hidden="1"/>
    </xf>
    <xf numFmtId="0" fontId="12" fillId="7" borderId="22" xfId="0" applyFont="1" applyFill="1" applyBorder="1" applyAlignment="1" applyProtection="1">
      <alignment horizontal="center" vertical="center" wrapText="1"/>
      <protection hidden="1"/>
    </xf>
    <xf numFmtId="0" fontId="12" fillId="7" borderId="27" xfId="0" applyFont="1" applyFill="1" applyBorder="1" applyAlignment="1" applyProtection="1">
      <alignment horizontal="center" vertical="center" wrapText="1"/>
      <protection hidden="1"/>
    </xf>
    <xf numFmtId="0" fontId="12" fillId="7" borderId="28" xfId="0" applyFont="1" applyFill="1" applyBorder="1" applyAlignment="1" applyProtection="1">
      <alignment horizontal="center" vertical="center" wrapText="1"/>
      <protection hidden="1"/>
    </xf>
    <xf numFmtId="0" fontId="12" fillId="6" borderId="19" xfId="0" applyFont="1" applyFill="1" applyBorder="1" applyAlignment="1" applyProtection="1">
      <alignment horizontal="center" vertical="center" wrapText="1"/>
      <protection hidden="1"/>
    </xf>
    <xf numFmtId="0" fontId="12" fillId="6" borderId="22" xfId="0" applyFont="1" applyFill="1" applyBorder="1" applyAlignment="1" applyProtection="1">
      <alignment horizontal="center" vertical="center" wrapText="1"/>
      <protection hidden="1"/>
    </xf>
    <xf numFmtId="0" fontId="12" fillId="6" borderId="28" xfId="0" applyFont="1" applyFill="1" applyBorder="1" applyAlignment="1" applyProtection="1">
      <alignment horizontal="center" vertical="center" wrapText="1"/>
      <protection hidden="1"/>
    </xf>
    <xf numFmtId="0" fontId="12" fillId="6" borderId="34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4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17" fontId="4" fillId="0" borderId="2" xfId="0" applyNumberFormat="1" applyFont="1" applyBorder="1" applyAlignment="1" applyProtection="1">
      <alignment horizontal="center" vertical="center" wrapText="1"/>
      <protection hidden="1"/>
    </xf>
    <xf numFmtId="17" fontId="4" fillId="0" borderId="3" xfId="0" applyNumberFormat="1" applyFont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12" fillId="0" borderId="39" xfId="0" applyFont="1" applyBorder="1" applyAlignment="1" applyProtection="1">
      <alignment horizontal="center" vertical="center" wrapText="1"/>
      <protection hidden="1"/>
    </xf>
    <xf numFmtId="0" fontId="12" fillId="6" borderId="35" xfId="0" applyFont="1" applyFill="1" applyBorder="1" applyAlignment="1" applyProtection="1">
      <alignment horizontal="center" vertical="center" wrapText="1"/>
      <protection hidden="1"/>
    </xf>
    <xf numFmtId="0" fontId="8" fillId="5" borderId="14" xfId="0" applyFont="1" applyFill="1" applyBorder="1" applyAlignment="1" applyProtection="1">
      <alignment horizontal="center" vertical="center" wrapText="1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0" fontId="8" fillId="5" borderId="25" xfId="0" applyFont="1" applyFill="1" applyBorder="1" applyAlignment="1" applyProtection="1">
      <alignment horizontal="center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2" xr:uid="{E2789987-4F4C-473E-B699-9396C4981940}"/>
    <cellStyle name="Porcentaje" xfId="1" builtinId="5"/>
  </cellStyles>
  <dxfs count="108"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309</xdr:row>
      <xdr:rowOff>47625</xdr:rowOff>
    </xdr:from>
    <xdr:to>
      <xdr:col>9</xdr:col>
      <xdr:colOff>781050</xdr:colOff>
      <xdr:row>310</xdr:row>
      <xdr:rowOff>294216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4CE97720-19EB-41E2-B5C5-EF68EBF41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79371825"/>
          <a:ext cx="5029200" cy="4180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180976</xdr:colOff>
      <xdr:row>0</xdr:row>
      <xdr:rowOff>0</xdr:rowOff>
    </xdr:from>
    <xdr:to>
      <xdr:col>2</xdr:col>
      <xdr:colOff>1190625</xdr:colOff>
      <xdr:row>1</xdr:row>
      <xdr:rowOff>16754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49D31309-A1C0-4D11-A636-5D832ADB5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6" y="0"/>
          <a:ext cx="1200149" cy="654929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54</xdr:row>
      <xdr:rowOff>0</xdr:rowOff>
    </xdr:from>
    <xdr:to>
      <xdr:col>2</xdr:col>
      <xdr:colOff>1190624</xdr:colOff>
      <xdr:row>55</xdr:row>
      <xdr:rowOff>16754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31A2AE9E-D8FB-4A60-A82B-54A9F81DE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5763875"/>
          <a:ext cx="1200149" cy="65492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1200149</xdr:colOff>
      <xdr:row>109</xdr:row>
      <xdr:rowOff>16754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C6801836-8DA9-4221-980E-06C21A973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32689800"/>
          <a:ext cx="1200149" cy="65492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1200149</xdr:colOff>
      <xdr:row>234</xdr:row>
      <xdr:rowOff>16754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6F96323F-841B-46E1-842B-416C2C7A6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3359050"/>
          <a:ext cx="1200149" cy="65492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1200149</xdr:colOff>
      <xdr:row>287</xdr:row>
      <xdr:rowOff>16754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811211FD-A2EF-4CAB-9734-4FEBD470B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70646925"/>
          <a:ext cx="1200149" cy="6549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DT\Turismo%20de%20Tenerife%20S.A\INVESTIGACION365%20-%20General\BOLETIN%20ESTAD&#205;STICO%20SPET\INDICADORES%20TURISTICOS%20DE%20TENERIFE\Indicadores%20Tur&#237;sticos%20Plantilla%20(bbdd%20sql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IZACIÓN"/>
      <sheetName val="Ind turísticos (vinculo)"/>
      <sheetName val="Hoja3"/>
      <sheetName val="TTDD DATOS"/>
      <sheetName val="gasto"/>
      <sheetName val="Hoja1"/>
      <sheetName val="Hoja2"/>
      <sheetName val="plazas autorizadas"/>
      <sheetName val="cruceros"/>
      <sheetName val="Ind turísticos invierno"/>
      <sheetName val="TTDD invierno"/>
      <sheetName val="Ind turísticos verano"/>
      <sheetName val="TTDD verano"/>
      <sheetName val="TTDD DATOS (2)"/>
      <sheetName val="para grafico de cam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1" t="e">
            <v>#REF!</v>
          </cell>
          <cell r="C1" t="e">
            <v>#REF!</v>
          </cell>
          <cell r="D1" t="e">
            <v>#REF!</v>
          </cell>
          <cell r="E1" t="e">
            <v>#REF!</v>
          </cell>
          <cell r="F1" t="e">
            <v>#REF!</v>
          </cell>
          <cell r="G1" t="e">
            <v>#REF!</v>
          </cell>
          <cell r="H1" t="e">
            <v>#REF!</v>
          </cell>
          <cell r="I1" t="e">
            <v>#REF!</v>
          </cell>
          <cell r="J1" t="e">
            <v>#REF!</v>
          </cell>
          <cell r="K1" t="e">
            <v>#REF!</v>
          </cell>
        </row>
        <row r="2">
          <cell r="B2" t="e">
            <v>#REF!</v>
          </cell>
          <cell r="C2" t="e">
            <v>#REF!</v>
          </cell>
          <cell r="D2" t="e">
            <v>#REF!</v>
          </cell>
          <cell r="E2" t="e">
            <v>#REF!</v>
          </cell>
          <cell r="F2" t="e">
            <v>#REF!</v>
          </cell>
          <cell r="G2" t="e">
            <v>#REF!</v>
          </cell>
          <cell r="H2" t="e">
            <v>#REF!</v>
          </cell>
          <cell r="I2" t="e">
            <v>#REF!</v>
          </cell>
          <cell r="J2" t="e">
            <v>#REF!</v>
          </cell>
          <cell r="K2" t="e">
            <v>#REF!</v>
          </cell>
        </row>
        <row r="3">
          <cell r="B3" t="e">
            <v>#REF!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e">
            <v>#REF!</v>
          </cell>
          <cell r="H3" t="e">
            <v>#REF!</v>
          </cell>
          <cell r="I3" t="e">
            <v>#REF!</v>
          </cell>
          <cell r="J3" t="e">
            <v>#REF!</v>
          </cell>
          <cell r="K3" t="e">
            <v>#REF!</v>
          </cell>
        </row>
        <row r="4">
          <cell r="B4" t="e">
            <v>#REF!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</row>
        <row r="5">
          <cell r="B5" t="e">
            <v>#REF!</v>
          </cell>
          <cell r="C5" t="e">
            <v>#REF!</v>
          </cell>
          <cell r="D5" t="e">
            <v>#REF!</v>
          </cell>
          <cell r="E5" t="e">
            <v>#REF!</v>
          </cell>
          <cell r="F5" t="e">
            <v>#REF!</v>
          </cell>
          <cell r="G5" t="e">
            <v>#REF!</v>
          </cell>
          <cell r="H5" t="e">
            <v>#REF!</v>
          </cell>
          <cell r="I5" t="e">
            <v>#REF!</v>
          </cell>
          <cell r="J5" t="e">
            <v>#REF!</v>
          </cell>
          <cell r="K5" t="e">
            <v>#REF!</v>
          </cell>
        </row>
        <row r="6">
          <cell r="B6" t="e">
            <v>#REF!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A481D-4043-4383-A48D-44C745AB3C25}">
  <sheetPr published="0" codeName="Hoja14">
    <tabColor theme="5" tint="0.39997558519241921"/>
  </sheetPr>
  <dimension ref="C1:T325"/>
  <sheetViews>
    <sheetView showGridLines="0" tabSelected="1" showRuler="0" topLeftCell="A256" zoomScale="90" zoomScaleNormal="90" workbookViewId="0">
      <selection activeCell="F270" sqref="F270:M275"/>
    </sheetView>
  </sheetViews>
  <sheetFormatPr baseColWidth="10" defaultRowHeight="12.75" x14ac:dyDescent="0.2"/>
  <cols>
    <col min="1" max="2" width="2.85546875" style="2" customWidth="1"/>
    <col min="3" max="3" width="20.7109375" style="2" customWidth="1"/>
    <col min="4" max="4" width="16.42578125" style="2" customWidth="1"/>
    <col min="5" max="5" width="16.140625" style="2" customWidth="1"/>
    <col min="6" max="6" width="16" style="2" customWidth="1"/>
    <col min="7" max="7" width="16.7109375" style="2" customWidth="1"/>
    <col min="8" max="9" width="16.140625" style="2" customWidth="1"/>
    <col min="10" max="10" width="16.7109375" style="2" customWidth="1"/>
    <col min="11" max="11" width="16.140625" style="2" customWidth="1"/>
    <col min="12" max="13" width="15.7109375" style="2" customWidth="1"/>
    <col min="14" max="14" width="12.140625" style="2" bestFit="1" customWidth="1"/>
    <col min="15" max="17" width="8.85546875" style="2" customWidth="1"/>
    <col min="18" max="18" width="23.28515625" style="2" customWidth="1"/>
    <col min="19" max="19" width="2.7109375" style="2" customWidth="1"/>
    <col min="20" max="20" width="23.28515625" style="2" customWidth="1"/>
    <col min="21" max="21" width="2.7109375" style="2" customWidth="1"/>
    <col min="22" max="22" width="23.28515625" style="2" customWidth="1"/>
    <col min="23" max="16384" width="11.42578125" style="2"/>
  </cols>
  <sheetData>
    <row r="1" spans="3:13" ht="50.25" customHeight="1" thickBot="1" x14ac:dyDescent="0.25">
      <c r="C1" s="1"/>
      <c r="D1" s="1"/>
      <c r="E1" s="280" t="s">
        <v>93</v>
      </c>
      <c r="F1" s="280"/>
      <c r="G1" s="280"/>
      <c r="H1" s="280"/>
      <c r="I1" s="280"/>
      <c r="J1" s="280"/>
      <c r="K1" s="280"/>
      <c r="L1" s="1"/>
      <c r="M1" s="1"/>
    </row>
    <row r="2" spans="3:13" ht="15" customHeight="1" x14ac:dyDescent="0.2">
      <c r="C2" s="382" t="s">
        <v>94</v>
      </c>
      <c r="D2" s="382"/>
      <c r="E2" s="382"/>
      <c r="F2" s="382"/>
      <c r="G2" s="382"/>
      <c r="H2" s="3"/>
      <c r="I2" s="384" t="s">
        <v>111</v>
      </c>
      <c r="J2" s="384"/>
      <c r="K2" s="384"/>
      <c r="L2" s="384"/>
      <c r="M2" s="384"/>
    </row>
    <row r="3" spans="3:13" ht="16.5" customHeight="1" thickBot="1" x14ac:dyDescent="0.25">
      <c r="C3" s="383"/>
      <c r="D3" s="383"/>
      <c r="E3" s="383"/>
      <c r="F3" s="383"/>
      <c r="G3" s="383"/>
      <c r="H3" s="4"/>
      <c r="I3" s="385"/>
      <c r="J3" s="385"/>
      <c r="K3" s="385"/>
      <c r="L3" s="385"/>
      <c r="M3" s="385"/>
    </row>
    <row r="4" spans="3:13" ht="5.25" customHeight="1" x14ac:dyDescent="0.2">
      <c r="C4" s="5"/>
      <c r="E4" s="6"/>
      <c r="F4" s="6"/>
      <c r="G4" s="7"/>
      <c r="H4" s="8"/>
      <c r="I4" s="9"/>
      <c r="J4" s="6"/>
      <c r="K4" s="10"/>
      <c r="L4" s="11"/>
      <c r="M4" s="12"/>
    </row>
    <row r="5" spans="3:13" ht="81.75" customHeight="1" x14ac:dyDescent="0.2">
      <c r="C5" s="386" t="s">
        <v>0</v>
      </c>
      <c r="D5" s="387"/>
      <c r="E5" s="13" t="s">
        <v>1</v>
      </c>
      <c r="F5" s="13" t="s">
        <v>2</v>
      </c>
      <c r="G5" s="14" t="s">
        <v>3</v>
      </c>
      <c r="H5" s="15"/>
      <c r="I5" s="16" t="s">
        <v>0</v>
      </c>
      <c r="J5" s="13" t="s">
        <v>1</v>
      </c>
      <c r="K5" s="13" t="s">
        <v>4</v>
      </c>
      <c r="L5" s="13" t="s">
        <v>3</v>
      </c>
      <c r="M5" s="14" t="s">
        <v>5</v>
      </c>
    </row>
    <row r="6" spans="3:13" ht="5.25" customHeight="1" thickBot="1" x14ac:dyDescent="0.25"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3:13" ht="18.75" thickBot="1" x14ac:dyDescent="0.25">
      <c r="C7" s="253" t="s">
        <v>6</v>
      </c>
      <c r="D7" s="254"/>
      <c r="E7" s="254"/>
      <c r="F7" s="254"/>
      <c r="G7" s="254"/>
      <c r="H7" s="254"/>
      <c r="I7" s="254"/>
      <c r="J7" s="254"/>
      <c r="K7" s="254"/>
      <c r="L7" s="254"/>
      <c r="M7" s="255"/>
    </row>
    <row r="8" spans="3:13" ht="5.25" customHeight="1" thickBot="1" x14ac:dyDescent="0.25"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</row>
    <row r="9" spans="3:13" ht="24.75" customHeight="1" x14ac:dyDescent="0.2">
      <c r="C9" s="390" t="s">
        <v>7</v>
      </c>
      <c r="D9" s="391"/>
      <c r="E9" s="20" t="s">
        <v>8</v>
      </c>
      <c r="F9" s="21">
        <v>520276</v>
      </c>
      <c r="G9" s="22">
        <v>3.1648870249744609E-2</v>
      </c>
      <c r="H9" s="23"/>
      <c r="I9" s="360" t="s">
        <v>7</v>
      </c>
      <c r="J9" s="24" t="s">
        <v>8</v>
      </c>
      <c r="K9" s="25">
        <v>2377734</v>
      </c>
      <c r="L9" s="26">
        <v>5.0772390849744831E-2</v>
      </c>
      <c r="M9" s="356" t="s">
        <v>9</v>
      </c>
    </row>
    <row r="10" spans="3:13" ht="24.75" customHeight="1" x14ac:dyDescent="0.2">
      <c r="C10" s="362"/>
      <c r="D10" s="363"/>
      <c r="E10" s="27" t="s">
        <v>10</v>
      </c>
      <c r="F10" s="28">
        <v>341938</v>
      </c>
      <c r="G10" s="29">
        <v>7.4126014224180636E-3</v>
      </c>
      <c r="H10" s="30"/>
      <c r="I10" s="362"/>
      <c r="J10" s="27" t="s">
        <v>10</v>
      </c>
      <c r="K10" s="28">
        <v>1569685</v>
      </c>
      <c r="L10" s="31">
        <v>3.0214984038308135E-2</v>
      </c>
      <c r="M10" s="356"/>
    </row>
    <row r="11" spans="3:13" ht="24.75" customHeight="1" thickBot="1" x14ac:dyDescent="0.25">
      <c r="C11" s="392"/>
      <c r="D11" s="393"/>
      <c r="E11" s="32" t="s">
        <v>11</v>
      </c>
      <c r="F11" s="21">
        <v>178338</v>
      </c>
      <c r="G11" s="22">
        <v>8.1537724463743189E-2</v>
      </c>
      <c r="H11" s="30"/>
      <c r="I11" s="364"/>
      <c r="J11" s="33" t="s">
        <v>11</v>
      </c>
      <c r="K11" s="34">
        <v>808049</v>
      </c>
      <c r="L11" s="35">
        <v>9.3145796243486068E-2</v>
      </c>
      <c r="M11" s="356"/>
    </row>
    <row r="12" spans="3:13" ht="29.25" customHeight="1" thickBot="1" x14ac:dyDescent="0.25">
      <c r="C12" s="366" t="s">
        <v>12</v>
      </c>
      <c r="D12" s="367"/>
      <c r="E12" s="36" t="s">
        <v>10</v>
      </c>
      <c r="F12" s="37">
        <v>23169</v>
      </c>
      <c r="G12" s="38">
        <v>7.1547497918786451E-2</v>
      </c>
      <c r="H12" s="39"/>
      <c r="I12" s="40" t="s">
        <v>12</v>
      </c>
      <c r="J12" s="36" t="s">
        <v>10</v>
      </c>
      <c r="K12" s="37">
        <v>107484</v>
      </c>
      <c r="L12" s="35">
        <v>1.2242899118511286E-2</v>
      </c>
      <c r="M12" s="356"/>
    </row>
    <row r="13" spans="3:13" ht="24.75" customHeight="1" x14ac:dyDescent="0.2">
      <c r="C13" s="368" t="s">
        <v>13</v>
      </c>
      <c r="D13" s="369"/>
      <c r="E13" s="41" t="s">
        <v>8</v>
      </c>
      <c r="F13" s="42">
        <v>8224</v>
      </c>
      <c r="G13" s="43">
        <v>0.3062261753494282</v>
      </c>
      <c r="H13" s="39"/>
      <c r="I13" s="368" t="s">
        <v>13</v>
      </c>
      <c r="J13" s="41" t="s">
        <v>8</v>
      </c>
      <c r="K13" s="42">
        <v>36400</v>
      </c>
      <c r="L13" s="26">
        <v>0.1838553354798842</v>
      </c>
      <c r="M13" s="356"/>
    </row>
    <row r="14" spans="3:13" ht="24.75" customHeight="1" x14ac:dyDescent="0.2">
      <c r="C14" s="370"/>
      <c r="D14" s="371"/>
      <c r="E14" s="44" t="s">
        <v>10</v>
      </c>
      <c r="F14" s="45">
        <v>5645</v>
      </c>
      <c r="G14" s="29">
        <v>0.12562313060817543</v>
      </c>
      <c r="H14" s="39"/>
      <c r="I14" s="370"/>
      <c r="J14" s="44" t="s">
        <v>10</v>
      </c>
      <c r="K14" s="45">
        <v>25796</v>
      </c>
      <c r="L14" s="31">
        <v>4.3274286176494314E-2</v>
      </c>
      <c r="M14" s="356"/>
    </row>
    <row r="15" spans="3:13" ht="24.75" customHeight="1" thickBot="1" x14ac:dyDescent="0.25">
      <c r="C15" s="372"/>
      <c r="D15" s="373"/>
      <c r="E15" s="46" t="s">
        <v>11</v>
      </c>
      <c r="F15" s="47">
        <v>2579</v>
      </c>
      <c r="G15" s="38">
        <v>1.0132708821233409</v>
      </c>
      <c r="H15" s="39"/>
      <c r="I15" s="372"/>
      <c r="J15" s="46" t="s">
        <v>11</v>
      </c>
      <c r="K15" s="47">
        <v>10604</v>
      </c>
      <c r="L15" s="35">
        <v>0.76116924098986871</v>
      </c>
      <c r="M15" s="356"/>
    </row>
    <row r="16" spans="3:13" ht="24.75" customHeight="1" x14ac:dyDescent="0.2">
      <c r="C16" s="350" t="s">
        <v>14</v>
      </c>
      <c r="D16" s="351"/>
      <c r="E16" s="48" t="s">
        <v>8</v>
      </c>
      <c r="F16" s="49">
        <v>95583</v>
      </c>
      <c r="G16" s="43">
        <v>-1.2121338780969326E-3</v>
      </c>
      <c r="H16" s="39"/>
      <c r="I16" s="350" t="s">
        <v>14</v>
      </c>
      <c r="J16" s="48" t="s">
        <v>8</v>
      </c>
      <c r="K16" s="49">
        <v>428562</v>
      </c>
      <c r="L16" s="26">
        <v>5.4989365473236518E-2</v>
      </c>
      <c r="M16" s="356"/>
    </row>
    <row r="17" spans="3:13" ht="24.75" customHeight="1" x14ac:dyDescent="0.2">
      <c r="C17" s="352"/>
      <c r="D17" s="353"/>
      <c r="E17" s="50" t="s">
        <v>10</v>
      </c>
      <c r="F17" s="51">
        <v>68011</v>
      </c>
      <c r="G17" s="29">
        <v>-2.6662277814351598E-2</v>
      </c>
      <c r="H17" s="39"/>
      <c r="I17" s="352"/>
      <c r="J17" s="50" t="s">
        <v>10</v>
      </c>
      <c r="K17" s="51">
        <v>312399</v>
      </c>
      <c r="L17" s="31">
        <v>3.3174806857868555E-2</v>
      </c>
      <c r="M17" s="356"/>
    </row>
    <row r="18" spans="3:13" ht="24.75" customHeight="1" thickBot="1" x14ac:dyDescent="0.25">
      <c r="C18" s="354"/>
      <c r="D18" s="355"/>
      <c r="E18" s="36" t="s">
        <v>11</v>
      </c>
      <c r="F18" s="37">
        <v>27572</v>
      </c>
      <c r="G18" s="38">
        <v>6.7647628267182958E-2</v>
      </c>
      <c r="H18" s="39"/>
      <c r="I18" s="354"/>
      <c r="J18" s="36" t="s">
        <v>11</v>
      </c>
      <c r="K18" s="37">
        <v>116163</v>
      </c>
      <c r="L18" s="35">
        <v>0.1185006162378679</v>
      </c>
      <c r="M18" s="356"/>
    </row>
    <row r="19" spans="3:13" ht="24.75" customHeight="1" x14ac:dyDescent="0.2">
      <c r="C19" s="357" t="s">
        <v>15</v>
      </c>
      <c r="D19" s="374"/>
      <c r="E19" s="52" t="s">
        <v>8</v>
      </c>
      <c r="F19" s="53">
        <v>393300</v>
      </c>
      <c r="G19" s="43">
        <v>3.3102354096948172E-2</v>
      </c>
      <c r="H19" s="39"/>
      <c r="I19" s="357" t="s">
        <v>15</v>
      </c>
      <c r="J19" s="52" t="s">
        <v>8</v>
      </c>
      <c r="K19" s="53">
        <v>1805288</v>
      </c>
      <c r="L19" s="26">
        <v>4.9775860635266067E-2</v>
      </c>
      <c r="M19" s="356"/>
    </row>
    <row r="20" spans="3:13" ht="24.75" customHeight="1" x14ac:dyDescent="0.2">
      <c r="C20" s="358"/>
      <c r="D20" s="375"/>
      <c r="E20" s="54" t="s">
        <v>10</v>
      </c>
      <c r="F20" s="55">
        <v>245113</v>
      </c>
      <c r="G20" s="29">
        <v>9.065048515711549E-3</v>
      </c>
      <c r="H20" s="39"/>
      <c r="I20" s="358"/>
      <c r="J20" s="54" t="s">
        <v>10</v>
      </c>
      <c r="K20" s="55">
        <v>1124006</v>
      </c>
      <c r="L20" s="31">
        <v>3.0848244173995898E-2</v>
      </c>
      <c r="M20" s="356"/>
    </row>
    <row r="21" spans="3:13" ht="24.75" customHeight="1" thickBot="1" x14ac:dyDescent="0.25">
      <c r="C21" s="359"/>
      <c r="D21" s="376"/>
      <c r="E21" s="56" t="s">
        <v>11</v>
      </c>
      <c r="F21" s="57">
        <v>148187</v>
      </c>
      <c r="G21" s="38">
        <v>7.5478818756486543E-2</v>
      </c>
      <c r="H21" s="39"/>
      <c r="I21" s="359"/>
      <c r="J21" s="56" t="s">
        <v>11</v>
      </c>
      <c r="K21" s="57">
        <v>681282</v>
      </c>
      <c r="L21" s="35">
        <v>8.2570206842634608E-2</v>
      </c>
      <c r="M21" s="356"/>
    </row>
    <row r="22" spans="3:13" ht="5.25" customHeight="1" thickBot="1" x14ac:dyDescent="0.25"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3:13" ht="20.100000000000001" customHeight="1" thickBot="1" x14ac:dyDescent="0.25">
      <c r="C23" s="253" t="s">
        <v>16</v>
      </c>
      <c r="D23" s="254"/>
      <c r="E23" s="254"/>
      <c r="F23" s="254"/>
      <c r="G23" s="254"/>
      <c r="H23" s="254"/>
      <c r="I23" s="254"/>
      <c r="J23" s="254"/>
      <c r="K23" s="254"/>
      <c r="L23" s="254"/>
      <c r="M23" s="255"/>
    </row>
    <row r="24" spans="3:13" ht="5.25" customHeight="1" thickBot="1" x14ac:dyDescent="0.25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59"/>
    </row>
    <row r="25" spans="3:13" ht="24.95" customHeight="1" x14ac:dyDescent="0.2">
      <c r="C25" s="360" t="s">
        <v>7</v>
      </c>
      <c r="D25" s="361"/>
      <c r="E25" s="24" t="s">
        <v>8</v>
      </c>
      <c r="F25" s="21">
        <v>3627801</v>
      </c>
      <c r="G25" s="22">
        <v>2.7681210985347704E-2</v>
      </c>
      <c r="H25" s="23"/>
      <c r="I25" s="360" t="s">
        <v>7</v>
      </c>
      <c r="J25" s="24" t="s">
        <v>8</v>
      </c>
      <c r="K25" s="25">
        <v>17543314</v>
      </c>
      <c r="L25" s="26">
        <v>3.2424055691404163E-2</v>
      </c>
      <c r="M25" s="356" t="s">
        <v>9</v>
      </c>
    </row>
    <row r="26" spans="3:13" ht="24.95" customHeight="1" x14ac:dyDescent="0.2">
      <c r="C26" s="362"/>
      <c r="D26" s="363"/>
      <c r="E26" s="27" t="s">
        <v>10</v>
      </c>
      <c r="F26" s="28">
        <v>2249293</v>
      </c>
      <c r="G26" s="29">
        <v>1.9596457397842881E-2</v>
      </c>
      <c r="H26" s="30"/>
      <c r="I26" s="362"/>
      <c r="J26" s="27" t="s">
        <v>10</v>
      </c>
      <c r="K26" s="28">
        <v>10819448</v>
      </c>
      <c r="L26" s="31">
        <v>1.181234281390009E-2</v>
      </c>
      <c r="M26" s="356"/>
    </row>
    <row r="27" spans="3:13" ht="24.95" customHeight="1" thickBot="1" x14ac:dyDescent="0.25">
      <c r="C27" s="364"/>
      <c r="D27" s="365"/>
      <c r="E27" s="33" t="s">
        <v>11</v>
      </c>
      <c r="F27" s="21">
        <v>1378508</v>
      </c>
      <c r="G27" s="22">
        <v>4.1151884183193266E-2</v>
      </c>
      <c r="H27" s="30"/>
      <c r="I27" s="364"/>
      <c r="J27" s="33" t="s">
        <v>11</v>
      </c>
      <c r="K27" s="34">
        <v>6723866</v>
      </c>
      <c r="L27" s="35">
        <v>6.7413151096898494E-2</v>
      </c>
      <c r="M27" s="356"/>
    </row>
    <row r="28" spans="3:13" ht="24.95" customHeight="1" thickBot="1" x14ac:dyDescent="0.25">
      <c r="C28" s="366" t="s">
        <v>12</v>
      </c>
      <c r="D28" s="367"/>
      <c r="E28" s="36" t="s">
        <v>10</v>
      </c>
      <c r="F28" s="37">
        <v>56038</v>
      </c>
      <c r="G28" s="38">
        <v>0.1212757868619565</v>
      </c>
      <c r="H28" s="39"/>
      <c r="I28" s="40" t="s">
        <v>12</v>
      </c>
      <c r="J28" s="36" t="s">
        <v>10</v>
      </c>
      <c r="K28" s="37">
        <v>265814</v>
      </c>
      <c r="L28" s="35">
        <v>6.6036222468196959E-2</v>
      </c>
      <c r="M28" s="356"/>
    </row>
    <row r="29" spans="3:13" ht="24.95" customHeight="1" x14ac:dyDescent="0.2">
      <c r="C29" s="368" t="s">
        <v>13</v>
      </c>
      <c r="D29" s="369"/>
      <c r="E29" s="41" t="s">
        <v>8</v>
      </c>
      <c r="F29" s="42">
        <v>30808</v>
      </c>
      <c r="G29" s="43">
        <v>0.30172814467401876</v>
      </c>
      <c r="H29" s="39"/>
      <c r="I29" s="368" t="s">
        <v>13</v>
      </c>
      <c r="J29" s="41" t="s">
        <v>8</v>
      </c>
      <c r="K29" s="42">
        <v>132331</v>
      </c>
      <c r="L29" s="26">
        <v>0.23305068952664931</v>
      </c>
      <c r="M29" s="356"/>
    </row>
    <row r="30" spans="3:13" ht="24.95" customHeight="1" x14ac:dyDescent="0.2">
      <c r="C30" s="370"/>
      <c r="D30" s="371"/>
      <c r="E30" s="44" t="s">
        <v>10</v>
      </c>
      <c r="F30" s="45">
        <v>15082</v>
      </c>
      <c r="G30" s="29">
        <v>9.7074379058712523E-3</v>
      </c>
      <c r="H30" s="39"/>
      <c r="I30" s="370"/>
      <c r="J30" s="44" t="s">
        <v>10</v>
      </c>
      <c r="K30" s="45">
        <v>68386</v>
      </c>
      <c r="L30" s="31">
        <v>2.1448842419716119E-2</v>
      </c>
      <c r="M30" s="356"/>
    </row>
    <row r="31" spans="3:13" ht="24.95" customHeight="1" thickBot="1" x14ac:dyDescent="0.25">
      <c r="C31" s="372"/>
      <c r="D31" s="373"/>
      <c r="E31" s="46" t="s">
        <v>11</v>
      </c>
      <c r="F31" s="47">
        <v>15726</v>
      </c>
      <c r="G31" s="38">
        <v>0.80137457044673543</v>
      </c>
      <c r="H31" s="39"/>
      <c r="I31" s="372"/>
      <c r="J31" s="46" t="s">
        <v>11</v>
      </c>
      <c r="K31" s="47">
        <v>63945</v>
      </c>
      <c r="L31" s="35">
        <v>0.58397324746098578</v>
      </c>
      <c r="M31" s="356"/>
    </row>
    <row r="32" spans="3:13" ht="24.95" customHeight="1" x14ac:dyDescent="0.2">
      <c r="C32" s="350" t="s">
        <v>14</v>
      </c>
      <c r="D32" s="351"/>
      <c r="E32" s="48" t="s">
        <v>8</v>
      </c>
      <c r="F32" s="49">
        <v>660438</v>
      </c>
      <c r="G32" s="43">
        <v>7.3349409498359996E-3</v>
      </c>
      <c r="H32" s="39"/>
      <c r="I32" s="350" t="s">
        <v>14</v>
      </c>
      <c r="J32" s="48" t="s">
        <v>8</v>
      </c>
      <c r="K32" s="49">
        <v>3260350</v>
      </c>
      <c r="L32" s="26">
        <v>3.2063988695364198E-2</v>
      </c>
      <c r="M32" s="356"/>
    </row>
    <row r="33" spans="3:13" ht="24.95" customHeight="1" x14ac:dyDescent="0.2">
      <c r="C33" s="352"/>
      <c r="D33" s="353"/>
      <c r="E33" s="50" t="s">
        <v>10</v>
      </c>
      <c r="F33" s="51">
        <v>460461</v>
      </c>
      <c r="G33" s="29">
        <v>2.7491347589263304E-2</v>
      </c>
      <c r="H33" s="39"/>
      <c r="I33" s="352"/>
      <c r="J33" s="50" t="s">
        <v>10</v>
      </c>
      <c r="K33" s="51">
        <v>2265711</v>
      </c>
      <c r="L33" s="31">
        <v>2.9917791530959414E-2</v>
      </c>
      <c r="M33" s="356"/>
    </row>
    <row r="34" spans="3:13" ht="24.95" customHeight="1" thickBot="1" x14ac:dyDescent="0.25">
      <c r="C34" s="354"/>
      <c r="D34" s="355"/>
      <c r="E34" s="36" t="s">
        <v>11</v>
      </c>
      <c r="F34" s="37">
        <v>199977</v>
      </c>
      <c r="G34" s="38">
        <v>-3.6199683837137564E-2</v>
      </c>
      <c r="H34" s="39"/>
      <c r="I34" s="354"/>
      <c r="J34" s="36" t="s">
        <v>11</v>
      </c>
      <c r="K34" s="37">
        <v>994639</v>
      </c>
      <c r="L34" s="35">
        <v>3.6986414196544359E-2</v>
      </c>
      <c r="M34" s="356"/>
    </row>
    <row r="35" spans="3:13" ht="24.95" customHeight="1" x14ac:dyDescent="0.2">
      <c r="C35" s="357" t="s">
        <v>15</v>
      </c>
      <c r="D35" s="374"/>
      <c r="E35" s="52" t="s">
        <v>8</v>
      </c>
      <c r="F35" s="53">
        <v>2880517</v>
      </c>
      <c r="G35" s="43">
        <v>2.8458185861166552E-2</v>
      </c>
      <c r="H35" s="39"/>
      <c r="I35" s="357" t="s">
        <v>15</v>
      </c>
      <c r="J35" s="52" t="s">
        <v>8</v>
      </c>
      <c r="K35" s="53">
        <v>13884819</v>
      </c>
      <c r="L35" s="26">
        <v>3.0288884599981802E-2</v>
      </c>
      <c r="M35" s="356"/>
    </row>
    <row r="36" spans="3:13" ht="24.95" customHeight="1" x14ac:dyDescent="0.2">
      <c r="C36" s="358"/>
      <c r="D36" s="375"/>
      <c r="E36" s="54" t="s">
        <v>10</v>
      </c>
      <c r="F36" s="55">
        <v>1717712</v>
      </c>
      <c r="G36" s="29">
        <v>1.4592379121882049E-2</v>
      </c>
      <c r="H36" s="39"/>
      <c r="I36" s="358"/>
      <c r="J36" s="54" t="s">
        <v>10</v>
      </c>
      <c r="K36" s="55">
        <v>8219537</v>
      </c>
      <c r="L36" s="31">
        <v>5.2089142349514006E-3</v>
      </c>
      <c r="M36" s="356"/>
    </row>
    <row r="37" spans="3:13" ht="24.95" customHeight="1" thickBot="1" x14ac:dyDescent="0.25">
      <c r="C37" s="359"/>
      <c r="D37" s="376"/>
      <c r="E37" s="56" t="s">
        <v>11</v>
      </c>
      <c r="F37" s="57">
        <v>1162805</v>
      </c>
      <c r="G37" s="38">
        <v>4.9648674314228813E-2</v>
      </c>
      <c r="H37" s="39"/>
      <c r="I37" s="359"/>
      <c r="J37" s="56" t="s">
        <v>11</v>
      </c>
      <c r="K37" s="57">
        <v>5665282</v>
      </c>
      <c r="L37" s="35">
        <v>6.8985069484344574E-2</v>
      </c>
      <c r="M37" s="356"/>
    </row>
    <row r="38" spans="3:13" ht="5.25" customHeight="1" thickBot="1" x14ac:dyDescent="0.25">
      <c r="C38" s="58"/>
      <c r="D38" s="58"/>
      <c r="F38" s="58"/>
      <c r="G38" s="58"/>
      <c r="H38" s="58"/>
      <c r="I38" s="58"/>
      <c r="J38" s="58"/>
      <c r="K38" s="58"/>
      <c r="L38" s="58"/>
      <c r="M38" s="58"/>
    </row>
    <row r="39" spans="3:13" ht="20.100000000000001" customHeight="1" thickBot="1" x14ac:dyDescent="0.25">
      <c r="C39" s="253" t="s">
        <v>17</v>
      </c>
      <c r="D39" s="254"/>
      <c r="E39" s="254"/>
      <c r="F39" s="254"/>
      <c r="G39" s="254"/>
      <c r="H39" s="254"/>
      <c r="I39" s="254"/>
      <c r="J39" s="254"/>
      <c r="K39" s="254"/>
      <c r="L39" s="254"/>
      <c r="M39" s="255"/>
    </row>
    <row r="40" spans="3:13" ht="5.25" customHeight="1" thickBot="1" x14ac:dyDescent="0.2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59"/>
    </row>
    <row r="41" spans="3:13" ht="24.75" customHeight="1" x14ac:dyDescent="0.2">
      <c r="C41" s="360" t="s">
        <v>7</v>
      </c>
      <c r="D41" s="361"/>
      <c r="E41" s="24" t="s">
        <v>8</v>
      </c>
      <c r="F41" s="60">
        <v>6.9728394160022757</v>
      </c>
      <c r="G41" s="61">
        <v>-2.6920654588525217E-2</v>
      </c>
      <c r="H41" s="23"/>
      <c r="I41" s="360" t="s">
        <v>7</v>
      </c>
      <c r="J41" s="24" t="s">
        <v>8</v>
      </c>
      <c r="K41" s="60">
        <v>7.3781650933199421</v>
      </c>
      <c r="L41" s="62">
        <v>-0.13112542781187297</v>
      </c>
      <c r="M41" s="356" t="s">
        <v>9</v>
      </c>
    </row>
    <row r="42" spans="3:13" ht="24.75" customHeight="1" x14ac:dyDescent="0.2">
      <c r="C42" s="362"/>
      <c r="D42" s="363"/>
      <c r="E42" s="27" t="s">
        <v>10</v>
      </c>
      <c r="F42" s="63">
        <v>6.5780726330504358</v>
      </c>
      <c r="G42" s="64">
        <v>7.8605892532731758E-2</v>
      </c>
      <c r="H42" s="30"/>
      <c r="I42" s="362"/>
      <c r="J42" s="27" t="s">
        <v>10</v>
      </c>
      <c r="K42" s="63">
        <v>6.8927510933722367</v>
      </c>
      <c r="L42" s="65">
        <v>-0.12536398307586705</v>
      </c>
      <c r="M42" s="356"/>
    </row>
    <row r="43" spans="3:13" ht="24.75" customHeight="1" thickBot="1" x14ac:dyDescent="0.25">
      <c r="C43" s="364"/>
      <c r="D43" s="365"/>
      <c r="E43" s="33" t="s">
        <v>11</v>
      </c>
      <c r="F43" s="66">
        <v>7.7297491280602006</v>
      </c>
      <c r="G43" s="67">
        <v>-0.2998336923142233</v>
      </c>
      <c r="H43" s="30"/>
      <c r="I43" s="364"/>
      <c r="J43" s="33" t="s">
        <v>11</v>
      </c>
      <c r="K43" s="66">
        <v>8.3211117147598728</v>
      </c>
      <c r="L43" s="68">
        <v>-0.20060106507118647</v>
      </c>
      <c r="M43" s="356"/>
    </row>
    <row r="44" spans="3:13" ht="24.75" customHeight="1" thickBot="1" x14ac:dyDescent="0.25">
      <c r="C44" s="366" t="s">
        <v>12</v>
      </c>
      <c r="D44" s="367"/>
      <c r="E44" s="36" t="s">
        <v>10</v>
      </c>
      <c r="F44" s="69">
        <v>2.4186628684880658</v>
      </c>
      <c r="G44" s="67">
        <v>0.10726706791457596</v>
      </c>
      <c r="H44" s="39"/>
      <c r="I44" s="40" t="s">
        <v>12</v>
      </c>
      <c r="J44" s="36" t="s">
        <v>10</v>
      </c>
      <c r="K44" s="69">
        <v>2.4730564549142198</v>
      </c>
      <c r="L44" s="68">
        <v>0.12479306306610694</v>
      </c>
      <c r="M44" s="356"/>
    </row>
    <row r="45" spans="3:13" ht="24.75" customHeight="1" x14ac:dyDescent="0.2">
      <c r="C45" s="368" t="s">
        <v>13</v>
      </c>
      <c r="D45" s="369"/>
      <c r="E45" s="41" t="s">
        <v>8</v>
      </c>
      <c r="F45" s="70">
        <v>3.7461089494163424</v>
      </c>
      <c r="G45" s="61">
        <v>-1.2944417800938357E-2</v>
      </c>
      <c r="H45" s="39"/>
      <c r="I45" s="368" t="s">
        <v>13</v>
      </c>
      <c r="J45" s="41" t="s">
        <v>8</v>
      </c>
      <c r="K45" s="70">
        <v>3.6354670329670329</v>
      </c>
      <c r="L45" s="62">
        <v>0.14504520319502268</v>
      </c>
      <c r="M45" s="356"/>
    </row>
    <row r="46" spans="3:13" ht="24.75" customHeight="1" x14ac:dyDescent="0.2">
      <c r="C46" s="370"/>
      <c r="D46" s="371"/>
      <c r="E46" s="44" t="s">
        <v>10</v>
      </c>
      <c r="F46" s="71">
        <v>2.6717449069973429</v>
      </c>
      <c r="G46" s="64">
        <v>-0.30671969918411257</v>
      </c>
      <c r="H46" s="39"/>
      <c r="I46" s="370"/>
      <c r="J46" s="44" t="s">
        <v>10</v>
      </c>
      <c r="K46" s="71">
        <v>2.6510311676228873</v>
      </c>
      <c r="L46" s="65">
        <v>-5.6644962766176921E-2</v>
      </c>
      <c r="M46" s="356"/>
    </row>
    <row r="47" spans="3:13" ht="24.75" customHeight="1" thickBot="1" x14ac:dyDescent="0.25">
      <c r="C47" s="372"/>
      <c r="D47" s="373"/>
      <c r="E47" s="46" t="s">
        <v>11</v>
      </c>
      <c r="F47" s="72">
        <v>6.0977122915858857</v>
      </c>
      <c r="G47" s="67">
        <v>-0.7172759988122408</v>
      </c>
      <c r="H47" s="39"/>
      <c r="I47" s="372"/>
      <c r="J47" s="46" t="s">
        <v>11</v>
      </c>
      <c r="K47" s="72">
        <v>6.0302715956242929</v>
      </c>
      <c r="L47" s="68">
        <v>-0.67459470565456403</v>
      </c>
      <c r="M47" s="356"/>
    </row>
    <row r="48" spans="3:13" ht="24.75" customHeight="1" x14ac:dyDescent="0.2">
      <c r="C48" s="350" t="s">
        <v>14</v>
      </c>
      <c r="D48" s="351"/>
      <c r="E48" s="48" t="s">
        <v>8</v>
      </c>
      <c r="F48" s="73">
        <v>6.9095759706223907</v>
      </c>
      <c r="G48" s="61">
        <v>5.8626639908380795E-2</v>
      </c>
      <c r="H48" s="39"/>
      <c r="I48" s="350" t="s">
        <v>14</v>
      </c>
      <c r="J48" s="48" t="s">
        <v>8</v>
      </c>
      <c r="K48" s="73">
        <v>7.6076507016487698</v>
      </c>
      <c r="L48" s="62">
        <v>-0.16898977257234993</v>
      </c>
      <c r="M48" s="356"/>
    </row>
    <row r="49" spans="3:13" ht="24.75" customHeight="1" x14ac:dyDescent="0.2">
      <c r="C49" s="352"/>
      <c r="D49" s="353"/>
      <c r="E49" s="50" t="s">
        <v>10</v>
      </c>
      <c r="F49" s="74">
        <v>6.7703900839570066</v>
      </c>
      <c r="G49" s="64">
        <v>0.35683139259827534</v>
      </c>
      <c r="H49" s="39"/>
      <c r="I49" s="352"/>
      <c r="J49" s="50" t="s">
        <v>10</v>
      </c>
      <c r="K49" s="74">
        <v>7.2526192465404815</v>
      </c>
      <c r="L49" s="65">
        <v>-2.2935706364587638E-2</v>
      </c>
      <c r="M49" s="356"/>
    </row>
    <row r="50" spans="3:13" ht="24.75" customHeight="1" thickBot="1" x14ac:dyDescent="0.25">
      <c r="C50" s="354"/>
      <c r="D50" s="355"/>
      <c r="E50" s="36" t="s">
        <v>11</v>
      </c>
      <c r="F50" s="69">
        <v>7.2529014942695484</v>
      </c>
      <c r="G50" s="67">
        <v>-0.78148379130644319</v>
      </c>
      <c r="H50" s="39"/>
      <c r="I50" s="354"/>
      <c r="J50" s="36" t="s">
        <v>11</v>
      </c>
      <c r="K50" s="69">
        <v>8.5624424300336592</v>
      </c>
      <c r="L50" s="68">
        <v>-0.67306635135595627</v>
      </c>
      <c r="M50" s="356"/>
    </row>
    <row r="51" spans="3:13" ht="24.75" customHeight="1" x14ac:dyDescent="0.2">
      <c r="C51" s="357" t="s">
        <v>15</v>
      </c>
      <c r="D51" s="374"/>
      <c r="E51" s="52" t="s">
        <v>8</v>
      </c>
      <c r="F51" s="75">
        <v>7.3239689804220696</v>
      </c>
      <c r="G51" s="61">
        <v>-3.3072559065923102E-2</v>
      </c>
      <c r="H51" s="39"/>
      <c r="I51" s="357" t="s">
        <v>15</v>
      </c>
      <c r="J51" s="52" t="s">
        <v>8</v>
      </c>
      <c r="K51" s="75">
        <v>7.6911933165234574</v>
      </c>
      <c r="L51" s="62">
        <v>-0.14547191771366297</v>
      </c>
      <c r="M51" s="356"/>
    </row>
    <row r="52" spans="3:13" ht="24.75" customHeight="1" x14ac:dyDescent="0.2">
      <c r="C52" s="358"/>
      <c r="D52" s="375"/>
      <c r="E52" s="54" t="s">
        <v>10</v>
      </c>
      <c r="F52" s="76">
        <v>7.007837201617213</v>
      </c>
      <c r="G52" s="64">
        <v>3.8177532026292482E-2</v>
      </c>
      <c r="H52" s="39"/>
      <c r="I52" s="358"/>
      <c r="J52" s="54" t="s">
        <v>10</v>
      </c>
      <c r="K52" s="76">
        <v>7.3127163022261445</v>
      </c>
      <c r="L52" s="65">
        <v>-0.18652157115628487</v>
      </c>
      <c r="M52" s="356"/>
    </row>
    <row r="53" spans="3:13" ht="24.75" customHeight="1" thickBot="1" x14ac:dyDescent="0.25">
      <c r="C53" s="377"/>
      <c r="D53" s="389"/>
      <c r="E53" s="77" t="s">
        <v>11</v>
      </c>
      <c r="F53" s="78">
        <v>7.8468759067934437</v>
      </c>
      <c r="G53" s="79">
        <v>-0.19309883683258722</v>
      </c>
      <c r="H53" s="80"/>
      <c r="I53" s="377"/>
      <c r="J53" s="77" t="s">
        <v>11</v>
      </c>
      <c r="K53" s="78">
        <v>8.3156196699751348</v>
      </c>
      <c r="L53" s="81">
        <v>-0.10567859052550155</v>
      </c>
      <c r="M53" s="388"/>
    </row>
    <row r="54" spans="3:13" ht="13.5" thickBot="1" x14ac:dyDescent="0.25">
      <c r="C54" s="378" t="s">
        <v>95</v>
      </c>
      <c r="D54" s="379"/>
      <c r="E54" s="379"/>
      <c r="F54" s="379"/>
      <c r="G54" s="379"/>
      <c r="H54" s="379"/>
      <c r="I54" s="379"/>
      <c r="J54" s="379"/>
      <c r="K54" s="379"/>
      <c r="L54" s="379"/>
      <c r="M54" s="380"/>
    </row>
    <row r="55" spans="3:13" ht="50.25" customHeight="1" thickBot="1" x14ac:dyDescent="0.25">
      <c r="C55" s="82"/>
      <c r="D55" s="82"/>
      <c r="E55" s="381" t="s">
        <v>93</v>
      </c>
      <c r="F55" s="381"/>
      <c r="G55" s="381"/>
      <c r="H55" s="381"/>
      <c r="I55" s="381"/>
      <c r="J55" s="381"/>
      <c r="K55" s="381"/>
      <c r="L55" s="82"/>
      <c r="M55" s="82"/>
    </row>
    <row r="56" spans="3:13" ht="15" customHeight="1" x14ac:dyDescent="0.2">
      <c r="C56" s="382" t="str">
        <f>C2</f>
        <v>marzo 2019</v>
      </c>
      <c r="D56" s="382"/>
      <c r="E56" s="382"/>
      <c r="F56" s="382"/>
      <c r="G56" s="382"/>
      <c r="H56" s="3"/>
      <c r="I56" s="384" t="str">
        <f>I2</f>
        <v>Invierno 18/19 (nov-mar)</v>
      </c>
      <c r="J56" s="384"/>
      <c r="K56" s="384"/>
      <c r="L56" s="384"/>
      <c r="M56" s="384"/>
    </row>
    <row r="57" spans="3:13" ht="16.5" customHeight="1" thickBot="1" x14ac:dyDescent="0.25">
      <c r="C57" s="383"/>
      <c r="D57" s="383"/>
      <c r="E57" s="383"/>
      <c r="F57" s="383"/>
      <c r="G57" s="383"/>
      <c r="H57" s="4"/>
      <c r="I57" s="385"/>
      <c r="J57" s="385"/>
      <c r="K57" s="385"/>
      <c r="L57" s="385"/>
      <c r="M57" s="385"/>
    </row>
    <row r="58" spans="3:13" ht="81.75" customHeight="1" x14ac:dyDescent="0.2">
      <c r="C58" s="386" t="str">
        <f t="shared" ref="C58:G58" si="0">C5</f>
        <v>Ámbito</v>
      </c>
      <c r="D58" s="387">
        <f t="shared" si="0"/>
        <v>0</v>
      </c>
      <c r="E58" s="13" t="str">
        <f t="shared" si="0"/>
        <v>Variable</v>
      </c>
      <c r="F58" s="13" t="str">
        <f t="shared" si="0"/>
        <v>Valor absoluto
mensual</v>
      </c>
      <c r="G58" s="13" t="str">
        <f t="shared" si="0"/>
        <v>Variación respecto al período anterior</v>
      </c>
      <c r="H58" s="15"/>
      <c r="I58" s="13" t="str">
        <f>I5</f>
        <v>Ámbito</v>
      </c>
      <c r="J58" s="13" t="str">
        <f t="shared" ref="J58:M58" si="1">J5</f>
        <v>Variable</v>
      </c>
      <c r="K58" s="13" t="str">
        <f t="shared" si="1"/>
        <v>Valor absoluto
acumulado</v>
      </c>
      <c r="L58" s="13" t="str">
        <f t="shared" si="1"/>
        <v>Variación respecto al período anterior</v>
      </c>
      <c r="M58" s="14" t="str">
        <f t="shared" si="1"/>
        <v>Fuente</v>
      </c>
    </row>
    <row r="59" spans="3:13" ht="5.25" customHeight="1" thickBot="1" x14ac:dyDescent="0.2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3:13" ht="20.100000000000001" customHeight="1" thickBot="1" x14ac:dyDescent="0.25">
      <c r="C60" s="253" t="s">
        <v>18</v>
      </c>
      <c r="D60" s="254"/>
      <c r="E60" s="254"/>
      <c r="F60" s="254"/>
      <c r="G60" s="254"/>
      <c r="H60" s="254"/>
      <c r="I60" s="254"/>
      <c r="J60" s="254"/>
      <c r="K60" s="254"/>
      <c r="L60" s="254"/>
      <c r="M60" s="255"/>
    </row>
    <row r="61" spans="3:13" ht="5.25" customHeight="1" thickBot="1" x14ac:dyDescent="0.25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59"/>
    </row>
    <row r="62" spans="3:13" ht="24.75" customHeight="1" x14ac:dyDescent="0.2">
      <c r="C62" s="360" t="s">
        <v>7</v>
      </c>
      <c r="D62" s="361"/>
      <c r="E62" s="24" t="s">
        <v>8</v>
      </c>
      <c r="F62" s="83">
        <v>0.66469293825785203</v>
      </c>
      <c r="G62" s="43">
        <v>-4.057792840612473E-2</v>
      </c>
      <c r="H62" s="23"/>
      <c r="I62" s="360" t="s">
        <v>7</v>
      </c>
      <c r="J62" s="24" t="s">
        <v>8</v>
      </c>
      <c r="K62" s="83">
        <v>0.66760031872844716</v>
      </c>
      <c r="L62" s="26">
        <v>-3.3380041259709725E-2</v>
      </c>
      <c r="M62" s="356" t="s">
        <v>9</v>
      </c>
    </row>
    <row r="63" spans="3:13" ht="24.75" customHeight="1" x14ac:dyDescent="0.2">
      <c r="C63" s="362"/>
      <c r="D63" s="363"/>
      <c r="E63" s="27" t="s">
        <v>10</v>
      </c>
      <c r="F63" s="84">
        <v>0.74376340228258331</v>
      </c>
      <c r="G63" s="29">
        <v>-1.1956632703987835E-2</v>
      </c>
      <c r="H63" s="30"/>
      <c r="I63" s="362"/>
      <c r="J63" s="27" t="s">
        <v>10</v>
      </c>
      <c r="K63" s="84">
        <v>0.74009226179014465</v>
      </c>
      <c r="L63" s="31">
        <v>-1.6682539898283499E-2</v>
      </c>
      <c r="M63" s="356"/>
    </row>
    <row r="64" spans="3:13" ht="24.75" customHeight="1" thickBot="1" x14ac:dyDescent="0.25">
      <c r="C64" s="364"/>
      <c r="D64" s="365"/>
      <c r="E64" s="33" t="s">
        <v>11</v>
      </c>
      <c r="F64" s="85">
        <v>0.56643525890070701</v>
      </c>
      <c r="G64" s="38">
        <v>-7.3898018310777691E-2</v>
      </c>
      <c r="H64" s="30"/>
      <c r="I64" s="364"/>
      <c r="J64" s="33" t="s">
        <v>11</v>
      </c>
      <c r="K64" s="85">
        <v>0.57670461465517631</v>
      </c>
      <c r="L64" s="35">
        <v>-4.8235001391888077E-2</v>
      </c>
      <c r="M64" s="356"/>
    </row>
    <row r="65" spans="3:13" ht="24.75" customHeight="1" thickBot="1" x14ac:dyDescent="0.25">
      <c r="C65" s="366" t="s">
        <v>12</v>
      </c>
      <c r="D65" s="367"/>
      <c r="E65" s="36" t="s">
        <v>10</v>
      </c>
      <c r="F65" s="86">
        <v>0.70612399193548392</v>
      </c>
      <c r="G65" s="38">
        <v>0.11120182471436868</v>
      </c>
      <c r="H65" s="39"/>
      <c r="I65" s="40" t="s">
        <v>12</v>
      </c>
      <c r="J65" s="36" t="s">
        <v>10</v>
      </c>
      <c r="K65" s="86">
        <v>0.68861768187953198</v>
      </c>
      <c r="L65" s="35">
        <v>5.7961090115759006E-2</v>
      </c>
      <c r="M65" s="356"/>
    </row>
    <row r="66" spans="3:13" ht="24.75" customHeight="1" x14ac:dyDescent="0.2">
      <c r="C66" s="368" t="s">
        <v>13</v>
      </c>
      <c r="D66" s="369"/>
      <c r="E66" s="41" t="s">
        <v>8</v>
      </c>
      <c r="F66" s="87">
        <v>0.42361741330473285</v>
      </c>
      <c r="G66" s="43">
        <v>-0.12829713756057826</v>
      </c>
      <c r="H66" s="39"/>
      <c r="I66" s="368" t="s">
        <v>13</v>
      </c>
      <c r="J66" s="41" t="s">
        <v>8</v>
      </c>
      <c r="K66" s="87">
        <v>0.39304914488027137</v>
      </c>
      <c r="L66" s="26">
        <v>-0.16538218851588438</v>
      </c>
      <c r="M66" s="356"/>
    </row>
    <row r="67" spans="3:13" ht="24.75" customHeight="1" x14ac:dyDescent="0.2">
      <c r="C67" s="370"/>
      <c r="D67" s="371"/>
      <c r="E67" s="44" t="s">
        <v>10</v>
      </c>
      <c r="F67" s="88">
        <v>0.57507816670479672</v>
      </c>
      <c r="G67" s="29">
        <v>-1.6549729510120792E-2</v>
      </c>
      <c r="H67" s="39"/>
      <c r="I67" s="370"/>
      <c r="J67" s="44" t="s">
        <v>10</v>
      </c>
      <c r="K67" s="88">
        <v>0.53789642587465392</v>
      </c>
      <c r="L67" s="31">
        <v>-3.4018083602782578E-4</v>
      </c>
      <c r="M67" s="356"/>
    </row>
    <row r="68" spans="3:13" ht="24.75" customHeight="1" thickBot="1" x14ac:dyDescent="0.25">
      <c r="C68" s="372"/>
      <c r="D68" s="373"/>
      <c r="E68" s="46" t="s">
        <v>11</v>
      </c>
      <c r="F68" s="89">
        <v>0.33819354838709675</v>
      </c>
      <c r="G68" s="38">
        <v>-0.10291546391752593</v>
      </c>
      <c r="H68" s="39"/>
      <c r="I68" s="372"/>
      <c r="J68" s="46" t="s">
        <v>11</v>
      </c>
      <c r="K68" s="89">
        <v>0.30516555153620756</v>
      </c>
      <c r="L68" s="35">
        <v>-0.21789327163383254</v>
      </c>
      <c r="M68" s="356"/>
    </row>
    <row r="69" spans="3:13" ht="24.75" customHeight="1" x14ac:dyDescent="0.2">
      <c r="C69" s="350" t="s">
        <v>14</v>
      </c>
      <c r="D69" s="351"/>
      <c r="E69" s="48" t="s">
        <v>8</v>
      </c>
      <c r="F69" s="90">
        <v>0.67468257316728075</v>
      </c>
      <c r="G69" s="43">
        <v>-5.8636134766168246E-2</v>
      </c>
      <c r="H69" s="39"/>
      <c r="I69" s="350" t="s">
        <v>14</v>
      </c>
      <c r="J69" s="48" t="s">
        <v>8</v>
      </c>
      <c r="K69" s="90">
        <v>0.68962052733385582</v>
      </c>
      <c r="L69" s="26">
        <v>-3.952621440837778E-2</v>
      </c>
      <c r="M69" s="356"/>
    </row>
    <row r="70" spans="3:13" ht="24.75" customHeight="1" x14ac:dyDescent="0.2">
      <c r="C70" s="352"/>
      <c r="D70" s="353"/>
      <c r="E70" s="50" t="s">
        <v>10</v>
      </c>
      <c r="F70" s="91">
        <v>0.73957282638723809</v>
      </c>
      <c r="G70" s="29">
        <v>8.7157389174219446E-3</v>
      </c>
      <c r="H70" s="39"/>
      <c r="I70" s="352"/>
      <c r="J70" s="50" t="s">
        <v>10</v>
      </c>
      <c r="K70" s="91">
        <v>0.74404458531792428</v>
      </c>
      <c r="L70" s="31">
        <v>4.6758888531281961E-3</v>
      </c>
      <c r="M70" s="356"/>
    </row>
    <row r="71" spans="3:13" ht="24.75" customHeight="1" thickBot="1" x14ac:dyDescent="0.25">
      <c r="C71" s="354"/>
      <c r="D71" s="355"/>
      <c r="E71" s="36" t="s">
        <v>11</v>
      </c>
      <c r="F71" s="86">
        <v>0.56128695447158583</v>
      </c>
      <c r="G71" s="38">
        <v>-0.17884514958089714</v>
      </c>
      <c r="H71" s="39"/>
      <c r="I71" s="354"/>
      <c r="J71" s="36" t="s">
        <v>11</v>
      </c>
      <c r="K71" s="86">
        <v>0.59112620400245575</v>
      </c>
      <c r="L71" s="35">
        <v>-0.11912881555530597</v>
      </c>
      <c r="M71" s="356"/>
    </row>
    <row r="72" spans="3:13" ht="24.75" customHeight="1" x14ac:dyDescent="0.2">
      <c r="C72" s="357" t="s">
        <v>15</v>
      </c>
      <c r="D72" s="374"/>
      <c r="E72" s="52" t="s">
        <v>8</v>
      </c>
      <c r="F72" s="92">
        <v>0.67345951574794127</v>
      </c>
      <c r="G72" s="43">
        <v>-3.0547677557136721E-2</v>
      </c>
      <c r="H72" s="39"/>
      <c r="I72" s="357" t="s">
        <v>15</v>
      </c>
      <c r="J72" s="52" t="s">
        <v>8</v>
      </c>
      <c r="K72" s="92">
        <v>0.67394195315923444</v>
      </c>
      <c r="L72" s="26">
        <v>-2.4563217385637048E-2</v>
      </c>
      <c r="M72" s="356"/>
    </row>
    <row r="73" spans="3:13" ht="24.75" customHeight="1" x14ac:dyDescent="0.2">
      <c r="C73" s="358"/>
      <c r="D73" s="375"/>
      <c r="E73" s="54" t="s">
        <v>10</v>
      </c>
      <c r="F73" s="93">
        <v>0.74812751658852406</v>
      </c>
      <c r="G73" s="29">
        <v>-2.1120067139790089E-2</v>
      </c>
      <c r="H73" s="39"/>
      <c r="I73" s="358"/>
      <c r="J73" s="54" t="s">
        <v>10</v>
      </c>
      <c r="K73" s="93">
        <v>0.7431246698921179</v>
      </c>
      <c r="L73" s="31">
        <v>-2.4912242423946407E-2</v>
      </c>
      <c r="M73" s="356"/>
    </row>
    <row r="74" spans="3:13" ht="24.75" customHeight="1" thickBot="1" x14ac:dyDescent="0.25">
      <c r="C74" s="359"/>
      <c r="D74" s="376"/>
      <c r="E74" s="56" t="s">
        <v>11</v>
      </c>
      <c r="F74" s="94">
        <v>0.58692576491069204</v>
      </c>
      <c r="G74" s="38">
        <v>-3.7546944642948499E-2</v>
      </c>
      <c r="H74" s="39"/>
      <c r="I74" s="359"/>
      <c r="J74" s="56" t="s">
        <v>11</v>
      </c>
      <c r="K74" s="94">
        <v>0.59374437333374697</v>
      </c>
      <c r="L74" s="35">
        <v>-1.6768509920118468E-2</v>
      </c>
      <c r="M74" s="356"/>
    </row>
    <row r="75" spans="3:13" ht="5.25" customHeight="1" thickBot="1" x14ac:dyDescent="0.2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3:13" ht="20.100000000000001" customHeight="1" thickBot="1" x14ac:dyDescent="0.25">
      <c r="C76" s="253" t="s">
        <v>19</v>
      </c>
      <c r="D76" s="254"/>
      <c r="E76" s="254"/>
      <c r="F76" s="254"/>
      <c r="G76" s="254"/>
      <c r="H76" s="254"/>
      <c r="I76" s="254"/>
      <c r="J76" s="254"/>
      <c r="K76" s="254"/>
      <c r="L76" s="254"/>
      <c r="M76" s="255"/>
    </row>
    <row r="77" spans="3:13" ht="5.25" customHeight="1" thickBot="1" x14ac:dyDescent="0.25">
      <c r="C77" s="95"/>
      <c r="D77" s="18"/>
      <c r="E77" s="18"/>
      <c r="F77" s="18"/>
      <c r="G77" s="18"/>
      <c r="H77" s="18"/>
      <c r="I77" s="18"/>
      <c r="J77" s="18"/>
      <c r="K77" s="18"/>
      <c r="L77" s="18"/>
      <c r="M77" s="59"/>
    </row>
    <row r="78" spans="3:13" ht="33.75" customHeight="1" x14ac:dyDescent="0.2">
      <c r="C78" s="350" t="s">
        <v>7</v>
      </c>
      <c r="D78" s="351"/>
      <c r="E78" s="48" t="s">
        <v>20</v>
      </c>
      <c r="F78" s="49">
        <v>66648</v>
      </c>
      <c r="G78" s="43">
        <v>0.10817731369093142</v>
      </c>
      <c r="H78" s="96"/>
      <c r="I78" s="350" t="s">
        <v>7</v>
      </c>
      <c r="J78" s="48" t="s">
        <v>20</v>
      </c>
      <c r="K78" s="49">
        <v>301557</v>
      </c>
      <c r="L78" s="26">
        <v>0.15368017537214929</v>
      </c>
      <c r="M78" s="356" t="s">
        <v>9</v>
      </c>
    </row>
    <row r="79" spans="3:13" ht="33.75" customHeight="1" x14ac:dyDescent="0.2">
      <c r="C79" s="352"/>
      <c r="D79" s="353"/>
      <c r="E79" s="54" t="s">
        <v>21</v>
      </c>
      <c r="F79" s="55">
        <v>194614</v>
      </c>
      <c r="G79" s="29">
        <v>-1.3788734892441812E-2</v>
      </c>
      <c r="H79" s="39"/>
      <c r="I79" s="352"/>
      <c r="J79" s="54" t="s">
        <v>21</v>
      </c>
      <c r="K79" s="55">
        <v>896875</v>
      </c>
      <c r="L79" s="31">
        <v>6.3294263908244552E-3</v>
      </c>
      <c r="M79" s="356"/>
    </row>
    <row r="80" spans="3:13" ht="33.75" customHeight="1" x14ac:dyDescent="0.2">
      <c r="C80" s="352"/>
      <c r="D80" s="353"/>
      <c r="E80" s="50" t="s">
        <v>22</v>
      </c>
      <c r="F80" s="51">
        <v>58144</v>
      </c>
      <c r="G80" s="29">
        <v>-3.251356118340043E-2</v>
      </c>
      <c r="H80" s="39"/>
      <c r="I80" s="352"/>
      <c r="J80" s="50" t="s">
        <v>22</v>
      </c>
      <c r="K80" s="51">
        <v>268160</v>
      </c>
      <c r="L80" s="31">
        <v>-9.8658947244048001E-3</v>
      </c>
      <c r="M80" s="356"/>
    </row>
    <row r="81" spans="3:15" ht="33.75" customHeight="1" x14ac:dyDescent="0.2">
      <c r="C81" s="352"/>
      <c r="D81" s="353"/>
      <c r="E81" s="54" t="s">
        <v>23</v>
      </c>
      <c r="F81" s="55">
        <v>16682</v>
      </c>
      <c r="G81" s="29">
        <v>1.6141804227325363E-2</v>
      </c>
      <c r="H81" s="39"/>
      <c r="I81" s="352"/>
      <c r="J81" s="54" t="s">
        <v>23</v>
      </c>
      <c r="K81" s="55">
        <v>76405</v>
      </c>
      <c r="L81" s="31">
        <v>2.0325040396351746E-2</v>
      </c>
      <c r="M81" s="356"/>
    </row>
    <row r="82" spans="3:15" ht="33.75" customHeight="1" thickBot="1" x14ac:dyDescent="0.25">
      <c r="C82" s="354"/>
      <c r="D82" s="355"/>
      <c r="E82" s="36" t="s">
        <v>24</v>
      </c>
      <c r="F82" s="37">
        <v>5850</v>
      </c>
      <c r="G82" s="38">
        <v>7.7348066298342566E-2</v>
      </c>
      <c r="H82" s="97"/>
      <c r="I82" s="354"/>
      <c r="J82" s="36" t="s">
        <v>24</v>
      </c>
      <c r="K82" s="37">
        <v>26688</v>
      </c>
      <c r="L82" s="35">
        <v>5.436156763590394E-2</v>
      </c>
      <c r="M82" s="356"/>
    </row>
    <row r="83" spans="3:15" ht="5.25" customHeight="1" thickBot="1" x14ac:dyDescent="0.2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3:15" ht="20.100000000000001" customHeight="1" thickBot="1" x14ac:dyDescent="0.25">
      <c r="C84" s="253" t="s">
        <v>25</v>
      </c>
      <c r="D84" s="254"/>
      <c r="E84" s="254"/>
      <c r="F84" s="254"/>
      <c r="G84" s="254"/>
      <c r="H84" s="254"/>
      <c r="I84" s="254"/>
      <c r="J84" s="254"/>
      <c r="K84" s="254"/>
      <c r="L84" s="254"/>
      <c r="M84" s="255"/>
    </row>
    <row r="85" spans="3:15" ht="5.25" customHeight="1" thickBot="1" x14ac:dyDescent="0.25">
      <c r="C85" s="95"/>
      <c r="D85" s="18"/>
      <c r="E85" s="18"/>
      <c r="F85" s="18"/>
      <c r="G85" s="18"/>
      <c r="H85" s="18"/>
      <c r="I85" s="18"/>
      <c r="J85" s="18"/>
      <c r="K85" s="18"/>
      <c r="L85" s="18"/>
      <c r="M85" s="59"/>
    </row>
    <row r="86" spans="3:15" s="98" customFormat="1" ht="33.75" customHeight="1" x14ac:dyDescent="0.2">
      <c r="C86" s="350" t="s">
        <v>7</v>
      </c>
      <c r="D86" s="351"/>
      <c r="E86" s="48" t="s">
        <v>20</v>
      </c>
      <c r="F86" s="49">
        <v>436800</v>
      </c>
      <c r="G86" s="43">
        <v>0.20555083295613863</v>
      </c>
      <c r="H86" s="96"/>
      <c r="I86" s="350" t="s">
        <v>7</v>
      </c>
      <c r="J86" s="48" t="s">
        <v>20</v>
      </c>
      <c r="K86" s="49">
        <v>1967135</v>
      </c>
      <c r="L86" s="26">
        <v>0.14747782200672921</v>
      </c>
      <c r="M86" s="356" t="s">
        <v>9</v>
      </c>
    </row>
    <row r="87" spans="3:15" s="98" customFormat="1" ht="33.75" customHeight="1" x14ac:dyDescent="0.2">
      <c r="C87" s="352"/>
      <c r="D87" s="353"/>
      <c r="E87" s="54" t="s">
        <v>21</v>
      </c>
      <c r="F87" s="55">
        <v>1374582</v>
      </c>
      <c r="G87" s="29">
        <v>4.4542457258889279E-4</v>
      </c>
      <c r="H87" s="39"/>
      <c r="I87" s="352"/>
      <c r="J87" s="54" t="s">
        <v>21</v>
      </c>
      <c r="K87" s="55">
        <v>6700888</v>
      </c>
      <c r="L87" s="31">
        <v>-3.3478612076603964E-3</v>
      </c>
      <c r="M87" s="356" t="s">
        <v>26</v>
      </c>
    </row>
    <row r="88" spans="3:15" s="98" customFormat="1" ht="33.75" customHeight="1" x14ac:dyDescent="0.2">
      <c r="C88" s="352"/>
      <c r="D88" s="353"/>
      <c r="E88" s="50" t="s">
        <v>22</v>
      </c>
      <c r="F88" s="51">
        <v>353416</v>
      </c>
      <c r="G88" s="29">
        <v>-9.1832775283757329E-2</v>
      </c>
      <c r="H88" s="39"/>
      <c r="I88" s="352"/>
      <c r="J88" s="50" t="s">
        <v>22</v>
      </c>
      <c r="K88" s="51">
        <v>1746150</v>
      </c>
      <c r="L88" s="31">
        <v>-6.4734021100058992E-2</v>
      </c>
      <c r="M88" s="356" t="s">
        <v>26</v>
      </c>
    </row>
    <row r="89" spans="3:15" s="98" customFormat="1" ht="33.75" customHeight="1" x14ac:dyDescent="0.2">
      <c r="C89" s="352"/>
      <c r="D89" s="353"/>
      <c r="E89" s="54" t="s">
        <v>23</v>
      </c>
      <c r="F89" s="55">
        <v>60521</v>
      </c>
      <c r="G89" s="29">
        <v>1.2023009263904205E-2</v>
      </c>
      <c r="H89" s="39"/>
      <c r="I89" s="352"/>
      <c r="J89" s="54" t="s">
        <v>23</v>
      </c>
      <c r="K89" s="55">
        <v>294416</v>
      </c>
      <c r="L89" s="31">
        <v>2.8732358932608504E-2</v>
      </c>
      <c r="M89" s="356" t="s">
        <v>26</v>
      </c>
    </row>
    <row r="90" spans="3:15" s="98" customFormat="1" ht="33.75" customHeight="1" thickBot="1" x14ac:dyDescent="0.25">
      <c r="C90" s="354"/>
      <c r="D90" s="355"/>
      <c r="E90" s="36" t="s">
        <v>24</v>
      </c>
      <c r="F90" s="37">
        <v>23974</v>
      </c>
      <c r="G90" s="38">
        <v>0.15187623120165283</v>
      </c>
      <c r="H90" s="97"/>
      <c r="I90" s="354"/>
      <c r="J90" s="36" t="s">
        <v>24</v>
      </c>
      <c r="K90" s="37">
        <v>110859</v>
      </c>
      <c r="L90" s="35">
        <v>8.445013988613459E-2</v>
      </c>
      <c r="M90" s="356" t="s">
        <v>26</v>
      </c>
    </row>
    <row r="91" spans="3:15" ht="5.25" customHeight="1" thickBot="1" x14ac:dyDescent="0.2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3:15" ht="20.100000000000001" customHeight="1" thickBot="1" x14ac:dyDescent="0.25">
      <c r="C92" s="253" t="s">
        <v>27</v>
      </c>
      <c r="D92" s="254"/>
      <c r="E92" s="254"/>
      <c r="F92" s="254"/>
      <c r="G92" s="254"/>
      <c r="H92" s="254"/>
      <c r="I92" s="254"/>
      <c r="J92" s="254"/>
      <c r="K92" s="254"/>
      <c r="L92" s="254"/>
      <c r="M92" s="255"/>
    </row>
    <row r="93" spans="3:15" ht="5.25" customHeight="1" thickBot="1" x14ac:dyDescent="0.25">
      <c r="C93" s="95"/>
      <c r="D93" s="18"/>
      <c r="E93" s="18"/>
      <c r="F93" s="18"/>
      <c r="G93" s="18"/>
      <c r="H93" s="18"/>
      <c r="I93" s="18"/>
      <c r="J93" s="18"/>
      <c r="K93" s="18"/>
      <c r="L93" s="18"/>
      <c r="M93" s="59"/>
    </row>
    <row r="94" spans="3:15" ht="33.75" customHeight="1" x14ac:dyDescent="0.2">
      <c r="C94" s="350" t="s">
        <v>7</v>
      </c>
      <c r="D94" s="351"/>
      <c r="E94" s="48" t="s">
        <v>20</v>
      </c>
      <c r="F94" s="99">
        <v>6.5538350738206699</v>
      </c>
      <c r="G94" s="61">
        <v>0.52935966562007764</v>
      </c>
      <c r="H94" s="96"/>
      <c r="I94" s="350" t="s">
        <v>7</v>
      </c>
      <c r="J94" s="48" t="s">
        <v>20</v>
      </c>
      <c r="K94" s="99">
        <v>6.5232609423757362</v>
      </c>
      <c r="L94" s="62">
        <v>-3.5259565530165737E-2</v>
      </c>
      <c r="M94" s="356" t="s">
        <v>9</v>
      </c>
    </row>
    <row r="95" spans="3:15" ht="33.75" customHeight="1" x14ac:dyDescent="0.2">
      <c r="C95" s="352"/>
      <c r="D95" s="353"/>
      <c r="E95" s="44" t="s">
        <v>21</v>
      </c>
      <c r="F95" s="100">
        <v>7.0631198166627271</v>
      </c>
      <c r="G95" s="64">
        <v>0.10049281182324066</v>
      </c>
      <c r="H95" s="39"/>
      <c r="I95" s="352"/>
      <c r="J95" s="44" t="s">
        <v>21</v>
      </c>
      <c r="K95" s="100">
        <v>7.4713733797909407</v>
      </c>
      <c r="L95" s="65">
        <v>-7.2545501221228825E-2</v>
      </c>
      <c r="M95" s="356" t="s">
        <v>26</v>
      </c>
    </row>
    <row r="96" spans="3:15" ht="33.75" customHeight="1" x14ac:dyDescent="0.2">
      <c r="C96" s="352"/>
      <c r="D96" s="353"/>
      <c r="E96" s="50" t="s">
        <v>22</v>
      </c>
      <c r="F96" s="101">
        <v>6.0782883874518436</v>
      </c>
      <c r="G96" s="64">
        <v>-0.39701861111716052</v>
      </c>
      <c r="H96" s="39"/>
      <c r="I96" s="352"/>
      <c r="J96" s="50" t="s">
        <v>22</v>
      </c>
      <c r="K96" s="101">
        <v>6.5115975536992838</v>
      </c>
      <c r="L96" s="65">
        <v>-0.38200807635920242</v>
      </c>
      <c r="M96" s="356" t="s">
        <v>26</v>
      </c>
      <c r="O96" s="102"/>
    </row>
    <row r="97" spans="3:13" ht="33.75" customHeight="1" x14ac:dyDescent="0.2">
      <c r="C97" s="352"/>
      <c r="D97" s="353"/>
      <c r="E97" s="44" t="s">
        <v>23</v>
      </c>
      <c r="F97" s="100">
        <v>3.6279223114734442</v>
      </c>
      <c r="G97" s="64">
        <v>-1.4765146649233341E-2</v>
      </c>
      <c r="H97" s="39"/>
      <c r="I97" s="352"/>
      <c r="J97" s="44" t="s">
        <v>23</v>
      </c>
      <c r="K97" s="100">
        <v>3.8533603821739413</v>
      </c>
      <c r="L97" s="65">
        <v>3.1491600207406822E-2</v>
      </c>
      <c r="M97" s="356" t="s">
        <v>26</v>
      </c>
    </row>
    <row r="98" spans="3:13" ht="33.75" customHeight="1" thickBot="1" x14ac:dyDescent="0.25">
      <c r="C98" s="354"/>
      <c r="D98" s="355"/>
      <c r="E98" s="36" t="s">
        <v>24</v>
      </c>
      <c r="F98" s="103">
        <v>4.0981196581196579</v>
      </c>
      <c r="G98" s="67">
        <v>0.2651546489115546</v>
      </c>
      <c r="H98" s="97"/>
      <c r="I98" s="354"/>
      <c r="J98" s="36" t="s">
        <v>24</v>
      </c>
      <c r="K98" s="103">
        <v>4.1538893884892083</v>
      </c>
      <c r="L98" s="68">
        <v>0.11525158823636339</v>
      </c>
      <c r="M98" s="356" t="s">
        <v>26</v>
      </c>
    </row>
    <row r="99" spans="3:13" ht="5.25" customHeight="1" thickBot="1" x14ac:dyDescent="0.2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3:13" ht="20.100000000000001" customHeight="1" thickBot="1" x14ac:dyDescent="0.25">
      <c r="C100" s="253" t="s">
        <v>28</v>
      </c>
      <c r="D100" s="254"/>
      <c r="E100" s="254"/>
      <c r="F100" s="254"/>
      <c r="G100" s="254"/>
      <c r="H100" s="254"/>
      <c r="I100" s="254"/>
      <c r="J100" s="254"/>
      <c r="K100" s="254"/>
      <c r="L100" s="254"/>
      <c r="M100" s="255"/>
    </row>
    <row r="101" spans="3:13" ht="5.25" customHeight="1" thickBot="1" x14ac:dyDescent="0.25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04"/>
    </row>
    <row r="102" spans="3:13" ht="33.75" customHeight="1" x14ac:dyDescent="0.2">
      <c r="C102" s="350" t="s">
        <v>7</v>
      </c>
      <c r="D102" s="351"/>
      <c r="E102" s="48" t="s">
        <v>20</v>
      </c>
      <c r="F102" s="90">
        <v>0.78266525471561188</v>
      </c>
      <c r="G102" s="43">
        <v>4.3498229737016558E-2</v>
      </c>
      <c r="H102" s="96"/>
      <c r="I102" s="350" t="s">
        <v>7</v>
      </c>
      <c r="J102" s="48" t="s">
        <v>20</v>
      </c>
      <c r="K102" s="90">
        <v>0.74220950453463785</v>
      </c>
      <c r="L102" s="26">
        <v>2.7386733214405101E-3</v>
      </c>
      <c r="M102" s="356" t="s">
        <v>9</v>
      </c>
    </row>
    <row r="103" spans="3:13" ht="33.75" customHeight="1" x14ac:dyDescent="0.2">
      <c r="C103" s="352"/>
      <c r="D103" s="353"/>
      <c r="E103" s="44" t="s">
        <v>21</v>
      </c>
      <c r="F103" s="88">
        <v>0.76654141753465543</v>
      </c>
      <c r="G103" s="29">
        <v>-1.0190988249596633E-2</v>
      </c>
      <c r="H103" s="39"/>
      <c r="I103" s="352"/>
      <c r="J103" s="44" t="s">
        <v>21</v>
      </c>
      <c r="K103" s="88">
        <v>0.77201082745713168</v>
      </c>
      <c r="L103" s="31">
        <v>-1.1216326205685578E-2</v>
      </c>
      <c r="M103" s="356" t="s">
        <v>26</v>
      </c>
    </row>
    <row r="104" spans="3:13" ht="33.75" customHeight="1" x14ac:dyDescent="0.2">
      <c r="C104" s="352"/>
      <c r="D104" s="353"/>
      <c r="E104" s="50" t="s">
        <v>22</v>
      </c>
      <c r="F104" s="91">
        <v>0.65539040695787631</v>
      </c>
      <c r="G104" s="29">
        <v>-8.8387012890467687E-2</v>
      </c>
      <c r="H104" s="39"/>
      <c r="I104" s="352"/>
      <c r="J104" s="50" t="s">
        <v>22</v>
      </c>
      <c r="K104" s="91">
        <v>0.6617864425022929</v>
      </c>
      <c r="L104" s="31">
        <v>-6.5417781085997495E-2</v>
      </c>
      <c r="M104" s="356" t="s">
        <v>26</v>
      </c>
    </row>
    <row r="105" spans="3:13" ht="33.75" customHeight="1" x14ac:dyDescent="0.2">
      <c r="C105" s="352"/>
      <c r="D105" s="353"/>
      <c r="E105" s="44" t="s">
        <v>23</v>
      </c>
      <c r="F105" s="88">
        <v>0.61489458978917955</v>
      </c>
      <c r="G105" s="29">
        <v>3.0980819381123403E-3</v>
      </c>
      <c r="H105" s="39"/>
      <c r="I105" s="352"/>
      <c r="J105" s="44" t="s">
        <v>23</v>
      </c>
      <c r="K105" s="88">
        <v>0.61410231005892479</v>
      </c>
      <c r="L105" s="31">
        <v>1.9660073562494107E-2</v>
      </c>
      <c r="M105" s="356" t="s">
        <v>26</v>
      </c>
    </row>
    <row r="106" spans="3:13" ht="33.75" customHeight="1" thickBot="1" x14ac:dyDescent="0.25">
      <c r="C106" s="354"/>
      <c r="D106" s="355"/>
      <c r="E106" s="36" t="s">
        <v>24</v>
      </c>
      <c r="F106" s="86">
        <v>0.6807701044979555</v>
      </c>
      <c r="G106" s="38">
        <v>0.129568768977677</v>
      </c>
      <c r="H106" s="97"/>
      <c r="I106" s="354"/>
      <c r="J106" s="36" t="s">
        <v>24</v>
      </c>
      <c r="K106" s="86">
        <v>0.64857891719223526</v>
      </c>
      <c r="L106" s="35">
        <v>6.7243695112541468E-2</v>
      </c>
      <c r="M106" s="356" t="s">
        <v>26</v>
      </c>
    </row>
    <row r="107" spans="3:13" ht="5.25" customHeight="1" thickBot="1" x14ac:dyDescent="0.25">
      <c r="C107" s="105"/>
      <c r="D107" s="105"/>
      <c r="E107" s="106"/>
      <c r="F107" s="58"/>
      <c r="G107" s="107"/>
      <c r="H107" s="108"/>
      <c r="I107" s="58"/>
      <c r="J107" s="107"/>
      <c r="K107" s="106"/>
      <c r="L107" s="105"/>
      <c r="M107" s="109"/>
    </row>
    <row r="108" spans="3:13" ht="17.25" customHeight="1" thickBot="1" x14ac:dyDescent="0.25">
      <c r="C108" s="337"/>
      <c r="D108" s="338"/>
      <c r="E108" s="338"/>
      <c r="F108" s="338"/>
      <c r="G108" s="338"/>
      <c r="H108" s="338"/>
      <c r="I108" s="338"/>
      <c r="J108" s="338"/>
      <c r="K108" s="338"/>
      <c r="L108" s="338"/>
      <c r="M108" s="339"/>
    </row>
    <row r="109" spans="3:13" ht="50.25" customHeight="1" thickBot="1" x14ac:dyDescent="0.25">
      <c r="C109" s="1"/>
      <c r="D109" s="1"/>
      <c r="E109" s="280" t="str">
        <f>$E$1</f>
        <v>INDICADORES TURÍSTICOS DE TENERIFE definitivo</v>
      </c>
      <c r="F109" s="280"/>
      <c r="G109" s="280"/>
      <c r="H109" s="280"/>
      <c r="I109" s="280"/>
      <c r="J109" s="280"/>
      <c r="K109" s="280"/>
      <c r="L109" s="1"/>
      <c r="M109" s="1"/>
    </row>
    <row r="110" spans="3:13" ht="9" customHeight="1" thickBot="1" x14ac:dyDescent="0.25">
      <c r="C110" s="110"/>
      <c r="D110" s="111"/>
      <c r="E110" s="112"/>
      <c r="F110" s="112"/>
      <c r="G110" s="112"/>
      <c r="H110" s="112"/>
      <c r="I110" s="112"/>
      <c r="J110" s="112"/>
      <c r="K110" s="112"/>
      <c r="L110" s="111"/>
      <c r="M110" s="113"/>
    </row>
    <row r="111" spans="3:13" ht="33" customHeight="1" thickBot="1" x14ac:dyDescent="0.25">
      <c r="C111" s="345" t="s">
        <v>29</v>
      </c>
      <c r="D111" s="346"/>
      <c r="E111" s="346"/>
      <c r="F111" s="346"/>
      <c r="G111" s="346"/>
      <c r="H111" s="346"/>
      <c r="I111" s="346"/>
      <c r="J111" s="346"/>
      <c r="K111" s="346"/>
      <c r="L111" s="346"/>
      <c r="M111" s="347"/>
    </row>
    <row r="112" spans="3:13" ht="20.100000000000001" customHeight="1" x14ac:dyDescent="0.2">
      <c r="C112" s="114"/>
      <c r="D112" s="115"/>
      <c r="E112" s="115"/>
      <c r="F112" s="115"/>
      <c r="G112" s="348" t="str">
        <f>C2</f>
        <v>marzo 2019</v>
      </c>
      <c r="H112" s="349"/>
      <c r="I112" s="349"/>
      <c r="J112" s="115"/>
      <c r="K112" s="115"/>
      <c r="L112" s="115"/>
      <c r="M112" s="116"/>
    </row>
    <row r="113" spans="3:13" ht="5.25" customHeight="1" thickBot="1" x14ac:dyDescent="0.25">
      <c r="C113" s="117"/>
      <c r="D113" s="115"/>
      <c r="E113" s="115"/>
      <c r="F113" s="115"/>
      <c r="G113" s="118"/>
      <c r="H113" s="118"/>
      <c r="I113" s="118"/>
      <c r="J113" s="115"/>
      <c r="K113" s="115"/>
      <c r="L113" s="115"/>
      <c r="M113" s="119"/>
    </row>
    <row r="114" spans="3:13" ht="33" customHeight="1" thickTop="1" thickBot="1" x14ac:dyDescent="0.25">
      <c r="C114" s="120"/>
      <c r="D114" s="328" t="s">
        <v>7</v>
      </c>
      <c r="E114" s="329"/>
      <c r="F114" s="328" t="s">
        <v>30</v>
      </c>
      <c r="G114" s="329"/>
      <c r="H114" s="328" t="s">
        <v>31</v>
      </c>
      <c r="I114" s="329"/>
      <c r="J114" s="328" t="s">
        <v>32</v>
      </c>
      <c r="K114" s="329"/>
      <c r="L114" s="328" t="s">
        <v>33</v>
      </c>
      <c r="M114" s="329"/>
    </row>
    <row r="115" spans="3:13" ht="31.5" customHeight="1" thickBot="1" x14ac:dyDescent="0.25">
      <c r="C115" s="121"/>
      <c r="D115" s="122" t="s">
        <v>34</v>
      </c>
      <c r="E115" s="123" t="s">
        <v>35</v>
      </c>
      <c r="F115" s="122" t="s">
        <v>34</v>
      </c>
      <c r="G115" s="123" t="s">
        <v>35</v>
      </c>
      <c r="H115" s="122" t="s">
        <v>34</v>
      </c>
      <c r="I115" s="123" t="s">
        <v>35</v>
      </c>
      <c r="J115" s="122" t="s">
        <v>34</v>
      </c>
      <c r="K115" s="123" t="s">
        <v>35</v>
      </c>
      <c r="L115" s="122" t="s">
        <v>34</v>
      </c>
      <c r="M115" s="123" t="s">
        <v>35</v>
      </c>
    </row>
    <row r="116" spans="3:13" ht="24" customHeight="1" thickBot="1" x14ac:dyDescent="0.25">
      <c r="C116" s="124" t="s">
        <v>36</v>
      </c>
      <c r="D116" s="125">
        <v>90131</v>
      </c>
      <c r="E116" s="126">
        <v>-6.8374919893328889E-2</v>
      </c>
      <c r="F116" s="125">
        <v>15541</v>
      </c>
      <c r="G116" s="126">
        <v>0.12566999855135452</v>
      </c>
      <c r="H116" s="125">
        <v>3790</v>
      </c>
      <c r="I116" s="126">
        <v>0.24589086127547666</v>
      </c>
      <c r="J116" s="125">
        <v>34314</v>
      </c>
      <c r="K116" s="126">
        <v>-7.3921139988664897E-2</v>
      </c>
      <c r="L116" s="125">
        <v>36486</v>
      </c>
      <c r="M116" s="126">
        <v>-0.14841871863694711</v>
      </c>
    </row>
    <row r="117" spans="3:13" ht="27" customHeight="1" thickBot="1" x14ac:dyDescent="0.25">
      <c r="C117" s="127" t="s">
        <v>37</v>
      </c>
      <c r="D117" s="128">
        <v>24178.620824940113</v>
      </c>
      <c r="E117" s="129">
        <v>4.2071218749130113E-2</v>
      </c>
      <c r="F117" s="128" t="s">
        <v>38</v>
      </c>
      <c r="G117" s="129" t="s">
        <v>38</v>
      </c>
      <c r="H117" s="128" t="s">
        <v>38</v>
      </c>
      <c r="I117" s="129" t="s">
        <v>38</v>
      </c>
      <c r="J117" s="128" t="s">
        <v>38</v>
      </c>
      <c r="K117" s="129" t="s">
        <v>38</v>
      </c>
      <c r="L117" s="128" t="s">
        <v>38</v>
      </c>
      <c r="M117" s="129" t="s">
        <v>38</v>
      </c>
    </row>
    <row r="118" spans="3:13" ht="28.5" customHeight="1" thickBot="1" x14ac:dyDescent="0.25">
      <c r="C118" s="130" t="s">
        <v>39</v>
      </c>
      <c r="D118" s="131">
        <v>14830.559080915258</v>
      </c>
      <c r="E118" s="132">
        <v>0.12059780244849483</v>
      </c>
      <c r="F118" s="131" t="s">
        <v>38</v>
      </c>
      <c r="G118" s="132" t="s">
        <v>38</v>
      </c>
      <c r="H118" s="131" t="s">
        <v>38</v>
      </c>
      <c r="I118" s="132" t="s">
        <v>38</v>
      </c>
      <c r="J118" s="131" t="s">
        <v>38</v>
      </c>
      <c r="K118" s="132" t="s">
        <v>38</v>
      </c>
      <c r="L118" s="131" t="s">
        <v>38</v>
      </c>
      <c r="M118" s="132" t="s">
        <v>38</v>
      </c>
    </row>
    <row r="119" spans="3:13" ht="27.75" customHeight="1" thickBot="1" x14ac:dyDescent="0.25">
      <c r="C119" s="130" t="s">
        <v>40</v>
      </c>
      <c r="D119" s="131">
        <v>51121.820094144627</v>
      </c>
      <c r="E119" s="132">
        <v>-0.15233553954306867</v>
      </c>
      <c r="F119" s="131" t="s">
        <v>38</v>
      </c>
      <c r="G119" s="132" t="s">
        <v>38</v>
      </c>
      <c r="H119" s="131" t="s">
        <v>38</v>
      </c>
      <c r="I119" s="132" t="s">
        <v>38</v>
      </c>
      <c r="J119" s="131" t="s">
        <v>38</v>
      </c>
      <c r="K119" s="132" t="s">
        <v>38</v>
      </c>
      <c r="L119" s="131" t="s">
        <v>38</v>
      </c>
      <c r="M119" s="132" t="s">
        <v>38</v>
      </c>
    </row>
    <row r="120" spans="3:13" ht="24" customHeight="1" thickBot="1" x14ac:dyDescent="0.25">
      <c r="C120" s="133" t="s">
        <v>41</v>
      </c>
      <c r="D120" s="134">
        <v>14295</v>
      </c>
      <c r="E120" s="132">
        <v>0.16560665362035221</v>
      </c>
      <c r="F120" s="134">
        <v>188</v>
      </c>
      <c r="G120" s="132">
        <v>0.23684210526315796</v>
      </c>
      <c r="H120" s="134">
        <v>140</v>
      </c>
      <c r="I120" s="132">
        <v>-7.2847682119205337E-2</v>
      </c>
      <c r="J120" s="134">
        <v>1154</v>
      </c>
      <c r="K120" s="132">
        <v>-7.901037509976061E-2</v>
      </c>
      <c r="L120" s="134">
        <v>12813</v>
      </c>
      <c r="M120" s="132">
        <v>0.19658199477026517</v>
      </c>
    </row>
    <row r="121" spans="3:13" ht="24" customHeight="1" thickBot="1" x14ac:dyDescent="0.25">
      <c r="C121" s="135" t="s">
        <v>42</v>
      </c>
      <c r="D121" s="131">
        <v>15924</v>
      </c>
      <c r="E121" s="132">
        <v>0.12624655208996383</v>
      </c>
      <c r="F121" s="131">
        <v>132</v>
      </c>
      <c r="G121" s="132">
        <v>-0.19512195121951215</v>
      </c>
      <c r="H121" s="131">
        <v>102</v>
      </c>
      <c r="I121" s="132">
        <v>0.17241379310344818</v>
      </c>
      <c r="J121" s="131">
        <v>811</v>
      </c>
      <c r="K121" s="132">
        <v>0.16522988505747116</v>
      </c>
      <c r="L121" s="131">
        <v>14879</v>
      </c>
      <c r="M121" s="132">
        <v>0.12788053365676166</v>
      </c>
    </row>
    <row r="122" spans="3:13" ht="24" customHeight="1" thickBot="1" x14ac:dyDescent="0.25">
      <c r="C122" s="133" t="s">
        <v>43</v>
      </c>
      <c r="D122" s="134">
        <v>57701</v>
      </c>
      <c r="E122" s="132">
        <v>-8.1004029496551833E-2</v>
      </c>
      <c r="F122" s="134">
        <v>1165</v>
      </c>
      <c r="G122" s="132">
        <v>-0.17375886524822692</v>
      </c>
      <c r="H122" s="134">
        <v>1922</v>
      </c>
      <c r="I122" s="132">
        <v>0.48302469135802473</v>
      </c>
      <c r="J122" s="134">
        <v>22463</v>
      </c>
      <c r="K122" s="132">
        <v>-9.0566801619433202E-2</v>
      </c>
      <c r="L122" s="134">
        <v>32151</v>
      </c>
      <c r="M122" s="132">
        <v>-9.1291936350018421E-2</v>
      </c>
    </row>
    <row r="123" spans="3:13" ht="24" customHeight="1" thickBot="1" x14ac:dyDescent="0.25">
      <c r="C123" s="135" t="s">
        <v>44</v>
      </c>
      <c r="D123" s="131">
        <v>17234</v>
      </c>
      <c r="E123" s="132">
        <v>1.5676567656765616E-2</v>
      </c>
      <c r="F123" s="131">
        <v>559</v>
      </c>
      <c r="G123" s="132">
        <v>3.7105751391465658E-2</v>
      </c>
      <c r="H123" s="131">
        <v>709</v>
      </c>
      <c r="I123" s="132">
        <v>0.48949579831932777</v>
      </c>
      <c r="J123" s="131">
        <v>3684</v>
      </c>
      <c r="K123" s="132">
        <v>0.20352825873897418</v>
      </c>
      <c r="L123" s="131">
        <v>12282</v>
      </c>
      <c r="M123" s="132">
        <v>-4.7316165063605364E-2</v>
      </c>
    </row>
    <row r="124" spans="3:13" ht="24" customHeight="1" thickBot="1" x14ac:dyDescent="0.25">
      <c r="C124" s="133" t="s">
        <v>45</v>
      </c>
      <c r="D124" s="134">
        <v>181210</v>
      </c>
      <c r="E124" s="132">
        <v>7.1906018195369459E-2</v>
      </c>
      <c r="F124" s="134">
        <v>1047</v>
      </c>
      <c r="G124" s="132">
        <v>-2.7855153203342642E-2</v>
      </c>
      <c r="H124" s="134">
        <v>381</v>
      </c>
      <c r="I124" s="132">
        <v>9.1690544412607489E-2</v>
      </c>
      <c r="J124" s="134">
        <v>9091</v>
      </c>
      <c r="K124" s="132">
        <v>2.4684400360685199E-2</v>
      </c>
      <c r="L124" s="134">
        <v>170691</v>
      </c>
      <c r="M124" s="132">
        <v>7.517826097911251E-2</v>
      </c>
    </row>
    <row r="125" spans="3:13" ht="24" customHeight="1" thickBot="1" x14ac:dyDescent="0.25">
      <c r="C125" s="135" t="s">
        <v>46</v>
      </c>
      <c r="D125" s="131">
        <v>10727</v>
      </c>
      <c r="E125" s="132">
        <v>0.14629194272280399</v>
      </c>
      <c r="F125" s="131">
        <v>107</v>
      </c>
      <c r="G125" s="132">
        <v>5.9405940594059459E-2</v>
      </c>
      <c r="H125" s="131">
        <v>34</v>
      </c>
      <c r="I125" s="132">
        <v>-0.20930232558139539</v>
      </c>
      <c r="J125" s="131">
        <v>626</v>
      </c>
      <c r="K125" s="132">
        <v>-0.2356532356532357</v>
      </c>
      <c r="L125" s="131">
        <v>9960</v>
      </c>
      <c r="M125" s="132">
        <v>0.18642048838594394</v>
      </c>
    </row>
    <row r="126" spans="3:13" ht="24" customHeight="1" thickBot="1" x14ac:dyDescent="0.25">
      <c r="C126" s="133" t="s">
        <v>47</v>
      </c>
      <c r="D126" s="134">
        <v>13122</v>
      </c>
      <c r="E126" s="132">
        <v>0.11099822199644405</v>
      </c>
      <c r="F126" s="134">
        <v>674</v>
      </c>
      <c r="G126" s="132">
        <v>-8.174386920980925E-2</v>
      </c>
      <c r="H126" s="134">
        <v>193</v>
      </c>
      <c r="I126" s="132">
        <v>0.30405405405405395</v>
      </c>
      <c r="J126" s="134">
        <v>1255</v>
      </c>
      <c r="K126" s="132">
        <v>-7.9617834394907216E-4</v>
      </c>
      <c r="L126" s="134">
        <v>11000</v>
      </c>
      <c r="M126" s="132">
        <v>0.13718598159826323</v>
      </c>
    </row>
    <row r="127" spans="3:13" ht="24" customHeight="1" thickBot="1" x14ac:dyDescent="0.25">
      <c r="C127" s="135" t="s">
        <v>48</v>
      </c>
      <c r="D127" s="131">
        <v>68487</v>
      </c>
      <c r="E127" s="132">
        <v>0.10237094982857697</v>
      </c>
      <c r="F127" s="131">
        <v>1178</v>
      </c>
      <c r="G127" s="132">
        <v>2.553191489361728E-3</v>
      </c>
      <c r="H127" s="131">
        <v>165</v>
      </c>
      <c r="I127" s="132">
        <v>0.20437956204379559</v>
      </c>
      <c r="J127" s="131">
        <v>11453</v>
      </c>
      <c r="K127" s="132">
        <v>0.21504349671122425</v>
      </c>
      <c r="L127" s="131">
        <v>55691</v>
      </c>
      <c r="M127" s="132">
        <v>8.371441359045706E-2</v>
      </c>
    </row>
    <row r="128" spans="3:13" ht="24" customHeight="1" thickBot="1" x14ac:dyDescent="0.25">
      <c r="C128" s="136" t="s">
        <v>49</v>
      </c>
      <c r="D128" s="134">
        <v>20204</v>
      </c>
      <c r="E128" s="132">
        <v>-6.4889382578913302E-2</v>
      </c>
      <c r="F128" s="134">
        <v>443</v>
      </c>
      <c r="G128" s="132">
        <v>2.7842227378190199E-2</v>
      </c>
      <c r="H128" s="134">
        <v>29</v>
      </c>
      <c r="I128" s="132">
        <v>-0.63749999999999996</v>
      </c>
      <c r="J128" s="134">
        <v>2984</v>
      </c>
      <c r="K128" s="132">
        <v>0.27575887131252674</v>
      </c>
      <c r="L128" s="134">
        <v>16748</v>
      </c>
      <c r="M128" s="132">
        <v>-0.1070590744295159</v>
      </c>
    </row>
    <row r="129" spans="3:13" ht="24" customHeight="1" thickBot="1" x14ac:dyDescent="0.25">
      <c r="C129" s="130" t="s">
        <v>50</v>
      </c>
      <c r="D129" s="131">
        <v>13305</v>
      </c>
      <c r="E129" s="132">
        <v>0.30402822699206111</v>
      </c>
      <c r="F129" s="131">
        <v>241</v>
      </c>
      <c r="G129" s="132">
        <v>-0.20983606557377055</v>
      </c>
      <c r="H129" s="131">
        <v>33</v>
      </c>
      <c r="I129" s="132">
        <v>3.125</v>
      </c>
      <c r="J129" s="131">
        <v>1285</v>
      </c>
      <c r="K129" s="132">
        <v>0.53524492234169663</v>
      </c>
      <c r="L129" s="131">
        <v>11746</v>
      </c>
      <c r="M129" s="132">
        <v>0.29747045178393905</v>
      </c>
    </row>
    <row r="130" spans="3:13" ht="24" customHeight="1" thickBot="1" x14ac:dyDescent="0.25">
      <c r="C130" s="136" t="s">
        <v>51</v>
      </c>
      <c r="D130" s="134">
        <v>16316</v>
      </c>
      <c r="E130" s="132">
        <v>0.25334152711630042</v>
      </c>
      <c r="F130" s="134">
        <v>268</v>
      </c>
      <c r="G130" s="132">
        <v>0.21818181818181825</v>
      </c>
      <c r="H130" s="134">
        <v>52</v>
      </c>
      <c r="I130" s="132">
        <v>1.6</v>
      </c>
      <c r="J130" s="134">
        <v>2257</v>
      </c>
      <c r="K130" s="132">
        <v>0.64864864864864868</v>
      </c>
      <c r="L130" s="134">
        <v>13739</v>
      </c>
      <c r="M130" s="132">
        <v>0.20422473485844517</v>
      </c>
    </row>
    <row r="131" spans="3:13" ht="24" customHeight="1" thickBot="1" x14ac:dyDescent="0.25">
      <c r="C131" s="130" t="s">
        <v>52</v>
      </c>
      <c r="D131" s="131">
        <v>18662</v>
      </c>
      <c r="E131" s="132">
        <v>7.8728323699422065E-2</v>
      </c>
      <c r="F131" s="131">
        <v>226</v>
      </c>
      <c r="G131" s="132">
        <v>3.1963470319634757E-2</v>
      </c>
      <c r="H131" s="131">
        <v>51</v>
      </c>
      <c r="I131" s="132">
        <v>0.75862068965517238</v>
      </c>
      <c r="J131" s="131">
        <v>4927</v>
      </c>
      <c r="K131" s="132">
        <v>9.4242982995287328E-3</v>
      </c>
      <c r="L131" s="131">
        <v>13458</v>
      </c>
      <c r="M131" s="132">
        <v>0.1057431599704215</v>
      </c>
    </row>
    <row r="132" spans="3:13" ht="24" customHeight="1" thickBot="1" x14ac:dyDescent="0.25">
      <c r="C132" s="133" t="s">
        <v>53</v>
      </c>
      <c r="D132" s="134">
        <v>4149</v>
      </c>
      <c r="E132" s="132">
        <v>-1.4255167498218091E-2</v>
      </c>
      <c r="F132" s="134">
        <v>156</v>
      </c>
      <c r="G132" s="132">
        <v>1.298701298701288E-2</v>
      </c>
      <c r="H132" s="134">
        <v>119</v>
      </c>
      <c r="I132" s="132">
        <v>0.75</v>
      </c>
      <c r="J132" s="134">
        <v>708</v>
      </c>
      <c r="K132" s="132">
        <v>-3.013698630136985E-2</v>
      </c>
      <c r="L132" s="134">
        <v>3166</v>
      </c>
      <c r="M132" s="132">
        <v>-2.7939821922014163E-2</v>
      </c>
    </row>
    <row r="133" spans="3:13" ht="24" customHeight="1" thickBot="1" x14ac:dyDescent="0.25">
      <c r="C133" s="135" t="s">
        <v>54</v>
      </c>
      <c r="D133" s="131">
        <v>2948</v>
      </c>
      <c r="E133" s="132">
        <v>6.5798987707881507E-2</v>
      </c>
      <c r="F133" s="131">
        <v>76</v>
      </c>
      <c r="G133" s="132">
        <v>-0.22448979591836737</v>
      </c>
      <c r="H133" s="131">
        <v>66</v>
      </c>
      <c r="I133" s="132">
        <v>0.22222222222222232</v>
      </c>
      <c r="J133" s="131">
        <v>923</v>
      </c>
      <c r="K133" s="132">
        <v>0.34548104956268211</v>
      </c>
      <c r="L133" s="131">
        <v>1883</v>
      </c>
      <c r="M133" s="132">
        <v>-2.334024896265563E-2</v>
      </c>
    </row>
    <row r="134" spans="3:13" ht="24" customHeight="1" thickBot="1" x14ac:dyDescent="0.25">
      <c r="C134" s="133" t="s">
        <v>55</v>
      </c>
      <c r="D134" s="134">
        <v>7079</v>
      </c>
      <c r="E134" s="132">
        <v>0.43010101010101009</v>
      </c>
      <c r="F134" s="134">
        <v>251</v>
      </c>
      <c r="G134" s="132">
        <v>0.88721804511278202</v>
      </c>
      <c r="H134" s="134">
        <v>79</v>
      </c>
      <c r="I134" s="132">
        <v>0.27419354838709675</v>
      </c>
      <c r="J134" s="134">
        <v>1070</v>
      </c>
      <c r="K134" s="132">
        <v>0.76276771004942345</v>
      </c>
      <c r="L134" s="134">
        <v>5679</v>
      </c>
      <c r="M134" s="132">
        <v>0.36909353905496634</v>
      </c>
    </row>
    <row r="135" spans="3:13" ht="24" customHeight="1" thickBot="1" x14ac:dyDescent="0.25">
      <c r="C135" s="135" t="s">
        <v>56</v>
      </c>
      <c r="D135" s="131">
        <v>13274</v>
      </c>
      <c r="E135" s="132">
        <v>4.2569902607602961E-2</v>
      </c>
      <c r="F135" s="131">
        <v>242</v>
      </c>
      <c r="G135" s="132">
        <v>8.0357142857142794E-2</v>
      </c>
      <c r="H135" s="131">
        <v>28</v>
      </c>
      <c r="I135" s="132">
        <v>-0.31707317073170727</v>
      </c>
      <c r="J135" s="131">
        <v>1885</v>
      </c>
      <c r="K135" s="132">
        <v>0.61663807890222988</v>
      </c>
      <c r="L135" s="131">
        <v>11119</v>
      </c>
      <c r="M135" s="132">
        <v>-1.6104769489425741E-2</v>
      </c>
    </row>
    <row r="136" spans="3:13" ht="24" customHeight="1" thickBot="1" x14ac:dyDescent="0.25">
      <c r="C136" s="133" t="s">
        <v>57</v>
      </c>
      <c r="D136" s="134">
        <v>12083</v>
      </c>
      <c r="E136" s="132">
        <v>-6.5217391304347783E-2</v>
      </c>
      <c r="F136" s="134">
        <v>492</v>
      </c>
      <c r="G136" s="132">
        <v>-2.3809523809523836E-2</v>
      </c>
      <c r="H136" s="134">
        <v>69</v>
      </c>
      <c r="I136" s="132">
        <v>-2.8169014084507005E-2</v>
      </c>
      <c r="J136" s="134">
        <v>3199</v>
      </c>
      <c r="K136" s="132">
        <v>3.4504391468004325E-3</v>
      </c>
      <c r="L136" s="134">
        <v>8323</v>
      </c>
      <c r="M136" s="132">
        <v>-9.1673032849503455E-2</v>
      </c>
    </row>
    <row r="137" spans="3:13" ht="24" customHeight="1" thickBot="1" x14ac:dyDescent="0.25">
      <c r="C137" s="135" t="s">
        <v>58</v>
      </c>
      <c r="D137" s="131">
        <v>2260</v>
      </c>
      <c r="E137" s="132">
        <v>-0.15165165165165162</v>
      </c>
      <c r="F137" s="131">
        <v>253</v>
      </c>
      <c r="G137" s="132">
        <v>-0.12758620689655176</v>
      </c>
      <c r="H137" s="131">
        <v>86</v>
      </c>
      <c r="I137" s="132">
        <v>-0.18095238095238098</v>
      </c>
      <c r="J137" s="131">
        <v>307</v>
      </c>
      <c r="K137" s="132">
        <v>-0.37601626016260159</v>
      </c>
      <c r="L137" s="131">
        <v>1614</v>
      </c>
      <c r="M137" s="132">
        <v>-9.1727630838491891E-2</v>
      </c>
    </row>
    <row r="138" spans="3:13" ht="24" customHeight="1" thickBot="1" x14ac:dyDescent="0.25">
      <c r="C138" s="133" t="s">
        <v>59</v>
      </c>
      <c r="D138" s="134">
        <v>1948</v>
      </c>
      <c r="E138" s="132">
        <v>9.8702763677382954E-2</v>
      </c>
      <c r="F138" s="134">
        <v>450</v>
      </c>
      <c r="G138" s="132">
        <v>-9.2741935483870996E-2</v>
      </c>
      <c r="H138" s="134">
        <v>103</v>
      </c>
      <c r="I138" s="132">
        <v>0.37333333333333329</v>
      </c>
      <c r="J138" s="134">
        <v>542</v>
      </c>
      <c r="K138" s="132">
        <v>0.29976019184652269</v>
      </c>
      <c r="L138" s="134">
        <v>853</v>
      </c>
      <c r="M138" s="132">
        <v>8.6624203821656032E-2</v>
      </c>
    </row>
    <row r="139" spans="3:13" ht="24" customHeight="1" thickBot="1" x14ac:dyDescent="0.25">
      <c r="C139" s="135" t="s">
        <v>60</v>
      </c>
      <c r="D139" s="137">
        <v>7704</v>
      </c>
      <c r="E139" s="138">
        <v>9.4162760971452819E-2</v>
      </c>
      <c r="F139" s="137">
        <v>658</v>
      </c>
      <c r="G139" s="138">
        <v>0.16460176991150433</v>
      </c>
      <c r="H139" s="137">
        <v>238</v>
      </c>
      <c r="I139" s="138">
        <v>1.6153846153846154</v>
      </c>
      <c r="J139" s="137">
        <v>2098</v>
      </c>
      <c r="K139" s="138">
        <v>0.64291307752545035</v>
      </c>
      <c r="L139" s="137">
        <v>4710</v>
      </c>
      <c r="M139" s="138">
        <v>-7.7916992952231756E-2</v>
      </c>
    </row>
    <row r="140" spans="3:13" ht="30.75" customHeight="1" thickTop="1" thickBot="1" x14ac:dyDescent="0.25">
      <c r="C140" s="139" t="s">
        <v>61</v>
      </c>
      <c r="D140" s="140">
        <v>430145</v>
      </c>
      <c r="E140" s="141">
        <v>5.5391847760747348E-2</v>
      </c>
      <c r="F140" s="140">
        <v>7628</v>
      </c>
      <c r="G140" s="141">
        <v>-2.4053224155578312E-2</v>
      </c>
      <c r="H140" s="140">
        <v>4434</v>
      </c>
      <c r="I140" s="141">
        <v>0.36263060848186845</v>
      </c>
      <c r="J140" s="140">
        <v>61269</v>
      </c>
      <c r="K140" s="141">
        <v>4.4725983016744575E-2</v>
      </c>
      <c r="L140" s="140">
        <v>356814</v>
      </c>
      <c r="M140" s="141">
        <v>5.6122041242788967E-2</v>
      </c>
    </row>
    <row r="141" spans="3:13" ht="24" customHeight="1" thickBot="1" x14ac:dyDescent="0.25">
      <c r="C141" s="142" t="s">
        <v>8</v>
      </c>
      <c r="D141" s="143">
        <v>520276</v>
      </c>
      <c r="E141" s="144">
        <v>3.1648870249744609E-2</v>
      </c>
      <c r="F141" s="143">
        <v>23169</v>
      </c>
      <c r="G141" s="144">
        <v>7.1547497918786451E-2</v>
      </c>
      <c r="H141" s="143">
        <v>8224</v>
      </c>
      <c r="I141" s="144">
        <v>0.3062261753494282</v>
      </c>
      <c r="J141" s="143">
        <v>95583</v>
      </c>
      <c r="K141" s="144">
        <v>-1.2121338780969326E-3</v>
      </c>
      <c r="L141" s="143">
        <v>393300</v>
      </c>
      <c r="M141" s="144">
        <v>3.3102354096948172E-2</v>
      </c>
    </row>
    <row r="142" spans="3:13" ht="13.5" thickBot="1" x14ac:dyDescent="0.25">
      <c r="C142" s="11"/>
      <c r="M142" s="145"/>
    </row>
    <row r="143" spans="3:13" ht="35.25" customHeight="1" thickBot="1" x14ac:dyDescent="0.25">
      <c r="C143" s="345" t="s">
        <v>29</v>
      </c>
      <c r="D143" s="346"/>
      <c r="E143" s="346"/>
      <c r="F143" s="346"/>
      <c r="G143" s="346"/>
      <c r="H143" s="346"/>
      <c r="I143" s="346"/>
      <c r="J143" s="346"/>
      <c r="K143" s="346"/>
      <c r="L143" s="346"/>
      <c r="M143" s="347"/>
    </row>
    <row r="144" spans="3:13" ht="20.100000000000001" customHeight="1" x14ac:dyDescent="0.2">
      <c r="C144" s="114"/>
      <c r="D144" s="115"/>
      <c r="E144" s="115"/>
      <c r="F144" s="115"/>
      <c r="G144" s="348" t="str">
        <f>I2</f>
        <v>Invierno 18/19 (nov-mar)</v>
      </c>
      <c r="H144" s="349"/>
      <c r="I144" s="349"/>
      <c r="J144" s="115"/>
      <c r="K144" s="115"/>
      <c r="L144" s="115"/>
      <c r="M144" s="116"/>
    </row>
    <row r="145" spans="3:13" ht="5.25" customHeight="1" thickBot="1" x14ac:dyDescent="0.25">
      <c r="C145" s="117"/>
      <c r="D145" s="115"/>
      <c r="E145" s="115"/>
      <c r="F145" s="115"/>
      <c r="G145" s="118"/>
      <c r="H145" s="118"/>
      <c r="I145" s="118"/>
      <c r="J145" s="115"/>
      <c r="K145" s="115"/>
      <c r="L145" s="115"/>
      <c r="M145" s="119"/>
    </row>
    <row r="146" spans="3:13" ht="32.25" customHeight="1" thickTop="1" thickBot="1" x14ac:dyDescent="0.25">
      <c r="C146" s="120"/>
      <c r="D146" s="328" t="s">
        <v>7</v>
      </c>
      <c r="E146" s="329"/>
      <c r="F146" s="328" t="s">
        <v>30</v>
      </c>
      <c r="G146" s="329"/>
      <c r="H146" s="328" t="s">
        <v>31</v>
      </c>
      <c r="I146" s="329"/>
      <c r="J146" s="328" t="s">
        <v>32</v>
      </c>
      <c r="K146" s="329"/>
      <c r="L146" s="328" t="s">
        <v>33</v>
      </c>
      <c r="M146" s="329"/>
    </row>
    <row r="147" spans="3:13" ht="31.5" customHeight="1" thickBot="1" x14ac:dyDescent="0.25">
      <c r="C147" s="121"/>
      <c r="D147" s="122" t="s">
        <v>62</v>
      </c>
      <c r="E147" s="123" t="s">
        <v>35</v>
      </c>
      <c r="F147" s="122" t="s">
        <v>62</v>
      </c>
      <c r="G147" s="123" t="s">
        <v>35</v>
      </c>
      <c r="H147" s="122" t="s">
        <v>62</v>
      </c>
      <c r="I147" s="123" t="s">
        <v>35</v>
      </c>
      <c r="J147" s="122" t="s">
        <v>62</v>
      </c>
      <c r="K147" s="123" t="s">
        <v>35</v>
      </c>
      <c r="L147" s="122" t="s">
        <v>62</v>
      </c>
      <c r="M147" s="123" t="s">
        <v>35</v>
      </c>
    </row>
    <row r="148" spans="3:13" ht="24" customHeight="1" thickBot="1" x14ac:dyDescent="0.25">
      <c r="C148" s="124" t="s">
        <v>36</v>
      </c>
      <c r="D148" s="125">
        <v>388958</v>
      </c>
      <c r="E148" s="126">
        <v>4.6218815143568071E-2</v>
      </c>
      <c r="F148" s="125">
        <v>69055</v>
      </c>
      <c r="G148" s="126">
        <v>3.5198704783605983E-2</v>
      </c>
      <c r="H148" s="125">
        <v>17050</v>
      </c>
      <c r="I148" s="126">
        <v>0.14845749696888055</v>
      </c>
      <c r="J148" s="125">
        <v>147046</v>
      </c>
      <c r="K148" s="126">
        <v>7.8824962216255123E-2</v>
      </c>
      <c r="L148" s="125">
        <v>155807</v>
      </c>
      <c r="M148" s="126">
        <v>1.2259615384615286E-2</v>
      </c>
    </row>
    <row r="149" spans="3:13" ht="24" customHeight="1" thickBot="1" x14ac:dyDescent="0.25">
      <c r="C149" s="127" t="s">
        <v>37</v>
      </c>
      <c r="D149" s="128">
        <v>97006.718171989152</v>
      </c>
      <c r="E149" s="129">
        <v>0.13671867465836107</v>
      </c>
      <c r="F149" s="128" t="s">
        <v>38</v>
      </c>
      <c r="G149" s="129" t="s">
        <v>38</v>
      </c>
      <c r="H149" s="128" t="s">
        <v>38</v>
      </c>
      <c r="I149" s="129" t="s">
        <v>38</v>
      </c>
      <c r="J149" s="128" t="s">
        <v>38</v>
      </c>
      <c r="K149" s="129" t="s">
        <v>38</v>
      </c>
      <c r="L149" s="128" t="s">
        <v>38</v>
      </c>
      <c r="M149" s="129" t="s">
        <v>38</v>
      </c>
    </row>
    <row r="150" spans="3:13" ht="24" customHeight="1" thickBot="1" x14ac:dyDescent="0.25">
      <c r="C150" s="130" t="s">
        <v>39</v>
      </c>
      <c r="D150" s="131">
        <v>54252.991437536533</v>
      </c>
      <c r="E150" s="132">
        <v>6.8642154713467685E-2</v>
      </c>
      <c r="F150" s="131" t="s">
        <v>38</v>
      </c>
      <c r="G150" s="132" t="s">
        <v>38</v>
      </c>
      <c r="H150" s="131" t="s">
        <v>38</v>
      </c>
      <c r="I150" s="132" t="s">
        <v>38</v>
      </c>
      <c r="J150" s="131" t="s">
        <v>38</v>
      </c>
      <c r="K150" s="132" t="s">
        <v>38</v>
      </c>
      <c r="L150" s="131" t="s">
        <v>38</v>
      </c>
      <c r="M150" s="132" t="s">
        <v>38</v>
      </c>
    </row>
    <row r="151" spans="3:13" ht="24" customHeight="1" thickBot="1" x14ac:dyDescent="0.25">
      <c r="C151" s="130" t="s">
        <v>40</v>
      </c>
      <c r="D151" s="131">
        <v>237698.29039047431</v>
      </c>
      <c r="E151" s="132">
        <v>8.6167780291397378E-3</v>
      </c>
      <c r="F151" s="131" t="s">
        <v>38</v>
      </c>
      <c r="G151" s="132" t="s">
        <v>38</v>
      </c>
      <c r="H151" s="131" t="s">
        <v>38</v>
      </c>
      <c r="I151" s="132" t="s">
        <v>38</v>
      </c>
      <c r="J151" s="131" t="s">
        <v>38</v>
      </c>
      <c r="K151" s="132" t="s">
        <v>38</v>
      </c>
      <c r="L151" s="131" t="s">
        <v>38</v>
      </c>
      <c r="M151" s="132" t="s">
        <v>38</v>
      </c>
    </row>
    <row r="152" spans="3:13" ht="24" customHeight="1" thickBot="1" x14ac:dyDescent="0.25">
      <c r="C152" s="133" t="s">
        <v>41</v>
      </c>
      <c r="D152" s="134">
        <v>64029</v>
      </c>
      <c r="E152" s="132">
        <v>4.5490913247228315E-2</v>
      </c>
      <c r="F152" s="134">
        <v>927</v>
      </c>
      <c r="G152" s="132">
        <v>4.5095828635851154E-2</v>
      </c>
      <c r="H152" s="134">
        <v>692</v>
      </c>
      <c r="I152" s="132">
        <v>0.14569536423841067</v>
      </c>
      <c r="J152" s="134">
        <v>5170</v>
      </c>
      <c r="K152" s="132">
        <v>-1.071565250669726E-2</v>
      </c>
      <c r="L152" s="134">
        <v>57240</v>
      </c>
      <c r="M152" s="132">
        <v>4.977441954297035E-2</v>
      </c>
    </row>
    <row r="153" spans="3:13" ht="24" customHeight="1" thickBot="1" x14ac:dyDescent="0.25">
      <c r="C153" s="135" t="s">
        <v>42</v>
      </c>
      <c r="D153" s="131">
        <v>70466</v>
      </c>
      <c r="E153" s="132">
        <v>2.6228791960969833E-2</v>
      </c>
      <c r="F153" s="131">
        <v>714</v>
      </c>
      <c r="G153" s="132">
        <v>-9.5057034220532355E-2</v>
      </c>
      <c r="H153" s="131">
        <v>529</v>
      </c>
      <c r="I153" s="132">
        <v>0.44535519125683054</v>
      </c>
      <c r="J153" s="131">
        <v>3713</v>
      </c>
      <c r="K153" s="132">
        <v>-1.4858052533828547E-2</v>
      </c>
      <c r="L153" s="131">
        <v>65510</v>
      </c>
      <c r="M153" s="132">
        <v>2.7752937669631716E-2</v>
      </c>
    </row>
    <row r="154" spans="3:13" ht="24" customHeight="1" thickBot="1" x14ac:dyDescent="0.25">
      <c r="C154" s="133" t="s">
        <v>43</v>
      </c>
      <c r="D154" s="134">
        <v>272557</v>
      </c>
      <c r="E154" s="132">
        <v>-3.6686612214026471E-2</v>
      </c>
      <c r="F154" s="134">
        <v>6013</v>
      </c>
      <c r="G154" s="132">
        <v>-5.5153991200502794E-2</v>
      </c>
      <c r="H154" s="134">
        <v>7154</v>
      </c>
      <c r="I154" s="132">
        <v>0.23557858376511231</v>
      </c>
      <c r="J154" s="134">
        <v>106280</v>
      </c>
      <c r="K154" s="132">
        <v>-5.9810157376527062E-2</v>
      </c>
      <c r="L154" s="134">
        <v>153110</v>
      </c>
      <c r="M154" s="132">
        <v>-2.9364405167932484E-2</v>
      </c>
    </row>
    <row r="155" spans="3:13" ht="24" customHeight="1" thickBot="1" x14ac:dyDescent="0.25">
      <c r="C155" s="135" t="s">
        <v>44</v>
      </c>
      <c r="D155" s="131">
        <v>76622</v>
      </c>
      <c r="E155" s="132">
        <v>7.0947362535990877E-2</v>
      </c>
      <c r="F155" s="131">
        <v>2889</v>
      </c>
      <c r="G155" s="132">
        <v>5.3994892375045511E-2</v>
      </c>
      <c r="H155" s="131">
        <v>2890</v>
      </c>
      <c r="I155" s="132">
        <v>0.23715753424657526</v>
      </c>
      <c r="J155" s="131">
        <v>15399</v>
      </c>
      <c r="K155" s="132">
        <v>0.21424065604794196</v>
      </c>
      <c r="L155" s="131">
        <v>55444</v>
      </c>
      <c r="M155" s="132">
        <v>3.0806700503839268E-2</v>
      </c>
    </row>
    <row r="156" spans="3:13" ht="24" customHeight="1" thickBot="1" x14ac:dyDescent="0.25">
      <c r="C156" s="133" t="s">
        <v>45</v>
      </c>
      <c r="D156" s="134">
        <v>820083</v>
      </c>
      <c r="E156" s="132">
        <v>8.7509100336430556E-2</v>
      </c>
      <c r="F156" s="134">
        <v>5260</v>
      </c>
      <c r="G156" s="132">
        <v>-4.7963800904977427E-2</v>
      </c>
      <c r="H156" s="134">
        <v>2072</v>
      </c>
      <c r="I156" s="132">
        <v>0.12000000000000011</v>
      </c>
      <c r="J156" s="134">
        <v>44086</v>
      </c>
      <c r="K156" s="132">
        <v>7.4429713394423835E-2</v>
      </c>
      <c r="L156" s="134">
        <v>768665</v>
      </c>
      <c r="M156" s="132">
        <v>8.924507500503065E-2</v>
      </c>
    </row>
    <row r="157" spans="3:13" ht="24" customHeight="1" thickBot="1" x14ac:dyDescent="0.25">
      <c r="C157" s="135" t="s">
        <v>46</v>
      </c>
      <c r="D157" s="131">
        <v>45451</v>
      </c>
      <c r="E157" s="132">
        <v>0.16299480566003943</v>
      </c>
      <c r="F157" s="131">
        <v>614</v>
      </c>
      <c r="G157" s="132">
        <v>0.15196998123827399</v>
      </c>
      <c r="H157" s="131">
        <v>217</v>
      </c>
      <c r="I157" s="132">
        <v>5.8536585365853711E-2</v>
      </c>
      <c r="J157" s="131">
        <v>2964</v>
      </c>
      <c r="K157" s="132">
        <v>3.2033426183843972E-2</v>
      </c>
      <c r="L157" s="131">
        <v>41656</v>
      </c>
      <c r="M157" s="132">
        <v>0.17436779340870001</v>
      </c>
    </row>
    <row r="158" spans="3:13" ht="24" customHeight="1" thickBot="1" x14ac:dyDescent="0.25">
      <c r="C158" s="133" t="s">
        <v>47</v>
      </c>
      <c r="D158" s="134">
        <v>67863</v>
      </c>
      <c r="E158" s="132">
        <v>7.886871641601223E-2</v>
      </c>
      <c r="F158" s="134">
        <v>3274</v>
      </c>
      <c r="G158" s="132">
        <v>-2.8198278420896394E-2</v>
      </c>
      <c r="H158" s="134">
        <v>834</v>
      </c>
      <c r="I158" s="132">
        <v>-6.6069428891377346E-2</v>
      </c>
      <c r="J158" s="134">
        <v>6500</v>
      </c>
      <c r="K158" s="132">
        <v>4.3171240571336922E-2</v>
      </c>
      <c r="L158" s="134">
        <v>57255</v>
      </c>
      <c r="M158" s="132">
        <v>9.2465034631456389E-2</v>
      </c>
    </row>
    <row r="159" spans="3:13" ht="24" customHeight="1" thickBot="1" x14ac:dyDescent="0.25">
      <c r="C159" s="135" t="s">
        <v>48</v>
      </c>
      <c r="D159" s="131">
        <v>313271</v>
      </c>
      <c r="E159" s="132">
        <v>-1.6444275894157423E-3</v>
      </c>
      <c r="F159" s="131">
        <v>5965</v>
      </c>
      <c r="G159" s="132">
        <v>-3.914304123711343E-2</v>
      </c>
      <c r="H159" s="131">
        <v>1044</v>
      </c>
      <c r="I159" s="132">
        <v>0.55126300148588414</v>
      </c>
      <c r="J159" s="131">
        <v>50069</v>
      </c>
      <c r="K159" s="132">
        <v>8.6119004750645267E-2</v>
      </c>
      <c r="L159" s="131">
        <v>256193</v>
      </c>
      <c r="M159" s="132">
        <v>-1.7691242949767427E-2</v>
      </c>
    </row>
    <row r="160" spans="3:13" ht="24" customHeight="1" thickBot="1" x14ac:dyDescent="0.25">
      <c r="C160" s="136" t="s">
        <v>49</v>
      </c>
      <c r="D160" s="134">
        <v>99047</v>
      </c>
      <c r="E160" s="132">
        <v>-0.14992790689690683</v>
      </c>
      <c r="F160" s="134">
        <v>2173</v>
      </c>
      <c r="G160" s="132">
        <v>-5.2333187963366723E-2</v>
      </c>
      <c r="H160" s="134">
        <v>333</v>
      </c>
      <c r="I160" s="132">
        <v>-2.9940119760478723E-3</v>
      </c>
      <c r="J160" s="134">
        <v>12110</v>
      </c>
      <c r="K160" s="132">
        <v>2.2345444012248361E-3</v>
      </c>
      <c r="L160" s="134">
        <v>84431</v>
      </c>
      <c r="M160" s="132">
        <v>-0.17066774060467949</v>
      </c>
    </row>
    <row r="161" spans="3:13" ht="24" customHeight="1" thickBot="1" x14ac:dyDescent="0.25">
      <c r="C161" s="130" t="s">
        <v>50</v>
      </c>
      <c r="D161" s="131">
        <v>57256</v>
      </c>
      <c r="E161" s="132">
        <v>0.12121568166686258</v>
      </c>
      <c r="F161" s="131">
        <v>1203</v>
      </c>
      <c r="G161" s="132">
        <v>-0.22487113402061853</v>
      </c>
      <c r="H161" s="131">
        <v>230</v>
      </c>
      <c r="I161" s="132">
        <v>1.4731182795698925</v>
      </c>
      <c r="J161" s="131">
        <v>5100</v>
      </c>
      <c r="K161" s="132">
        <v>0.3000254906958959</v>
      </c>
      <c r="L161" s="131">
        <v>50723</v>
      </c>
      <c r="M161" s="132">
        <v>0.11484021275660461</v>
      </c>
    </row>
    <row r="162" spans="3:13" ht="24" customHeight="1" thickBot="1" x14ac:dyDescent="0.25">
      <c r="C162" s="136" t="s">
        <v>51</v>
      </c>
      <c r="D162" s="134">
        <v>67502</v>
      </c>
      <c r="E162" s="132">
        <v>0.13288802363050478</v>
      </c>
      <c r="F162" s="134">
        <v>1318</v>
      </c>
      <c r="G162" s="132">
        <v>0.24692526017029337</v>
      </c>
      <c r="H162" s="134">
        <v>236</v>
      </c>
      <c r="I162" s="132">
        <v>0.62758620689655165</v>
      </c>
      <c r="J162" s="134">
        <v>9158</v>
      </c>
      <c r="K162" s="132">
        <v>0.27887166596844026</v>
      </c>
      <c r="L162" s="134">
        <v>56790</v>
      </c>
      <c r="M162" s="132">
        <v>0.10872493703754316</v>
      </c>
    </row>
    <row r="163" spans="3:13" ht="24" customHeight="1" thickBot="1" x14ac:dyDescent="0.25">
      <c r="C163" s="130" t="s">
        <v>52</v>
      </c>
      <c r="D163" s="131">
        <v>89466</v>
      </c>
      <c r="E163" s="132">
        <v>3.2844229459368934E-2</v>
      </c>
      <c r="F163" s="131">
        <v>1271</v>
      </c>
      <c r="G163" s="132">
        <v>-2.6799387442572709E-2</v>
      </c>
      <c r="H163" s="131">
        <v>245</v>
      </c>
      <c r="I163" s="132">
        <v>1.4257425742574257</v>
      </c>
      <c r="J163" s="131">
        <v>23701</v>
      </c>
      <c r="K163" s="132">
        <v>3.3533926391069224E-2</v>
      </c>
      <c r="L163" s="131">
        <v>64249</v>
      </c>
      <c r="M163" s="132">
        <v>3.1582158569088969E-2</v>
      </c>
    </row>
    <row r="164" spans="3:13" ht="24" customHeight="1" thickBot="1" x14ac:dyDescent="0.25">
      <c r="C164" s="133" t="s">
        <v>53</v>
      </c>
      <c r="D164" s="134">
        <v>21893</v>
      </c>
      <c r="E164" s="132">
        <v>1.1738065529830477E-2</v>
      </c>
      <c r="F164" s="134">
        <v>708</v>
      </c>
      <c r="G164" s="132">
        <v>-8.6451612903225783E-2</v>
      </c>
      <c r="H164" s="134">
        <v>536</v>
      </c>
      <c r="I164" s="132">
        <v>0.27014218009478674</v>
      </c>
      <c r="J164" s="134">
        <v>3890</v>
      </c>
      <c r="K164" s="132">
        <v>-1.7924766473112808E-2</v>
      </c>
      <c r="L164" s="134">
        <v>16759</v>
      </c>
      <c r="M164" s="132">
        <v>1.6867908500697748E-2</v>
      </c>
    </row>
    <row r="165" spans="3:13" ht="24" customHeight="1" thickBot="1" x14ac:dyDescent="0.25">
      <c r="C165" s="135" t="s">
        <v>54</v>
      </c>
      <c r="D165" s="131">
        <v>16708</v>
      </c>
      <c r="E165" s="132">
        <v>7.3089274245343505E-2</v>
      </c>
      <c r="F165" s="131">
        <v>475</v>
      </c>
      <c r="G165" s="132">
        <v>0.12293144208037821</v>
      </c>
      <c r="H165" s="131">
        <v>335</v>
      </c>
      <c r="I165" s="132">
        <v>9.1205211726384405E-2</v>
      </c>
      <c r="J165" s="131">
        <v>4144</v>
      </c>
      <c r="K165" s="132">
        <v>0.18298601198972309</v>
      </c>
      <c r="L165" s="131">
        <v>11754</v>
      </c>
      <c r="M165" s="132">
        <v>3.6782217517861815E-2</v>
      </c>
    </row>
    <row r="166" spans="3:13" ht="24" customHeight="1" thickBot="1" x14ac:dyDescent="0.25">
      <c r="C166" s="133" t="s">
        <v>55</v>
      </c>
      <c r="D166" s="134">
        <v>36704</v>
      </c>
      <c r="E166" s="132">
        <v>0.23267060720042987</v>
      </c>
      <c r="F166" s="134">
        <v>1373</v>
      </c>
      <c r="G166" s="132">
        <v>0.26078971533516992</v>
      </c>
      <c r="H166" s="134">
        <v>362</v>
      </c>
      <c r="I166" s="132">
        <v>0.35580524344569286</v>
      </c>
      <c r="J166" s="134">
        <v>4356</v>
      </c>
      <c r="K166" s="132">
        <v>0.37891737891737898</v>
      </c>
      <c r="L166" s="134">
        <v>30613</v>
      </c>
      <c r="M166" s="132">
        <v>0.21186809706662446</v>
      </c>
    </row>
    <row r="167" spans="3:13" ht="24" customHeight="1" thickBot="1" x14ac:dyDescent="0.25">
      <c r="C167" s="135" t="s">
        <v>56</v>
      </c>
      <c r="D167" s="131">
        <v>68646</v>
      </c>
      <c r="E167" s="132">
        <v>0.11075872558696465</v>
      </c>
      <c r="F167" s="131">
        <v>1163</v>
      </c>
      <c r="G167" s="132">
        <v>-8.9271730618637468E-2</v>
      </c>
      <c r="H167" s="131">
        <v>465</v>
      </c>
      <c r="I167" s="132">
        <v>0.29526462395543174</v>
      </c>
      <c r="J167" s="131">
        <v>8576</v>
      </c>
      <c r="K167" s="132">
        <v>0.47227467811158808</v>
      </c>
      <c r="L167" s="131">
        <v>58442</v>
      </c>
      <c r="M167" s="132">
        <v>7.5487670224512415E-2</v>
      </c>
    </row>
    <row r="168" spans="3:13" ht="24" customHeight="1" thickBot="1" x14ac:dyDescent="0.25">
      <c r="C168" s="133" t="s">
        <v>57</v>
      </c>
      <c r="D168" s="134">
        <v>59990</v>
      </c>
      <c r="E168" s="132">
        <v>2.0272798394503244E-2</v>
      </c>
      <c r="F168" s="134">
        <v>3028</v>
      </c>
      <c r="G168" s="132">
        <v>8.8816972312117937E-2</v>
      </c>
      <c r="H168" s="134">
        <v>416</v>
      </c>
      <c r="I168" s="132">
        <v>0.28395061728395055</v>
      </c>
      <c r="J168" s="134">
        <v>15126</v>
      </c>
      <c r="K168" s="132">
        <v>0.11639235367923839</v>
      </c>
      <c r="L168" s="134">
        <v>41420</v>
      </c>
      <c r="M168" s="132">
        <v>-1.7179195140470727E-2</v>
      </c>
    </row>
    <row r="169" spans="3:13" ht="24" customHeight="1" thickBot="1" x14ac:dyDescent="0.25">
      <c r="C169" s="135" t="s">
        <v>58</v>
      </c>
      <c r="D169" s="131">
        <v>10466</v>
      </c>
      <c r="E169" s="132">
        <v>0.11293066780093586</v>
      </c>
      <c r="F169" s="131">
        <v>1151</v>
      </c>
      <c r="G169" s="132">
        <v>-0.17372577171572146</v>
      </c>
      <c r="H169" s="131">
        <v>443</v>
      </c>
      <c r="I169" s="132">
        <v>5.2256532066508266E-2</v>
      </c>
      <c r="J169" s="131">
        <v>1247</v>
      </c>
      <c r="K169" s="132">
        <v>-0.17906517445687953</v>
      </c>
      <c r="L169" s="131">
        <v>7625</v>
      </c>
      <c r="M169" s="132">
        <v>0.25597100971833298</v>
      </c>
    </row>
    <row r="170" spans="3:13" ht="24" customHeight="1" thickBot="1" x14ac:dyDescent="0.25">
      <c r="C170" s="133" t="s">
        <v>59</v>
      </c>
      <c r="D170" s="134">
        <v>8730</v>
      </c>
      <c r="E170" s="132">
        <v>4.3758967001434668E-2</v>
      </c>
      <c r="F170" s="134">
        <v>2153</v>
      </c>
      <c r="G170" s="132">
        <v>-5.1959489211800935E-2</v>
      </c>
      <c r="H170" s="134">
        <v>486</v>
      </c>
      <c r="I170" s="132">
        <v>2.1008403361344463E-2</v>
      </c>
      <c r="J170" s="134">
        <v>2244</v>
      </c>
      <c r="K170" s="132">
        <v>0.32311320754716988</v>
      </c>
      <c r="L170" s="134">
        <v>3847</v>
      </c>
      <c r="M170" s="132">
        <v>-1.8872736546799329E-2</v>
      </c>
    </row>
    <row r="171" spans="3:13" ht="24" customHeight="1" thickBot="1" x14ac:dyDescent="0.25">
      <c r="C171" s="135" t="s">
        <v>60</v>
      </c>
      <c r="D171" s="137">
        <v>35297</v>
      </c>
      <c r="E171" s="138">
        <v>0.12185741982646281</v>
      </c>
      <c r="F171" s="137">
        <v>2722</v>
      </c>
      <c r="G171" s="138">
        <v>-0.10812581913499342</v>
      </c>
      <c r="H171" s="137">
        <v>875</v>
      </c>
      <c r="I171" s="138">
        <v>0.43914473684210531</v>
      </c>
      <c r="J171" s="137">
        <v>7752</v>
      </c>
      <c r="K171" s="138">
        <v>0.34630079888850296</v>
      </c>
      <c r="L171" s="137">
        <v>23948</v>
      </c>
      <c r="M171" s="138">
        <v>8.6323429349058678E-2</v>
      </c>
    </row>
    <row r="172" spans="3:13" ht="30.75" customHeight="1" thickTop="1" thickBot="1" x14ac:dyDescent="0.25">
      <c r="C172" s="139" t="s">
        <v>61</v>
      </c>
      <c r="D172" s="140">
        <v>1988776</v>
      </c>
      <c r="E172" s="141">
        <v>5.1667601763869975E-2</v>
      </c>
      <c r="F172" s="140">
        <v>38429</v>
      </c>
      <c r="G172" s="141">
        <v>-2.6547103376649672E-2</v>
      </c>
      <c r="H172" s="140">
        <v>19350</v>
      </c>
      <c r="I172" s="141">
        <v>0.21690459719514488</v>
      </c>
      <c r="J172" s="140">
        <v>281516</v>
      </c>
      <c r="K172" s="141">
        <v>4.2953149428353266E-2</v>
      </c>
      <c r="L172" s="140">
        <v>1649481</v>
      </c>
      <c r="M172" s="141">
        <v>5.3463825123629238E-2</v>
      </c>
    </row>
    <row r="173" spans="3:13" ht="24" customHeight="1" thickBot="1" x14ac:dyDescent="0.25">
      <c r="C173" s="142" t="s">
        <v>8</v>
      </c>
      <c r="D173" s="143">
        <v>2377734</v>
      </c>
      <c r="E173" s="144">
        <v>5.0772390849744831E-2</v>
      </c>
      <c r="F173" s="143">
        <v>107484</v>
      </c>
      <c r="G173" s="144">
        <v>1.2242899118511286E-2</v>
      </c>
      <c r="H173" s="143">
        <v>36400</v>
      </c>
      <c r="I173" s="144">
        <v>0.1838553354798842</v>
      </c>
      <c r="J173" s="143">
        <v>428562</v>
      </c>
      <c r="K173" s="144">
        <v>5.4989365473236518E-2</v>
      </c>
      <c r="L173" s="143">
        <v>1805288</v>
      </c>
      <c r="M173" s="144">
        <v>4.9775860635266067E-2</v>
      </c>
    </row>
    <row r="174" spans="3:13" ht="18" customHeight="1" x14ac:dyDescent="0.2"/>
    <row r="175" spans="3:13" ht="17.25" hidden="1" customHeight="1" x14ac:dyDescent="0.2">
      <c r="C175" s="337"/>
      <c r="D175" s="338"/>
      <c r="E175" s="338"/>
      <c r="F175" s="338"/>
      <c r="G175" s="338"/>
      <c r="H175" s="338"/>
      <c r="I175" s="338"/>
      <c r="J175" s="338"/>
      <c r="K175" s="338"/>
      <c r="L175" s="338"/>
      <c r="M175" s="339"/>
    </row>
    <row r="176" spans="3:13" ht="21.75" hidden="1" customHeight="1" x14ac:dyDescent="0.2">
      <c r="C176" s="110"/>
      <c r="D176" s="111"/>
      <c r="E176" s="340" t="str">
        <f>$E$1</f>
        <v>INDICADORES TURÍSTICOS DE TENERIFE definitivo</v>
      </c>
      <c r="F176" s="341"/>
      <c r="G176" s="341"/>
      <c r="H176" s="341"/>
      <c r="I176" s="341"/>
      <c r="J176" s="341"/>
      <c r="K176" s="342"/>
      <c r="L176" s="111"/>
      <c r="M176" s="113"/>
    </row>
    <row r="177" spans="3:18" ht="21.75" hidden="1" customHeight="1" x14ac:dyDescent="0.2">
      <c r="C177" s="110"/>
      <c r="D177" s="111"/>
      <c r="E177" s="112"/>
      <c r="F177" s="112"/>
      <c r="G177" s="112"/>
      <c r="H177" s="112"/>
      <c r="I177" s="112"/>
      <c r="J177" s="112"/>
      <c r="K177" s="112"/>
      <c r="L177" s="111"/>
      <c r="M177" s="113"/>
    </row>
    <row r="178" spans="3:18" ht="33" hidden="1" customHeight="1" x14ac:dyDescent="0.2">
      <c r="C178" s="333" t="s">
        <v>29</v>
      </c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146"/>
    </row>
    <row r="179" spans="3:18" ht="20.100000000000001" hidden="1" customHeight="1" x14ac:dyDescent="0.2">
      <c r="C179" s="343">
        <f>E3</f>
        <v>0</v>
      </c>
      <c r="D179" s="344"/>
      <c r="E179" s="344"/>
      <c r="F179" s="344"/>
      <c r="G179" s="344"/>
      <c r="H179" s="344"/>
      <c r="I179" s="344"/>
      <c r="J179" s="344"/>
      <c r="K179" s="344"/>
      <c r="L179" s="344"/>
      <c r="M179" s="344"/>
      <c r="N179" s="344"/>
      <c r="O179" s="344"/>
      <c r="P179" s="344"/>
      <c r="Q179" s="344"/>
    </row>
    <row r="180" spans="3:18" ht="17.25" hidden="1" customHeight="1" x14ac:dyDescent="0.2">
      <c r="C180" s="147"/>
      <c r="D180" s="331" t="s">
        <v>24</v>
      </c>
      <c r="E180" s="332"/>
      <c r="F180" s="331" t="s">
        <v>23</v>
      </c>
      <c r="G180" s="332"/>
      <c r="H180" s="331" t="s">
        <v>22</v>
      </c>
      <c r="I180" s="332"/>
      <c r="J180" s="331" t="s">
        <v>21</v>
      </c>
      <c r="K180" s="332"/>
      <c r="L180" s="331" t="s">
        <v>20</v>
      </c>
      <c r="M180" s="332"/>
      <c r="N180" s="331" t="s">
        <v>63</v>
      </c>
      <c r="O180" s="332"/>
      <c r="P180" s="331" t="s">
        <v>64</v>
      </c>
      <c r="Q180" s="332"/>
    </row>
    <row r="181" spans="3:18" ht="28.5" hidden="1" customHeight="1" x14ac:dyDescent="0.2">
      <c r="C181" s="147"/>
      <c r="D181" s="148" t="s">
        <v>35</v>
      </c>
      <c r="E181" s="148" t="s">
        <v>34</v>
      </c>
      <c r="F181" s="148" t="s">
        <v>35</v>
      </c>
      <c r="G181" s="148" t="s">
        <v>34</v>
      </c>
      <c r="H181" s="148" t="s">
        <v>35</v>
      </c>
      <c r="I181" s="148" t="s">
        <v>34</v>
      </c>
      <c r="J181" s="148" t="s">
        <v>35</v>
      </c>
      <c r="K181" s="148" t="s">
        <v>34</v>
      </c>
      <c r="L181" s="148" t="s">
        <v>35</v>
      </c>
      <c r="M181" s="148" t="s">
        <v>34</v>
      </c>
      <c r="N181" s="148" t="s">
        <v>35</v>
      </c>
      <c r="O181" s="148" t="s">
        <v>34</v>
      </c>
      <c r="P181" s="148" t="s">
        <v>35</v>
      </c>
      <c r="Q181" s="148" t="s">
        <v>34</v>
      </c>
    </row>
    <row r="182" spans="3:18" ht="24" hidden="1" customHeight="1" x14ac:dyDescent="0.2">
      <c r="C182" s="149" t="s">
        <v>36</v>
      </c>
      <c r="D182" s="150" t="e">
        <f>VLOOKUP("españa",#REF!,6,FALSE)/VLOOKUP("españa",#REF!,6,FALSE)-1</f>
        <v>#REF!</v>
      </c>
      <c r="E182" s="151" t="e">
        <f>VLOOKUP("españa",#REF!,6,FALSE)</f>
        <v>#REF!</v>
      </c>
      <c r="F182" s="150" t="e">
        <f>VLOOKUP("españa",#REF!,5,FALSE)/VLOOKUP("españa",#REF!,5,FALSE)-1</f>
        <v>#REF!</v>
      </c>
      <c r="G182" s="151" t="e">
        <f>VLOOKUP("españa",#REF!,5,FALSE)</f>
        <v>#REF!</v>
      </c>
      <c r="H182" s="150" t="e">
        <f>VLOOKUP("españa",#REF!,4,FALSE)/VLOOKUP("españa",#REF!,4,FALSE)-1</f>
        <v>#REF!</v>
      </c>
      <c r="I182" s="151" t="e">
        <f>VLOOKUP("españa",#REF!,4,FALSE)</f>
        <v>#REF!</v>
      </c>
      <c r="J182" s="150" t="e">
        <f>VLOOKUP("españa",#REF!,3,FALSE)/VLOOKUP("españa",#REF!,3,FALSE)-1</f>
        <v>#REF!</v>
      </c>
      <c r="K182" s="151" t="e">
        <f>VLOOKUP("españa",#REF!,3,FALSE)</f>
        <v>#REF!</v>
      </c>
      <c r="L182" s="150" t="e">
        <f>VLOOKUP("españa",#REF!,2,FALSE)/VLOOKUP("españa",#REF!,2,FALSE)-1</f>
        <v>#REF!</v>
      </c>
      <c r="M182" s="151" t="e">
        <f>VLOOKUP("españa",#REF!,2,FALSE)</f>
        <v>#REF!</v>
      </c>
      <c r="N182" s="150" t="e">
        <f>VLOOKUP("españa",#REF!,7,FALSE)/VLOOKUP("españa",#REF!,7,FALSE)-1</f>
        <v>#REF!</v>
      </c>
      <c r="O182" s="151" t="e">
        <f>VLOOKUP("españa",#REF!,7,FALSE)</f>
        <v>#REF!</v>
      </c>
      <c r="P182" s="150" t="e">
        <f>VLOOKUP("españa",#REF!,8,FALSE)/VLOOKUP("españa",#REF!,8,FALSE)-1</f>
        <v>#REF!</v>
      </c>
      <c r="Q182" s="151" t="e">
        <f>VLOOKUP("españa",#REF!,8,FALSE)</f>
        <v>#REF!</v>
      </c>
    </row>
    <row r="183" spans="3:18" ht="24" hidden="1" customHeight="1" x14ac:dyDescent="0.2">
      <c r="C183" s="149" t="s">
        <v>41</v>
      </c>
      <c r="D183" s="150" t="e">
        <f>VLOOKUP("holanda",#REF!,6,FALSE)/VLOOKUP("holanda",#REF!,6,FALSE)-1</f>
        <v>#REF!</v>
      </c>
      <c r="E183" s="151" t="e">
        <f>VLOOKUP("holanda",#REF!,6,FALSE)</f>
        <v>#REF!</v>
      </c>
      <c r="F183" s="150" t="e">
        <f>VLOOKUP("holanda",#REF!,5,FALSE)/VLOOKUP("holanda",#REF!,5,FALSE)-1</f>
        <v>#REF!</v>
      </c>
      <c r="G183" s="151" t="e">
        <f>VLOOKUP("holanda",#REF!,5,FALSE)</f>
        <v>#REF!</v>
      </c>
      <c r="H183" s="150" t="e">
        <f>VLOOKUP("holanda",#REF!,4,FALSE)/VLOOKUP("holanda",#REF!,4,FALSE)-1</f>
        <v>#REF!</v>
      </c>
      <c r="I183" s="151" t="e">
        <f>VLOOKUP("holanda",#REF!,4,FALSE)</f>
        <v>#REF!</v>
      </c>
      <c r="J183" s="150" t="e">
        <f>VLOOKUP("holanda",#REF!,3,FALSE)/VLOOKUP("holanda",#REF!,3,FALSE)-1</f>
        <v>#REF!</v>
      </c>
      <c r="K183" s="151" t="e">
        <f>VLOOKUP("holanda",#REF!,3,FALSE)</f>
        <v>#REF!</v>
      </c>
      <c r="L183" s="150" t="e">
        <f>VLOOKUP("holanda",#REF!,2,FALSE)/VLOOKUP("holanda",#REF!,2,FALSE)-1</f>
        <v>#REF!</v>
      </c>
      <c r="M183" s="151" t="e">
        <f>VLOOKUP("holanda",#REF!,2,FALSE)</f>
        <v>#REF!</v>
      </c>
      <c r="N183" s="150" t="e">
        <f>VLOOKUP("holanda",#REF!,7,FALSE)/VLOOKUP("holanda",#REF!,7,FALSE)-1</f>
        <v>#REF!</v>
      </c>
      <c r="O183" s="151" t="e">
        <f>VLOOKUP("holanda",#REF!,7,FALSE)</f>
        <v>#REF!</v>
      </c>
      <c r="P183" s="150" t="e">
        <f>VLOOKUP("holanda",#REF!,8,FALSE)/VLOOKUP("holanda",#REF!,8,FALSE)-1</f>
        <v>#REF!</v>
      </c>
      <c r="Q183" s="151" t="e">
        <f>VLOOKUP("holanda",#REF!,8,FALSE)</f>
        <v>#REF!</v>
      </c>
    </row>
    <row r="184" spans="3:18" ht="24" hidden="1" customHeight="1" x14ac:dyDescent="0.2">
      <c r="C184" s="149" t="s">
        <v>42</v>
      </c>
      <c r="D184" s="150" t="e">
        <f>VLOOKUP("belgica",#REF!,6,FALSE)/VLOOKUP("belgica",#REF!,6,FALSE)-1</f>
        <v>#REF!</v>
      </c>
      <c r="E184" s="151" t="e">
        <f>VLOOKUP("belgica",#REF!,6,FALSE)</f>
        <v>#REF!</v>
      </c>
      <c r="F184" s="150" t="e">
        <f>VLOOKUP("belgica",#REF!,5,FALSE)/VLOOKUP("belgica",#REF!,5,FALSE)-1</f>
        <v>#REF!</v>
      </c>
      <c r="G184" s="151" t="e">
        <f>VLOOKUP("belgica",#REF!,5,FALSE)</f>
        <v>#REF!</v>
      </c>
      <c r="H184" s="150" t="e">
        <f>VLOOKUP("belgica",#REF!,4,FALSE)/VLOOKUP("belgica",#REF!,4,FALSE)-1</f>
        <v>#REF!</v>
      </c>
      <c r="I184" s="151" t="e">
        <f>VLOOKUP("belgica",#REF!,4,FALSE)</f>
        <v>#REF!</v>
      </c>
      <c r="J184" s="150" t="e">
        <f>VLOOKUP("belgica",#REF!,3,FALSE)/VLOOKUP("belgica",#REF!,3,FALSE)-1</f>
        <v>#REF!</v>
      </c>
      <c r="K184" s="151" t="e">
        <f>VLOOKUP("belgica",#REF!,3,FALSE)</f>
        <v>#REF!</v>
      </c>
      <c r="L184" s="150" t="e">
        <f>VLOOKUP("belgica",#REF!,2,FALSE)/VLOOKUP("belgica",#REF!,2,FALSE)-1</f>
        <v>#REF!</v>
      </c>
      <c r="M184" s="151" t="e">
        <f>VLOOKUP("belgica",#REF!,2,FALSE)</f>
        <v>#REF!</v>
      </c>
      <c r="N184" s="150" t="e">
        <f>VLOOKUP("belgica",#REF!,7,FALSE)/VLOOKUP("belgica",#REF!,7,FALSE)-1</f>
        <v>#REF!</v>
      </c>
      <c r="O184" s="151" t="e">
        <f>VLOOKUP("belgica",#REF!,7,FALSE)</f>
        <v>#REF!</v>
      </c>
      <c r="P184" s="150" t="e">
        <f>VLOOKUP("belgica",#REF!,8,FALSE)/VLOOKUP("belgica",#REF!,8,FALSE)-1</f>
        <v>#REF!</v>
      </c>
      <c r="Q184" s="151" t="e">
        <f>VLOOKUP("belgica",#REF!,8,FALSE)</f>
        <v>#REF!</v>
      </c>
    </row>
    <row r="185" spans="3:18" ht="24" hidden="1" customHeight="1" x14ac:dyDescent="0.2">
      <c r="C185" s="149" t="s">
        <v>43</v>
      </c>
      <c r="D185" s="150" t="e">
        <f>VLOOKUP("alemania",#REF!,6,FALSE)/VLOOKUP("alemania",#REF!,6,FALSE)-1</f>
        <v>#REF!</v>
      </c>
      <c r="E185" s="151" t="e">
        <f>VLOOKUP("alemania",#REF!,6,FALSE)</f>
        <v>#REF!</v>
      </c>
      <c r="F185" s="150" t="e">
        <f>VLOOKUP("alemania",#REF!,5,FALSE)/VLOOKUP("alemania",#REF!,5,FALSE)-1</f>
        <v>#REF!</v>
      </c>
      <c r="G185" s="151" t="e">
        <f>VLOOKUP("alemania",#REF!,5,FALSE)</f>
        <v>#REF!</v>
      </c>
      <c r="H185" s="150" t="e">
        <f>VLOOKUP("alemania",#REF!,4,FALSE)/VLOOKUP("alemania",#REF!,4,FALSE)-1</f>
        <v>#REF!</v>
      </c>
      <c r="I185" s="151" t="e">
        <f>VLOOKUP("alemania",#REF!,4,FALSE)</f>
        <v>#REF!</v>
      </c>
      <c r="J185" s="150" t="e">
        <f>VLOOKUP("alemania",#REF!,3,FALSE)/VLOOKUP("alemania",#REF!,3,FALSE)-1</f>
        <v>#REF!</v>
      </c>
      <c r="K185" s="151" t="e">
        <f>VLOOKUP("alemania",#REF!,3,FALSE)</f>
        <v>#REF!</v>
      </c>
      <c r="L185" s="150" t="e">
        <f>VLOOKUP("alemania",#REF!,2,FALSE)/VLOOKUP("alemania",#REF!,2,FALSE)-1</f>
        <v>#REF!</v>
      </c>
      <c r="M185" s="151" t="e">
        <f>VLOOKUP("alemania",#REF!,2,FALSE)</f>
        <v>#REF!</v>
      </c>
      <c r="N185" s="150" t="e">
        <f>VLOOKUP("alemania",#REF!,7,FALSE)/VLOOKUP("alemania",#REF!,7,FALSE)-1</f>
        <v>#REF!</v>
      </c>
      <c r="O185" s="151" t="e">
        <f>VLOOKUP("alemania",#REF!,7,FALSE)</f>
        <v>#REF!</v>
      </c>
      <c r="P185" s="150" t="e">
        <f>VLOOKUP("alemania",#REF!,8,FALSE)/VLOOKUP("alemania",#REF!,8,FALSE)-1</f>
        <v>#REF!</v>
      </c>
      <c r="Q185" s="151" t="e">
        <f>VLOOKUP("alemania",#REF!,8,FALSE)</f>
        <v>#REF!</v>
      </c>
    </row>
    <row r="186" spans="3:18" ht="24" hidden="1" customHeight="1" x14ac:dyDescent="0.2">
      <c r="C186" s="149" t="s">
        <v>44</v>
      </c>
      <c r="D186" s="150" t="e">
        <f>VLOOKUP("francia",#REF!,6,FALSE)/VLOOKUP("francia",#REF!,6,FALSE)-1</f>
        <v>#REF!</v>
      </c>
      <c r="E186" s="151" t="e">
        <f>VLOOKUP("francia",#REF!,6,FALSE)</f>
        <v>#REF!</v>
      </c>
      <c r="F186" s="150" t="e">
        <f>VLOOKUP("francia",#REF!,5,FALSE)/VLOOKUP("francia",#REF!,5,FALSE)-1</f>
        <v>#REF!</v>
      </c>
      <c r="G186" s="151" t="e">
        <f>VLOOKUP("francia",#REF!,5,FALSE)</f>
        <v>#REF!</v>
      </c>
      <c r="H186" s="150" t="e">
        <f>VLOOKUP("francia",#REF!,4,FALSE)/VLOOKUP("francia",#REF!,4,FALSE)-1</f>
        <v>#REF!</v>
      </c>
      <c r="I186" s="151" t="e">
        <f>VLOOKUP("francia",#REF!,4,FALSE)</f>
        <v>#REF!</v>
      </c>
      <c r="J186" s="150" t="e">
        <f>VLOOKUP("francia",#REF!,3,FALSE)/VLOOKUP("francia",#REF!,3,FALSE)-1</f>
        <v>#REF!</v>
      </c>
      <c r="K186" s="151" t="e">
        <f>VLOOKUP("francia",#REF!,3,FALSE)</f>
        <v>#REF!</v>
      </c>
      <c r="L186" s="150" t="e">
        <f>VLOOKUP("francia",#REF!,2,FALSE)/VLOOKUP("francia",#REF!,2,FALSE)-1</f>
        <v>#REF!</v>
      </c>
      <c r="M186" s="151" t="e">
        <f>VLOOKUP("francia",#REF!,2,FALSE)</f>
        <v>#REF!</v>
      </c>
      <c r="N186" s="150" t="e">
        <f>VLOOKUP("francia",#REF!,7,FALSE)/VLOOKUP("francia",#REF!,7,FALSE)-1</f>
        <v>#REF!</v>
      </c>
      <c r="O186" s="151" t="e">
        <f>VLOOKUP("francia",#REF!,7,FALSE)</f>
        <v>#REF!</v>
      </c>
      <c r="P186" s="150" t="e">
        <f>VLOOKUP("francia",#REF!,8,FALSE)/VLOOKUP("francia",#REF!,8,FALSE)-1</f>
        <v>#REF!</v>
      </c>
      <c r="Q186" s="151" t="e">
        <f>VLOOKUP("francia",#REF!,8,FALSE)</f>
        <v>#REF!</v>
      </c>
    </row>
    <row r="187" spans="3:18" ht="24" hidden="1" customHeight="1" x14ac:dyDescent="0.2">
      <c r="C187" s="149" t="s">
        <v>45</v>
      </c>
      <c r="D187" s="150" t="e">
        <f>VLOOKUP("reino unido",#REF!,6,FALSE)/VLOOKUP("reino unido",#REF!,6,FALSE)-1</f>
        <v>#REF!</v>
      </c>
      <c r="E187" s="151" t="e">
        <f>VLOOKUP("reino unido",#REF!,6,FALSE)</f>
        <v>#REF!</v>
      </c>
      <c r="F187" s="150" t="e">
        <f>VLOOKUP("reino unido",#REF!,5,FALSE)/VLOOKUP("reino unido",#REF!,5,FALSE)-1</f>
        <v>#REF!</v>
      </c>
      <c r="G187" s="151" t="e">
        <f>VLOOKUP("reino unido",#REF!,5,FALSE)</f>
        <v>#REF!</v>
      </c>
      <c r="H187" s="150" t="e">
        <f>VLOOKUP("reino unido",#REF!,4,FALSE)/VLOOKUP("reino unido",#REF!,4,FALSE)-1</f>
        <v>#REF!</v>
      </c>
      <c r="I187" s="151" t="e">
        <f>VLOOKUP("reino unido",#REF!,4,FALSE)</f>
        <v>#REF!</v>
      </c>
      <c r="J187" s="150" t="e">
        <f>VLOOKUP("reino unido",#REF!,3,FALSE)/VLOOKUP("reino unido",#REF!,3,FALSE)-1</f>
        <v>#REF!</v>
      </c>
      <c r="K187" s="151" t="e">
        <f>VLOOKUP("reino unido",#REF!,3,FALSE)</f>
        <v>#REF!</v>
      </c>
      <c r="L187" s="150" t="e">
        <f>VLOOKUP("reino unido",#REF!,2,FALSE)/VLOOKUP("reino unido",#REF!,2,FALSE)-1</f>
        <v>#REF!</v>
      </c>
      <c r="M187" s="151" t="e">
        <f>VLOOKUP("reino unido",#REF!,2,FALSE)</f>
        <v>#REF!</v>
      </c>
      <c r="N187" s="150" t="e">
        <f>VLOOKUP("reino unido",#REF!,7,FALSE)/VLOOKUP("reino unido",#REF!,7,FALSE)-1</f>
        <v>#REF!</v>
      </c>
      <c r="O187" s="151" t="e">
        <f>VLOOKUP("reino unido",#REF!,7,FALSE)</f>
        <v>#REF!</v>
      </c>
      <c r="P187" s="150" t="e">
        <f>VLOOKUP("reino unido",#REF!,8,FALSE)/VLOOKUP("reino unido",#REF!,8,FALSE)-1</f>
        <v>#REF!</v>
      </c>
      <c r="Q187" s="151" t="e">
        <f>VLOOKUP("reino unido",#REF!,8,FALSE)</f>
        <v>#REF!</v>
      </c>
    </row>
    <row r="188" spans="3:18" ht="24" hidden="1" customHeight="1" x14ac:dyDescent="0.2">
      <c r="C188" s="149" t="s">
        <v>46</v>
      </c>
      <c r="D188" s="150" t="e">
        <f>VLOOKUP("irlanda",#REF!,6,FALSE)/VLOOKUP("irlanda",#REF!,6,FALSE)-1</f>
        <v>#REF!</v>
      </c>
      <c r="E188" s="151" t="e">
        <f>VLOOKUP("irlanda",#REF!,6,FALSE)</f>
        <v>#REF!</v>
      </c>
      <c r="F188" s="150" t="e">
        <f>VLOOKUP("irlanda",#REF!,5,FALSE)/VLOOKUP("irlanda",#REF!,5,FALSE)-1</f>
        <v>#REF!</v>
      </c>
      <c r="G188" s="151" t="e">
        <f>VLOOKUP("irlanda",#REF!,5,FALSE)</f>
        <v>#REF!</v>
      </c>
      <c r="H188" s="150" t="e">
        <f>VLOOKUP("irlanda",#REF!,4,FALSE)/VLOOKUP("irlanda",#REF!,4,FALSE)-1</f>
        <v>#REF!</v>
      </c>
      <c r="I188" s="151" t="e">
        <f>VLOOKUP("irlanda",#REF!,4,FALSE)</f>
        <v>#REF!</v>
      </c>
      <c r="J188" s="150" t="e">
        <f>VLOOKUP("irlanda",#REF!,3,FALSE)/VLOOKUP("irlanda",#REF!,3,FALSE)-1</f>
        <v>#REF!</v>
      </c>
      <c r="K188" s="151" t="e">
        <f>VLOOKUP("irlanda",#REF!,3,FALSE)</f>
        <v>#REF!</v>
      </c>
      <c r="L188" s="150" t="e">
        <f>VLOOKUP("irlanda",#REF!,2,FALSE)/VLOOKUP("irlanda",#REF!,2,FALSE)-1</f>
        <v>#REF!</v>
      </c>
      <c r="M188" s="151" t="e">
        <f>VLOOKUP("irlanda",#REF!,2,FALSE)</f>
        <v>#REF!</v>
      </c>
      <c r="N188" s="150" t="e">
        <f>VLOOKUP("irlanda",#REF!,7,FALSE)/VLOOKUP("irlanda",#REF!,7,FALSE)-1</f>
        <v>#REF!</v>
      </c>
      <c r="O188" s="151" t="e">
        <f>VLOOKUP("irlanda",#REF!,7,FALSE)</f>
        <v>#REF!</v>
      </c>
      <c r="P188" s="150" t="e">
        <f>VLOOKUP("irlanda",#REF!,8,FALSE)/VLOOKUP("irlanda",#REF!,8,FALSE)-1</f>
        <v>#REF!</v>
      </c>
      <c r="Q188" s="151" t="e">
        <f>VLOOKUP("irlanda",#REF!,8,FALSE)</f>
        <v>#REF!</v>
      </c>
    </row>
    <row r="189" spans="3:18" ht="24" hidden="1" customHeight="1" x14ac:dyDescent="0.2">
      <c r="C189" s="149" t="s">
        <v>47</v>
      </c>
      <c r="D189" s="150" t="e">
        <f>VLOOKUP("italia",#REF!,6,FALSE)/VLOOKUP("italia",#REF!,6,FALSE)-1</f>
        <v>#REF!</v>
      </c>
      <c r="E189" s="151" t="e">
        <f>VLOOKUP("italia",#REF!,6,FALSE)</f>
        <v>#REF!</v>
      </c>
      <c r="F189" s="150" t="e">
        <f>VLOOKUP("italia",#REF!,5,FALSE)/VLOOKUP("italia",#REF!,5,FALSE)-1</f>
        <v>#REF!</v>
      </c>
      <c r="G189" s="151" t="e">
        <f>VLOOKUP("italia",#REF!,5,FALSE)</f>
        <v>#REF!</v>
      </c>
      <c r="H189" s="150" t="e">
        <f>VLOOKUP("italia",#REF!,4,FALSE)/VLOOKUP("italia",#REF!,4,FALSE)-1</f>
        <v>#REF!</v>
      </c>
      <c r="I189" s="151" t="e">
        <f>VLOOKUP("italia",#REF!,4,FALSE)</f>
        <v>#REF!</v>
      </c>
      <c r="J189" s="150" t="e">
        <f>VLOOKUP("italia",#REF!,3,FALSE)/VLOOKUP("italia",#REF!,3,FALSE)-1</f>
        <v>#REF!</v>
      </c>
      <c r="K189" s="151" t="e">
        <f>VLOOKUP("italia",#REF!,3,FALSE)</f>
        <v>#REF!</v>
      </c>
      <c r="L189" s="150" t="e">
        <f>VLOOKUP("italia",#REF!,2,FALSE)/VLOOKUP("italia",#REF!,2,FALSE)-1</f>
        <v>#REF!</v>
      </c>
      <c r="M189" s="151" t="e">
        <f>VLOOKUP("italia",#REF!,2,FALSE)</f>
        <v>#REF!</v>
      </c>
      <c r="N189" s="150" t="e">
        <f>VLOOKUP("italia",#REF!,7,FALSE)/VLOOKUP("italia",#REF!,7,FALSE)-1</f>
        <v>#REF!</v>
      </c>
      <c r="O189" s="151" t="e">
        <f>VLOOKUP("italia",#REF!,7,FALSE)</f>
        <v>#REF!</v>
      </c>
      <c r="P189" s="150" t="e">
        <f>VLOOKUP("italia",#REF!,8,FALSE)/VLOOKUP("italia",#REF!,8,FALSE)-1</f>
        <v>#REF!</v>
      </c>
      <c r="Q189" s="151" t="e">
        <f>VLOOKUP("italia",#REF!,8,FALSE)</f>
        <v>#REF!</v>
      </c>
    </row>
    <row r="190" spans="3:18" ht="24" hidden="1" customHeight="1" x14ac:dyDescent="0.2">
      <c r="C190" s="149" t="s">
        <v>48</v>
      </c>
      <c r="D190" s="150" t="e">
        <f>(VLOOKUP("suecia",#REF!,6,FALSE)+VLOOKUP("noruega",#REF!,6,FALSE)+VLOOKUP("dinamarca",#REF!,6,FALSE)+VLOOKUP("finlandia",#REF!,6,FALSE))/(VLOOKUP("suecia",#REF!,6,FALSE)+VLOOKUP("noruega",#REF!,6,FALSE)+VLOOKUP("dinamarca",#REF!,6,FALSE)+VLOOKUP("finlandia",#REF!,6,FALSE))-1</f>
        <v>#REF!</v>
      </c>
      <c r="E190" s="151" t="e">
        <f>(VLOOKUP("suecia",#REF!,6,FALSE)+VLOOKUP("noruega",#REF!,6,FALSE)+VLOOKUP("dinamarca",#REF!,6,FALSE)+VLOOKUP("finlandia",#REF!,6,FALSE))</f>
        <v>#REF!</v>
      </c>
      <c r="F190" s="150" t="e">
        <f>(VLOOKUP("suecia",#REF!,5,FALSE)+VLOOKUP("noruega",#REF!,5,FALSE)+VLOOKUP("dinamarca",#REF!,5,FALSE)+VLOOKUP("finlandia",#REF!,5,FALSE))/(VLOOKUP("suecia",#REF!,5,FALSE)+VLOOKUP("noruega",#REF!,5,FALSE)+VLOOKUP("dinamarca",#REF!,5,FALSE)+VLOOKUP("finlandia",#REF!,5,FALSE))-1</f>
        <v>#REF!</v>
      </c>
      <c r="G190" s="151" t="e">
        <f>(VLOOKUP("suecia",#REF!,5,FALSE)+VLOOKUP("noruega",#REF!,5,FALSE)+VLOOKUP("dinamarca",#REF!,5,FALSE)+VLOOKUP("finlandia",#REF!,5,FALSE))</f>
        <v>#REF!</v>
      </c>
      <c r="H190" s="150" t="e">
        <f>(VLOOKUP("suecia",#REF!,4,FALSE)+VLOOKUP("noruega",#REF!,4,FALSE)+VLOOKUP("dinamarca",#REF!,4,FALSE)+VLOOKUP("finlandia",#REF!,4,FALSE))/(VLOOKUP("suecia",#REF!,4,FALSE)+VLOOKUP("noruega",#REF!,4,FALSE)+VLOOKUP("dinamarca",#REF!,4,FALSE)+VLOOKUP("finlandia",#REF!,4,FALSE))-1</f>
        <v>#REF!</v>
      </c>
      <c r="I190" s="151" t="e">
        <f>(VLOOKUP("suecia",#REF!,4,FALSE)+VLOOKUP("noruega",#REF!,4,FALSE)+VLOOKUP("dinamarca",#REF!,4,FALSE)+VLOOKUP("finlandia",#REF!,4,FALSE))</f>
        <v>#REF!</v>
      </c>
      <c r="J190" s="150" t="e">
        <f>(VLOOKUP("suecia",#REF!,3,FALSE)+VLOOKUP("noruega",#REF!,3,FALSE)+VLOOKUP("dinamarca",#REF!,3,FALSE)+VLOOKUP("finlandia",#REF!,3,FALSE))/(VLOOKUP("suecia",#REF!,3,FALSE)+VLOOKUP("noruega",#REF!,3,FALSE)+VLOOKUP("dinamarca",#REF!,3,FALSE)+VLOOKUP("finlandia",#REF!,3,FALSE))-1</f>
        <v>#REF!</v>
      </c>
      <c r="K190" s="151" t="e">
        <f>(VLOOKUP("suecia",#REF!,3,FALSE)+VLOOKUP("noruega",#REF!,3,FALSE)+VLOOKUP("dinamarca",#REF!,3,FALSE)+VLOOKUP("finlandia",#REF!,3,FALSE))</f>
        <v>#REF!</v>
      </c>
      <c r="L190" s="150" t="e">
        <f>(VLOOKUP("suecia",#REF!,2,FALSE)+VLOOKUP("noruega",#REF!,2,FALSE)+VLOOKUP("dinamarca",#REF!,2,FALSE)+VLOOKUP("finlandia",#REF!,2,FALSE))/(VLOOKUP("suecia",#REF!,2,FALSE)+VLOOKUP("noruega",#REF!,2,FALSE)+VLOOKUP("dinamarca",#REF!,2,FALSE)+VLOOKUP("finlandia",#REF!,2,FALSE))-1</f>
        <v>#REF!</v>
      </c>
      <c r="M190" s="151" t="e">
        <f>(VLOOKUP("suecia",#REF!,2,FALSE)+VLOOKUP("noruega",#REF!,2,FALSE)+VLOOKUP("dinamarca",#REF!,2,FALSE)+VLOOKUP("finlandia",#REF!,2,FALSE))</f>
        <v>#REF!</v>
      </c>
      <c r="N190" s="150" t="e">
        <f>(VLOOKUP("suecia",#REF!,7,FALSE)+VLOOKUP("noruega",#REF!,7,FALSE)+VLOOKUP("dinamarca",#REF!,7,FALSE)+VLOOKUP("finlandia",#REF!,7,FALSE))/(VLOOKUP("suecia",#REF!,7,FALSE)+VLOOKUP("noruega",#REF!,7,FALSE)+VLOOKUP("dinamarca",#REF!,7,FALSE)+VLOOKUP("finlandia",#REF!,7,FALSE))-1</f>
        <v>#REF!</v>
      </c>
      <c r="O190" s="151" t="e">
        <f>(VLOOKUP("suecia",#REF!,7,FALSE)+VLOOKUP("noruega",#REF!,7,FALSE)+VLOOKUP("dinamarca",#REF!,7,FALSE)+VLOOKUP("finlandia",#REF!,7,FALSE))</f>
        <v>#REF!</v>
      </c>
      <c r="P190" s="150" t="e">
        <f>(VLOOKUP("suecia",#REF!,8,FALSE)+VLOOKUP("noruega",#REF!,8,FALSE)+VLOOKUP("dinamarca",#REF!,8,FALSE)+VLOOKUP("finlandia",#REF!,8,FALSE))/(VLOOKUP("suecia",#REF!,8,FALSE)+VLOOKUP("noruega",#REF!,8,FALSE)+VLOOKUP("dinamarca",#REF!,8,FALSE)+VLOOKUP("finlandia",#REF!,8,FALSE))-1</f>
        <v>#REF!</v>
      </c>
      <c r="Q190" s="151" t="e">
        <f>(VLOOKUP("suecia",#REF!,8,FALSE)+VLOOKUP("noruega",#REF!,8,FALSE)+VLOOKUP("dinamarca",#REF!,8,FALSE)+VLOOKUP("finlandia",#REF!,8,FALSE))</f>
        <v>#REF!</v>
      </c>
    </row>
    <row r="191" spans="3:18" ht="24" hidden="1" customHeight="1" x14ac:dyDescent="0.2">
      <c r="C191" s="152" t="s">
        <v>49</v>
      </c>
      <c r="D191" s="150" t="e">
        <f>VLOOKUP("suecia",#REF!,6,FALSE)/VLOOKUP("suecia",#REF!,6,FALSE)-1</f>
        <v>#REF!</v>
      </c>
      <c r="E191" s="151" t="e">
        <f>VLOOKUP("suecia",#REF!,6,FALSE)</f>
        <v>#REF!</v>
      </c>
      <c r="F191" s="150" t="e">
        <f>VLOOKUP("suecia",#REF!,5,FALSE)/VLOOKUP("suecia",#REF!,5,FALSE)-1</f>
        <v>#REF!</v>
      </c>
      <c r="G191" s="151" t="e">
        <f>VLOOKUP("suecia",#REF!,5,FALSE)</f>
        <v>#REF!</v>
      </c>
      <c r="H191" s="150" t="e">
        <f>VLOOKUP("suecia",#REF!,4,FALSE)/VLOOKUP("suecia",#REF!,4,FALSE)-1</f>
        <v>#REF!</v>
      </c>
      <c r="I191" s="151" t="e">
        <f>VLOOKUP("suecia",#REF!,4,FALSE)</f>
        <v>#REF!</v>
      </c>
      <c r="J191" s="150" t="e">
        <f>VLOOKUP("suecia",#REF!,3,FALSE)/VLOOKUP("suecia",#REF!,3,FALSE)-1</f>
        <v>#REF!</v>
      </c>
      <c r="K191" s="151" t="e">
        <f>VLOOKUP("suecia",#REF!,3,FALSE)</f>
        <v>#REF!</v>
      </c>
      <c r="L191" s="150" t="e">
        <f>VLOOKUP("suecia",#REF!,2,FALSE)/VLOOKUP("suecia",#REF!,2,FALSE)-1</f>
        <v>#REF!</v>
      </c>
      <c r="M191" s="151" t="e">
        <f>VLOOKUP("suecia",#REF!,2,FALSE)</f>
        <v>#REF!</v>
      </c>
      <c r="N191" s="150" t="e">
        <f>VLOOKUP("suecia",#REF!,7,FALSE)/VLOOKUP("suecia",#REF!,7,FALSE)-1</f>
        <v>#REF!</v>
      </c>
      <c r="O191" s="151" t="e">
        <f>VLOOKUP("suecia",#REF!,7,FALSE)</f>
        <v>#REF!</v>
      </c>
      <c r="P191" s="150" t="e">
        <f>VLOOKUP("suecia",#REF!,8,FALSE)/VLOOKUP("suecia",#REF!,8,FALSE)-1</f>
        <v>#REF!</v>
      </c>
      <c r="Q191" s="151" t="e">
        <f>VLOOKUP("suecia",#REF!,8,FALSE)</f>
        <v>#REF!</v>
      </c>
    </row>
    <row r="192" spans="3:18" ht="24" hidden="1" customHeight="1" x14ac:dyDescent="0.2">
      <c r="C192" s="152" t="s">
        <v>50</v>
      </c>
      <c r="D192" s="150" t="e">
        <f>VLOOKUP("noruega",#REF!,6,FALSE)/VLOOKUP("noruega",#REF!,6,FALSE)-1</f>
        <v>#REF!</v>
      </c>
      <c r="E192" s="151" t="e">
        <f>VLOOKUP("noruega",#REF!,6,FALSE)</f>
        <v>#REF!</v>
      </c>
      <c r="F192" s="150" t="e">
        <f>VLOOKUP("noruega",#REF!,5,FALSE)/VLOOKUP("noruega",#REF!,5,FALSE)-1</f>
        <v>#REF!</v>
      </c>
      <c r="G192" s="151" t="e">
        <f>VLOOKUP("noruega",#REF!,5,FALSE)</f>
        <v>#REF!</v>
      </c>
      <c r="H192" s="150" t="e">
        <f>VLOOKUP("noruega",#REF!,4,FALSE)/VLOOKUP("noruega",#REF!,4,FALSE)-1</f>
        <v>#REF!</v>
      </c>
      <c r="I192" s="151" t="e">
        <f>VLOOKUP("noruega",#REF!,4,FALSE)</f>
        <v>#REF!</v>
      </c>
      <c r="J192" s="150" t="e">
        <f>VLOOKUP("noruega",#REF!,3,FALSE)/VLOOKUP("noruega",#REF!,3,FALSE)-1</f>
        <v>#REF!</v>
      </c>
      <c r="K192" s="151" t="e">
        <f>VLOOKUP("noruega",#REF!,3,FALSE)</f>
        <v>#REF!</v>
      </c>
      <c r="L192" s="150" t="e">
        <f>VLOOKUP("noruega",#REF!,2,FALSE)/VLOOKUP("noruega",#REF!,2,FALSE)-1</f>
        <v>#REF!</v>
      </c>
      <c r="M192" s="151" t="e">
        <f>VLOOKUP("noruega",#REF!,2,FALSE)</f>
        <v>#REF!</v>
      </c>
      <c r="N192" s="150" t="e">
        <f>VLOOKUP("noruega",#REF!,7,FALSE)/VLOOKUP("noruega",#REF!,7,FALSE)-1</f>
        <v>#REF!</v>
      </c>
      <c r="O192" s="151" t="e">
        <f>VLOOKUP("noruega",#REF!,7,FALSE)</f>
        <v>#REF!</v>
      </c>
      <c r="P192" s="150" t="e">
        <f>VLOOKUP("noruega",#REF!,8,FALSE)/VLOOKUP("noruega",#REF!,8,FALSE)-1</f>
        <v>#REF!</v>
      </c>
      <c r="Q192" s="151" t="e">
        <f>VLOOKUP("noruega",#REF!,8,FALSE)</f>
        <v>#REF!</v>
      </c>
    </row>
    <row r="193" spans="3:18" ht="24" hidden="1" customHeight="1" x14ac:dyDescent="0.2">
      <c r="C193" s="152" t="s">
        <v>51</v>
      </c>
      <c r="D193" s="150" t="e">
        <f>VLOOKUP("dinamarca",#REF!,6,FALSE)/VLOOKUP("dinamarca",#REF!,6,FALSE)-1</f>
        <v>#REF!</v>
      </c>
      <c r="E193" s="151" t="e">
        <f>VLOOKUP("dinamarca",#REF!,6,FALSE)</f>
        <v>#REF!</v>
      </c>
      <c r="F193" s="150" t="e">
        <f>VLOOKUP("dinamarca",#REF!,5,FALSE)/VLOOKUP("dinamarca",#REF!,5,FALSE)-1</f>
        <v>#REF!</v>
      </c>
      <c r="G193" s="151" t="e">
        <f>VLOOKUP("dinamarca",#REF!,5,FALSE)</f>
        <v>#REF!</v>
      </c>
      <c r="H193" s="150" t="e">
        <f>VLOOKUP("dinamarca",#REF!,4,FALSE)/VLOOKUP("dinamarca",#REF!,4,FALSE)-1</f>
        <v>#REF!</v>
      </c>
      <c r="I193" s="151" t="e">
        <f>VLOOKUP("dinamarca",#REF!,4,FALSE)</f>
        <v>#REF!</v>
      </c>
      <c r="J193" s="150" t="e">
        <f>VLOOKUP("dinamarca",#REF!,3,FALSE)/VLOOKUP("dinamarca",#REF!,3,FALSE)-1</f>
        <v>#REF!</v>
      </c>
      <c r="K193" s="151" t="e">
        <f>VLOOKUP("dinamarca",#REF!,3,FALSE)</f>
        <v>#REF!</v>
      </c>
      <c r="L193" s="150" t="e">
        <f>VLOOKUP("dinamarca",#REF!,2,FALSE)/VLOOKUP("dinamarca",#REF!,2,FALSE)-1</f>
        <v>#REF!</v>
      </c>
      <c r="M193" s="151" t="e">
        <f>VLOOKUP("dinamarca",#REF!,2,FALSE)</f>
        <v>#REF!</v>
      </c>
      <c r="N193" s="150" t="e">
        <f>VLOOKUP("dinamarca",#REF!,7,FALSE)/VLOOKUP("dinamarca",#REF!,7,FALSE)-1</f>
        <v>#REF!</v>
      </c>
      <c r="O193" s="151" t="e">
        <f>VLOOKUP("dinamarca",#REF!,7,FALSE)</f>
        <v>#REF!</v>
      </c>
      <c r="P193" s="150" t="e">
        <f>VLOOKUP("dinamarca",#REF!,8,FALSE)/VLOOKUP("dinamarca",#REF!,8,FALSE)-1</f>
        <v>#REF!</v>
      </c>
      <c r="Q193" s="151" t="e">
        <f>VLOOKUP("dinamarca",#REF!,8,FALSE)</f>
        <v>#REF!</v>
      </c>
    </row>
    <row r="194" spans="3:18" ht="24" hidden="1" customHeight="1" x14ac:dyDescent="0.2">
      <c r="C194" s="152" t="s">
        <v>52</v>
      </c>
      <c r="D194" s="150" t="s">
        <v>38</v>
      </c>
      <c r="E194" s="151" t="e">
        <f>VLOOKUP("finlandia",#REF!,6,FALSE)</f>
        <v>#REF!</v>
      </c>
      <c r="F194" s="150" t="e">
        <f>VLOOKUP("finlandia",#REF!,5,FALSE)/VLOOKUP("finlandia",#REF!,5,FALSE)-1</f>
        <v>#REF!</v>
      </c>
      <c r="G194" s="151" t="e">
        <f>VLOOKUP("finlandia",#REF!,5,FALSE)</f>
        <v>#REF!</v>
      </c>
      <c r="H194" s="150" t="e">
        <f>VLOOKUP("finlandia",#REF!,4,FALSE)/VLOOKUP("finlandia",#REF!,4,FALSE)-1</f>
        <v>#REF!</v>
      </c>
      <c r="I194" s="151" t="e">
        <f>VLOOKUP("finlandia",#REF!,4,FALSE)</f>
        <v>#REF!</v>
      </c>
      <c r="J194" s="150" t="e">
        <f>VLOOKUP("finlandia",#REF!,3,FALSE)/VLOOKUP("finlandia",#REF!,3,FALSE)-1</f>
        <v>#REF!</v>
      </c>
      <c r="K194" s="151" t="e">
        <f>VLOOKUP("finlandia",#REF!,3,FALSE)</f>
        <v>#REF!</v>
      </c>
      <c r="L194" s="150" t="s">
        <v>38</v>
      </c>
      <c r="M194" s="151" t="e">
        <f>VLOOKUP("finlandia",#REF!,2,FALSE)</f>
        <v>#REF!</v>
      </c>
      <c r="N194" s="150" t="e">
        <f>VLOOKUP("finlandia",#REF!,7,FALSE)/VLOOKUP("finlandia",#REF!,7,FALSE)-1</f>
        <v>#REF!</v>
      </c>
      <c r="O194" s="151" t="e">
        <f>VLOOKUP("finlandia",#REF!,7,FALSE)</f>
        <v>#REF!</v>
      </c>
      <c r="P194" s="150" t="e">
        <f>VLOOKUP("finlandia",#REF!,8,FALSE)/VLOOKUP("finlandia",#REF!,8,FALSE)-1</f>
        <v>#REF!</v>
      </c>
      <c r="Q194" s="151" t="e">
        <f>VLOOKUP("finlandia",#REF!,8,FALSE)</f>
        <v>#REF!</v>
      </c>
    </row>
    <row r="195" spans="3:18" ht="24" hidden="1" customHeight="1" x14ac:dyDescent="0.2">
      <c r="C195" s="149" t="s">
        <v>53</v>
      </c>
      <c r="D195" s="150" t="e">
        <f>VLOOKUP("suiza",#REF!,6,FALSE)/VLOOKUP("suiza",#REF!,6,FALSE)-1</f>
        <v>#REF!</v>
      </c>
      <c r="E195" s="151" t="e">
        <f>VLOOKUP("suiza",#REF!,6,FALSE)</f>
        <v>#REF!</v>
      </c>
      <c r="F195" s="150" t="e">
        <f>VLOOKUP("suiza",#REF!,5,FALSE)/VLOOKUP("suiza",#REF!,5,FALSE)-1</f>
        <v>#REF!</v>
      </c>
      <c r="G195" s="151" t="e">
        <f>VLOOKUP("suiza",#REF!,5,FALSE)</f>
        <v>#REF!</v>
      </c>
      <c r="H195" s="150" t="e">
        <f>VLOOKUP("suiza",#REF!,4,FALSE)/VLOOKUP("suiza",#REF!,4,FALSE)-1</f>
        <v>#REF!</v>
      </c>
      <c r="I195" s="151" t="e">
        <f>VLOOKUP("suiza",#REF!,4,FALSE)</f>
        <v>#REF!</v>
      </c>
      <c r="J195" s="150" t="e">
        <f>VLOOKUP("suiza",#REF!,3,FALSE)/VLOOKUP("suiza",#REF!,3,FALSE)-1</f>
        <v>#REF!</v>
      </c>
      <c r="K195" s="151" t="e">
        <f>VLOOKUP("suiza",#REF!,3,FALSE)</f>
        <v>#REF!</v>
      </c>
      <c r="L195" s="150" t="e">
        <f>VLOOKUP("suiza",#REF!,2,FALSE)/VLOOKUP("suiza",#REF!,2,FALSE)-1</f>
        <v>#REF!</v>
      </c>
      <c r="M195" s="151" t="e">
        <f>VLOOKUP("suiza",#REF!,2,FALSE)</f>
        <v>#REF!</v>
      </c>
      <c r="N195" s="150" t="e">
        <f>VLOOKUP("suiza",#REF!,7,FALSE)/VLOOKUP("suiza",#REF!,7,FALSE)-1</f>
        <v>#REF!</v>
      </c>
      <c r="O195" s="151" t="e">
        <f>VLOOKUP("suiza",#REF!,7,FALSE)</f>
        <v>#REF!</v>
      </c>
      <c r="P195" s="150" t="e">
        <f>VLOOKUP("suiza",#REF!,8,FALSE)/VLOOKUP("suiza",#REF!,8,FALSE)-1</f>
        <v>#REF!</v>
      </c>
      <c r="Q195" s="151" t="e">
        <f>VLOOKUP("suiza",#REF!,8,FALSE)</f>
        <v>#REF!</v>
      </c>
    </row>
    <row r="196" spans="3:18" ht="24" hidden="1" customHeight="1" x14ac:dyDescent="0.2">
      <c r="C196" s="149" t="s">
        <v>54</v>
      </c>
      <c r="D196" s="150" t="e">
        <f>VLOOKUP("austria",#REF!,6,FALSE)/VLOOKUP("austria",#REF!,6,FALSE)-1</f>
        <v>#REF!</v>
      </c>
      <c r="E196" s="151" t="e">
        <f>VLOOKUP("austria",#REF!,6,FALSE)</f>
        <v>#REF!</v>
      </c>
      <c r="F196" s="150" t="e">
        <f>VLOOKUP("austria",#REF!,5,FALSE)/VLOOKUP("austria",#REF!,5,FALSE)-1</f>
        <v>#REF!</v>
      </c>
      <c r="G196" s="151" t="e">
        <f>VLOOKUP("austria",#REF!,5,FALSE)</f>
        <v>#REF!</v>
      </c>
      <c r="H196" s="150" t="e">
        <f>VLOOKUP("austria",#REF!,4,FALSE)/VLOOKUP("austria",#REF!,4,FALSE)-1</f>
        <v>#REF!</v>
      </c>
      <c r="I196" s="151" t="e">
        <f>VLOOKUP("austria",#REF!,4,FALSE)</f>
        <v>#REF!</v>
      </c>
      <c r="J196" s="150" t="e">
        <f>VLOOKUP("austria",#REF!,3,FALSE)/VLOOKUP("austria",#REF!,3,FALSE)-1</f>
        <v>#REF!</v>
      </c>
      <c r="K196" s="151" t="e">
        <f>VLOOKUP("austria",#REF!,3,FALSE)</f>
        <v>#REF!</v>
      </c>
      <c r="L196" s="150" t="e">
        <f>VLOOKUP("austria",#REF!,2,FALSE)/VLOOKUP("austria",#REF!,2,FALSE)-1</f>
        <v>#REF!</v>
      </c>
      <c r="M196" s="151" t="e">
        <f>VLOOKUP("austria",#REF!,2,FALSE)</f>
        <v>#REF!</v>
      </c>
      <c r="N196" s="150" t="e">
        <f>VLOOKUP("austria",#REF!,7,FALSE)/VLOOKUP("austria",#REF!,7,FALSE)-1</f>
        <v>#REF!</v>
      </c>
      <c r="O196" s="151" t="e">
        <f>VLOOKUP("austria",#REF!,7,FALSE)</f>
        <v>#REF!</v>
      </c>
      <c r="P196" s="150" t="e">
        <f>VLOOKUP("austria",#REF!,8,FALSE)/VLOOKUP("austria",#REF!,8,FALSE)-1</f>
        <v>#REF!</v>
      </c>
      <c r="Q196" s="151" t="e">
        <f>VLOOKUP("austria",#REF!,8,FALSE)</f>
        <v>#REF!</v>
      </c>
    </row>
    <row r="197" spans="3:18" ht="24" hidden="1" customHeight="1" x14ac:dyDescent="0.2">
      <c r="C197" s="149" t="s">
        <v>55</v>
      </c>
      <c r="D197" s="150" t="e">
        <f>VLOOKUP("rusia",#REF!,6,FALSE)/VLOOKUP("rusia",#REF!,6,FALSE)-1</f>
        <v>#REF!</v>
      </c>
      <c r="E197" s="151" t="e">
        <f>VLOOKUP("rusia",#REF!,6,FALSE)</f>
        <v>#REF!</v>
      </c>
      <c r="F197" s="150" t="e">
        <f>VLOOKUP("rusia",#REF!,5,FALSE)/VLOOKUP("rusia",#REF!,5,FALSE)-1</f>
        <v>#REF!</v>
      </c>
      <c r="G197" s="151" t="e">
        <f>VLOOKUP("rusia",#REF!,5,FALSE)</f>
        <v>#REF!</v>
      </c>
      <c r="H197" s="150" t="e">
        <f>VLOOKUP("rusia",#REF!,4,FALSE)/VLOOKUP("rusia",#REF!,4,FALSE)-1</f>
        <v>#REF!</v>
      </c>
      <c r="I197" s="151" t="e">
        <f>VLOOKUP("rusia",#REF!,4,FALSE)</f>
        <v>#REF!</v>
      </c>
      <c r="J197" s="150" t="e">
        <f>VLOOKUP("rusia",#REF!,3,FALSE)/VLOOKUP("rusia",#REF!,3,FALSE)-1</f>
        <v>#REF!</v>
      </c>
      <c r="K197" s="151" t="e">
        <f>VLOOKUP("rusia",#REF!,3,FALSE)</f>
        <v>#REF!</v>
      </c>
      <c r="L197" s="150" t="e">
        <f>VLOOKUP("rusia",#REF!,2,FALSE)/VLOOKUP("rusia",#REF!,2,FALSE)-1</f>
        <v>#REF!</v>
      </c>
      <c r="M197" s="151" t="e">
        <f>VLOOKUP("rusia",#REF!,2,FALSE)</f>
        <v>#REF!</v>
      </c>
      <c r="N197" s="150" t="e">
        <f>VLOOKUP("rusia",#REF!,7,FALSE)/VLOOKUP("rusia",#REF!,7,FALSE)-1</f>
        <v>#REF!</v>
      </c>
      <c r="O197" s="151" t="e">
        <f>VLOOKUP("rusia",#REF!,7,FALSE)</f>
        <v>#REF!</v>
      </c>
      <c r="P197" s="150" t="e">
        <f>VLOOKUP("rusia",#REF!,8,FALSE)/VLOOKUP("rusia",#REF!,8,FALSE)-1</f>
        <v>#REF!</v>
      </c>
      <c r="Q197" s="151" t="e">
        <f>VLOOKUP("rusia",#REF!,8,FALSE)</f>
        <v>#REF!</v>
      </c>
    </row>
    <row r="198" spans="3:18" ht="24" hidden="1" customHeight="1" x14ac:dyDescent="0.2">
      <c r="C198" s="149" t="s">
        <v>56</v>
      </c>
      <c r="D198" s="150" t="e">
        <f>VLOOKUP("paises del este",#REF!,6,FALSE)/VLOOKUP("paises del este",#REF!,6,FALSE)-1</f>
        <v>#REF!</v>
      </c>
      <c r="E198" s="151" t="e">
        <f>VLOOKUP("paises del este",#REF!,6,FALSE)</f>
        <v>#REF!</v>
      </c>
      <c r="F198" s="150" t="e">
        <f>VLOOKUP("paises del este",#REF!,5,FALSE)/VLOOKUP("paises del este",#REF!,5,FALSE)-1</f>
        <v>#REF!</v>
      </c>
      <c r="G198" s="151" t="e">
        <f>VLOOKUP("paises del este",#REF!,5,FALSE)</f>
        <v>#REF!</v>
      </c>
      <c r="H198" s="150" t="e">
        <f>VLOOKUP("paises del este",#REF!,4,FALSE)/VLOOKUP("paises del este",#REF!,4,FALSE)-1</f>
        <v>#REF!</v>
      </c>
      <c r="I198" s="151" t="e">
        <f>VLOOKUP("paises del este",#REF!,4,FALSE)</f>
        <v>#REF!</v>
      </c>
      <c r="J198" s="150" t="e">
        <f>VLOOKUP("paises del este",#REF!,3,FALSE)/VLOOKUP("paises del este",#REF!,3,FALSE)-1</f>
        <v>#REF!</v>
      </c>
      <c r="K198" s="151" t="e">
        <f>VLOOKUP("paises del este",#REF!,3,FALSE)</f>
        <v>#REF!</v>
      </c>
      <c r="L198" s="150" t="e">
        <f>VLOOKUP("paises del este",#REF!,2,FALSE)/VLOOKUP("paises del este",#REF!,2,FALSE)-1</f>
        <v>#REF!</v>
      </c>
      <c r="M198" s="151" t="e">
        <f>VLOOKUP("paises del este",#REF!,2,FALSE)</f>
        <v>#REF!</v>
      </c>
      <c r="N198" s="150" t="e">
        <f>VLOOKUP("paises del este",#REF!,7,FALSE)/VLOOKUP("paises del este",#REF!,7,FALSE)-1</f>
        <v>#REF!</v>
      </c>
      <c r="O198" s="151" t="e">
        <f>VLOOKUP("paises del este",#REF!,7,FALSE)</f>
        <v>#REF!</v>
      </c>
      <c r="P198" s="150" t="e">
        <f>VLOOKUP("paises del este",#REF!,8,FALSE)/VLOOKUP("paises del este",#REF!,8,FALSE)-1</f>
        <v>#REF!</v>
      </c>
      <c r="Q198" s="151" t="e">
        <f>VLOOKUP("paises del este",#REF!,8,FALSE)</f>
        <v>#REF!</v>
      </c>
    </row>
    <row r="199" spans="3:18" ht="24" hidden="1" customHeight="1" x14ac:dyDescent="0.2">
      <c r="C199" s="149" t="s">
        <v>57</v>
      </c>
      <c r="D199" s="150" t="e">
        <f>VLOOKUP("resto de europa",#REF!,6,FALSE)/VLOOKUP("resto de europa",#REF!,6,FALSE)-1</f>
        <v>#REF!</v>
      </c>
      <c r="E199" s="151" t="e">
        <f>VLOOKUP("resto de europa",#REF!,6,FALSE)</f>
        <v>#REF!</v>
      </c>
      <c r="F199" s="150" t="e">
        <f>VLOOKUP("resto de europa",#REF!,5,FALSE)/VLOOKUP("resto de europa",#REF!,5,FALSE)-1</f>
        <v>#REF!</v>
      </c>
      <c r="G199" s="151" t="e">
        <f>VLOOKUP("resto de europa",#REF!,5,FALSE)</f>
        <v>#REF!</v>
      </c>
      <c r="H199" s="150" t="e">
        <f>VLOOKUP("resto de europa",#REF!,4,FALSE)/VLOOKUP("resto de europa",#REF!,4,FALSE)-1</f>
        <v>#REF!</v>
      </c>
      <c r="I199" s="151" t="e">
        <f>VLOOKUP("resto de europa",#REF!,4,FALSE)</f>
        <v>#REF!</v>
      </c>
      <c r="J199" s="150" t="e">
        <f>VLOOKUP("resto de europa",#REF!,3,FALSE)/VLOOKUP("resto de europa",#REF!,3,FALSE)-1</f>
        <v>#REF!</v>
      </c>
      <c r="K199" s="151" t="e">
        <f>VLOOKUP("resto de europa",#REF!,3,FALSE)</f>
        <v>#REF!</v>
      </c>
      <c r="L199" s="150" t="e">
        <f>VLOOKUP("resto de europa",#REF!,2,FALSE)/VLOOKUP("resto de europa",#REF!,2,FALSE)-1</f>
        <v>#REF!</v>
      </c>
      <c r="M199" s="151" t="e">
        <f>VLOOKUP("resto de europa",#REF!,2,FALSE)</f>
        <v>#REF!</v>
      </c>
      <c r="N199" s="150" t="e">
        <f>VLOOKUP("resto de europa",#REF!,7,FALSE)/VLOOKUP("resto de europa",#REF!,7,FALSE)-1</f>
        <v>#REF!</v>
      </c>
      <c r="O199" s="151" t="e">
        <f>VLOOKUP("resto de europa",#REF!,7,FALSE)</f>
        <v>#REF!</v>
      </c>
      <c r="P199" s="150" t="e">
        <f>VLOOKUP("resto de europa",#REF!,8,FALSE)/VLOOKUP("resto de europa",#REF!,8,FALSE)-1</f>
        <v>#REF!</v>
      </c>
      <c r="Q199" s="151" t="e">
        <f>VLOOKUP("resto de europa",#REF!,8,FALSE)</f>
        <v>#REF!</v>
      </c>
    </row>
    <row r="200" spans="3:18" ht="24" hidden="1" customHeight="1" x14ac:dyDescent="0.2">
      <c r="C200" s="149" t="s">
        <v>58</v>
      </c>
      <c r="D200" s="150" t="e">
        <f>VLOOKUP("usa",#REF!,6,FALSE)/VLOOKUP("usa",#REF!,6,FALSE)-1</f>
        <v>#REF!</v>
      </c>
      <c r="E200" s="151" t="e">
        <f>VLOOKUP("usa",#REF!,6,FALSE)</f>
        <v>#REF!</v>
      </c>
      <c r="F200" s="150" t="e">
        <f>VLOOKUP("usa",#REF!,5,FALSE)/VLOOKUP("usa",#REF!,5,FALSE)-1</f>
        <v>#REF!</v>
      </c>
      <c r="G200" s="151" t="e">
        <f>VLOOKUP("usa",#REF!,5,FALSE)</f>
        <v>#REF!</v>
      </c>
      <c r="H200" s="150" t="e">
        <f>VLOOKUP("usa",#REF!,4,FALSE)/VLOOKUP("usa",#REF!,4,FALSE)-1</f>
        <v>#REF!</v>
      </c>
      <c r="I200" s="151" t="e">
        <f>VLOOKUP("usa",#REF!,4,FALSE)</f>
        <v>#REF!</v>
      </c>
      <c r="J200" s="150" t="e">
        <f>VLOOKUP("usa",#REF!,3,FALSE)/VLOOKUP("usa",#REF!,3,FALSE)-1</f>
        <v>#REF!</v>
      </c>
      <c r="K200" s="151" t="e">
        <f>VLOOKUP("usa",#REF!,3,FALSE)</f>
        <v>#REF!</v>
      </c>
      <c r="L200" s="150" t="e">
        <f>VLOOKUP("usa",#REF!,2,FALSE)/VLOOKUP("usa",#REF!,2,FALSE)-1</f>
        <v>#REF!</v>
      </c>
      <c r="M200" s="151" t="e">
        <f>VLOOKUP("usa",#REF!,2,FALSE)</f>
        <v>#REF!</v>
      </c>
      <c r="N200" s="150" t="e">
        <f>VLOOKUP("usa",#REF!,7,FALSE)/VLOOKUP("usa",#REF!,7,FALSE)-1</f>
        <v>#REF!</v>
      </c>
      <c r="O200" s="151" t="e">
        <f>VLOOKUP("usa",#REF!,7,FALSE)</f>
        <v>#REF!</v>
      </c>
      <c r="P200" s="150" t="e">
        <f>VLOOKUP("usa",#REF!,8,FALSE)/VLOOKUP("usa",#REF!,8,FALSE)-1</f>
        <v>#REF!</v>
      </c>
      <c r="Q200" s="151" t="e">
        <f>VLOOKUP("usa",#REF!,8,FALSE)</f>
        <v>#REF!</v>
      </c>
    </row>
    <row r="201" spans="3:18" ht="24" hidden="1" customHeight="1" x14ac:dyDescent="0.2">
      <c r="C201" s="149" t="s">
        <v>59</v>
      </c>
      <c r="D201" s="150" t="e">
        <f>VLOOKUP("resto de america",#REF!,6,FALSE)/VLOOKUP("resto de america",#REF!,6,FALSE)-1</f>
        <v>#REF!</v>
      </c>
      <c r="E201" s="151" t="e">
        <f>VLOOKUP("resto de america",#REF!,6,FALSE)</f>
        <v>#REF!</v>
      </c>
      <c r="F201" s="150" t="e">
        <f>VLOOKUP("resto de america",#REF!,5,FALSE)/VLOOKUP("resto de america",#REF!,5,FALSE)-1</f>
        <v>#REF!</v>
      </c>
      <c r="G201" s="151" t="e">
        <f>VLOOKUP("resto de america",#REF!,5,FALSE)</f>
        <v>#REF!</v>
      </c>
      <c r="H201" s="150" t="e">
        <f>VLOOKUP("resto de america",#REF!,4,FALSE)/VLOOKUP("resto de america",#REF!,4,FALSE)-1</f>
        <v>#REF!</v>
      </c>
      <c r="I201" s="151" t="e">
        <f>VLOOKUP("resto de america",#REF!,4,FALSE)</f>
        <v>#REF!</v>
      </c>
      <c r="J201" s="150" t="e">
        <f>VLOOKUP("resto de america",#REF!,3,FALSE)/VLOOKUP("resto de america",#REF!,3,FALSE)-1</f>
        <v>#REF!</v>
      </c>
      <c r="K201" s="151" t="e">
        <f>VLOOKUP("resto de america",#REF!,3,FALSE)</f>
        <v>#REF!</v>
      </c>
      <c r="L201" s="150" t="e">
        <f>VLOOKUP("resto de america",#REF!,2,FALSE)/VLOOKUP("resto de america",#REF!,2,FALSE)-1</f>
        <v>#REF!</v>
      </c>
      <c r="M201" s="151" t="e">
        <f>VLOOKUP("resto de america",#REF!,2,FALSE)</f>
        <v>#REF!</v>
      </c>
      <c r="N201" s="150" t="e">
        <f>VLOOKUP("resto de america",#REF!,7,FALSE)/VLOOKUP("resto de america",#REF!,7,FALSE)-1</f>
        <v>#REF!</v>
      </c>
      <c r="O201" s="151" t="e">
        <f>VLOOKUP("resto de america",#REF!,7,FALSE)</f>
        <v>#REF!</v>
      </c>
      <c r="P201" s="150" t="e">
        <f>VLOOKUP("resto de america",#REF!,8,FALSE)/VLOOKUP("resto de america",#REF!,8,FALSE)-1</f>
        <v>#REF!</v>
      </c>
      <c r="Q201" s="151" t="e">
        <f>VLOOKUP("resto de america",#REF!,8,FALSE)</f>
        <v>#REF!</v>
      </c>
    </row>
    <row r="202" spans="3:18" ht="24" hidden="1" customHeight="1" x14ac:dyDescent="0.2">
      <c r="C202" s="149" t="s">
        <v>60</v>
      </c>
      <c r="D202" s="150" t="e">
        <f>VLOOKUP("resto del mundo",#REF!,6,FALSE)/VLOOKUP("resto del mundo",#REF!,6,FALSE)-1</f>
        <v>#REF!</v>
      </c>
      <c r="E202" s="151" t="e">
        <f>VLOOKUP("resto del mundo",#REF!,6,FALSE)</f>
        <v>#REF!</v>
      </c>
      <c r="F202" s="150" t="e">
        <f>VLOOKUP("resto del mundo",#REF!,5,FALSE)/VLOOKUP("resto del mundo",#REF!,5,FALSE)-1</f>
        <v>#REF!</v>
      </c>
      <c r="G202" s="151" t="e">
        <f>VLOOKUP("resto del mundo",#REF!,5,FALSE)</f>
        <v>#REF!</v>
      </c>
      <c r="H202" s="150" t="e">
        <f>VLOOKUP("resto del mundo",#REF!,4,FALSE)/VLOOKUP("resto del mundo",#REF!,4,FALSE)-1</f>
        <v>#REF!</v>
      </c>
      <c r="I202" s="151" t="e">
        <f>VLOOKUP("resto del mundo",#REF!,4,FALSE)</f>
        <v>#REF!</v>
      </c>
      <c r="J202" s="150" t="e">
        <f>VLOOKUP("resto del mundo",#REF!,3,FALSE)/VLOOKUP("resto del mundo",#REF!,3,FALSE)-1</f>
        <v>#REF!</v>
      </c>
      <c r="K202" s="151" t="e">
        <f>VLOOKUP("resto del mundo",#REF!,3,FALSE)</f>
        <v>#REF!</v>
      </c>
      <c r="L202" s="150" t="e">
        <f>VLOOKUP("resto del mundo",#REF!,2,FALSE)/VLOOKUP("resto del mundo",#REF!,2,FALSE)-1</f>
        <v>#REF!</v>
      </c>
      <c r="M202" s="151" t="e">
        <f>VLOOKUP("resto del mundo",#REF!,2,FALSE)</f>
        <v>#REF!</v>
      </c>
      <c r="N202" s="150" t="e">
        <f>VLOOKUP("resto del mundo",#REF!,7,FALSE)/VLOOKUP("resto del mundo",#REF!,7,FALSE)-1</f>
        <v>#REF!</v>
      </c>
      <c r="O202" s="151" t="e">
        <f>VLOOKUP("resto del mundo",#REF!,7,FALSE)</f>
        <v>#REF!</v>
      </c>
      <c r="P202" s="150" t="e">
        <f>VLOOKUP("resto del mundo",#REF!,8,FALSE)/VLOOKUP("resto del mundo",#REF!,8,FALSE)-1</f>
        <v>#REF!</v>
      </c>
      <c r="Q202" s="151" t="e">
        <f>VLOOKUP("resto del mundo",#REF!,8,FALSE)</f>
        <v>#REF!</v>
      </c>
    </row>
    <row r="203" spans="3:18" ht="24" hidden="1" customHeight="1" x14ac:dyDescent="0.2">
      <c r="C203" s="149" t="s">
        <v>61</v>
      </c>
      <c r="D203" s="150" t="e">
        <f>(VLOOKUP("total",#REF!,6,FALSE)-VLOOKUP("españa",#REF!,6,FALSE))/(VLOOKUP("total",#REF!,6,FALSE)-VLOOKUP("españa",#REF!,6,FALSE))-1</f>
        <v>#REF!</v>
      </c>
      <c r="E203" s="151" t="e">
        <f>VLOOKUP("total",#REF!,6,FALSE)-VLOOKUP("españa",#REF!,6,FALSE)</f>
        <v>#REF!</v>
      </c>
      <c r="F203" s="150" t="e">
        <f>(VLOOKUP("total",#REF!,5,FALSE)-VLOOKUP("españa",#REF!,5,FALSE))/(VLOOKUP("total",#REF!,5,FALSE)-VLOOKUP("españa",#REF!,5,FALSE))-1</f>
        <v>#REF!</v>
      </c>
      <c r="G203" s="151" t="e">
        <f>VLOOKUP("total",#REF!,5,FALSE)-VLOOKUP("españa",#REF!,5,FALSE)</f>
        <v>#REF!</v>
      </c>
      <c r="H203" s="150" t="e">
        <f>(VLOOKUP("total",#REF!,4,FALSE)-VLOOKUP("españa",#REF!,4,FALSE))/(VLOOKUP("total",#REF!,4,FALSE)-VLOOKUP("españa",#REF!,4,FALSE))-1</f>
        <v>#REF!</v>
      </c>
      <c r="I203" s="151" t="e">
        <f>VLOOKUP("total",#REF!,4,FALSE)-VLOOKUP("españa",#REF!,4,FALSE)</f>
        <v>#REF!</v>
      </c>
      <c r="J203" s="150" t="e">
        <f>(VLOOKUP("total",#REF!,3,FALSE)-VLOOKUP("españa",#REF!,3,FALSE))/(VLOOKUP("total",#REF!,3,FALSE)-VLOOKUP("españa",#REF!,3,FALSE))-1</f>
        <v>#REF!</v>
      </c>
      <c r="K203" s="151" t="e">
        <f>VLOOKUP("total",#REF!,3,FALSE)-VLOOKUP("españa",#REF!,3,FALSE)</f>
        <v>#REF!</v>
      </c>
      <c r="L203" s="150" t="e">
        <f>(VLOOKUP("total",#REF!,2,FALSE)-VLOOKUP("españa",#REF!,2,FALSE))/(VLOOKUP("total",#REF!,2,FALSE)-VLOOKUP("españa",#REF!,2,FALSE))-1</f>
        <v>#REF!</v>
      </c>
      <c r="M203" s="151" t="e">
        <f>VLOOKUP("total",#REF!,2,FALSE)-VLOOKUP("españa",#REF!,2,FALSE)</f>
        <v>#REF!</v>
      </c>
      <c r="N203" s="150" t="e">
        <f>(VLOOKUP("total",#REF!,7,FALSE)-VLOOKUP("españa",#REF!,7,FALSE))/(VLOOKUP("total",#REF!,7,FALSE)-VLOOKUP("españa",#REF!,7,FALSE))-1</f>
        <v>#REF!</v>
      </c>
      <c r="O203" s="151" t="e">
        <f>VLOOKUP("total",#REF!,7,FALSE)-VLOOKUP("españa",#REF!,7,FALSE)</f>
        <v>#REF!</v>
      </c>
      <c r="P203" s="150" t="e">
        <f>(VLOOKUP("total",#REF!,8,FALSE)-VLOOKUP("españa",#REF!,8,FALSE))/(VLOOKUP("total",#REF!,8,FALSE)-VLOOKUP("españa",#REF!,8,FALSE))-1</f>
        <v>#REF!</v>
      </c>
      <c r="Q203" s="151" t="e">
        <f>VLOOKUP("total",#REF!,8,FALSE)-VLOOKUP("españa",#REF!,8,FALSE)</f>
        <v>#REF!</v>
      </c>
    </row>
    <row r="204" spans="3:18" ht="24" hidden="1" customHeight="1" x14ac:dyDescent="0.2">
      <c r="C204" s="149" t="s">
        <v>8</v>
      </c>
      <c r="D204" s="150" t="e">
        <f>VLOOKUP("total",#REF!,6,FALSE)/VLOOKUP("total",#REF!,6,FALSE)-1</f>
        <v>#REF!</v>
      </c>
      <c r="E204" s="151" t="e">
        <f>VLOOKUP("total",#REF!,6,FALSE)</f>
        <v>#REF!</v>
      </c>
      <c r="F204" s="150" t="e">
        <f>VLOOKUP("total",#REF!,5,FALSE)/VLOOKUP("total",#REF!,5,FALSE)-1</f>
        <v>#REF!</v>
      </c>
      <c r="G204" s="151" t="e">
        <f>VLOOKUP("total",#REF!,5,FALSE)</f>
        <v>#REF!</v>
      </c>
      <c r="H204" s="150" t="e">
        <f>VLOOKUP("total",#REF!,4,FALSE)/VLOOKUP("total",#REF!,4,FALSE)-1</f>
        <v>#REF!</v>
      </c>
      <c r="I204" s="151" t="e">
        <f>VLOOKUP("total",#REF!,4,FALSE)</f>
        <v>#REF!</v>
      </c>
      <c r="J204" s="150" t="e">
        <f>VLOOKUP("total",#REF!,3,FALSE)/VLOOKUP("total",#REF!,3,FALSE)-1</f>
        <v>#REF!</v>
      </c>
      <c r="K204" s="151" t="e">
        <f>VLOOKUP("total",#REF!,3,FALSE)</f>
        <v>#REF!</v>
      </c>
      <c r="L204" s="150" t="e">
        <f>VLOOKUP("total",#REF!,2,FALSE)/VLOOKUP("total",#REF!,2,FALSE)-1</f>
        <v>#REF!</v>
      </c>
      <c r="M204" s="151" t="e">
        <f>VLOOKUP("total",#REF!,2,FALSE)</f>
        <v>#REF!</v>
      </c>
      <c r="N204" s="150" t="e">
        <f>VLOOKUP("total",#REF!,7,FALSE)/VLOOKUP("total",#REF!,7,FALSE)-1</f>
        <v>#REF!</v>
      </c>
      <c r="O204" s="151" t="e">
        <f>VLOOKUP("total",#REF!,7,FALSE)</f>
        <v>#REF!</v>
      </c>
      <c r="P204" s="150" t="e">
        <f>VLOOKUP("total",#REF!,8,FALSE)/VLOOKUP("total",#REF!,8,FALSE)-1</f>
        <v>#REF!</v>
      </c>
      <c r="Q204" s="151" t="e">
        <f>VLOOKUP("total",#REF!,8,FALSE)</f>
        <v>#REF!</v>
      </c>
    </row>
    <row r="205" spans="3:18" hidden="1" x14ac:dyDescent="0.2"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3"/>
    </row>
    <row r="206" spans="3:18" ht="35.25" hidden="1" customHeight="1" x14ac:dyDescent="0.2">
      <c r="C206" s="333" t="s">
        <v>29</v>
      </c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146"/>
    </row>
    <row r="207" spans="3:18" ht="20.100000000000001" hidden="1" customHeight="1" x14ac:dyDescent="0.2">
      <c r="C207" s="335" t="str">
        <f>I2</f>
        <v>Invierno 18/19 (nov-mar)</v>
      </c>
      <c r="D207" s="336"/>
      <c r="E207" s="336"/>
      <c r="F207" s="336"/>
      <c r="G207" s="336"/>
      <c r="H207" s="336"/>
      <c r="I207" s="336"/>
      <c r="J207" s="336"/>
      <c r="K207" s="336"/>
      <c r="L207" s="336"/>
      <c r="M207" s="336"/>
      <c r="N207" s="336"/>
      <c r="O207" s="336"/>
      <c r="P207" s="336"/>
      <c r="Q207" s="336"/>
      <c r="R207" s="153"/>
    </row>
    <row r="208" spans="3:18" ht="13.5" hidden="1" thickBot="1" x14ac:dyDescent="0.25">
      <c r="C208" s="147"/>
      <c r="D208" s="331" t="s">
        <v>24</v>
      </c>
      <c r="E208" s="332"/>
      <c r="F208" s="331" t="s">
        <v>23</v>
      </c>
      <c r="G208" s="332"/>
      <c r="H208" s="331" t="s">
        <v>22</v>
      </c>
      <c r="I208" s="332"/>
      <c r="J208" s="331" t="s">
        <v>21</v>
      </c>
      <c r="K208" s="332"/>
      <c r="L208" s="331" t="s">
        <v>20</v>
      </c>
      <c r="M208" s="332"/>
      <c r="N208" s="331" t="s">
        <v>63</v>
      </c>
      <c r="O208" s="332"/>
      <c r="P208" s="331" t="s">
        <v>64</v>
      </c>
      <c r="Q208" s="332"/>
    </row>
    <row r="209" spans="3:17" ht="28.5" hidden="1" customHeight="1" x14ac:dyDescent="0.2">
      <c r="C209" s="147"/>
      <c r="D209" s="148" t="s">
        <v>65</v>
      </c>
      <c r="E209" s="148" t="s">
        <v>66</v>
      </c>
      <c r="F209" s="148" t="s">
        <v>65</v>
      </c>
      <c r="G209" s="148" t="s">
        <v>66</v>
      </c>
      <c r="H209" s="148" t="s">
        <v>65</v>
      </c>
      <c r="I209" s="148" t="s">
        <v>66</v>
      </c>
      <c r="J209" s="148" t="s">
        <v>65</v>
      </c>
      <c r="K209" s="148" t="s">
        <v>66</v>
      </c>
      <c r="L209" s="148" t="s">
        <v>65</v>
      </c>
      <c r="M209" s="148" t="s">
        <v>66</v>
      </c>
      <c r="N209" s="148" t="s">
        <v>65</v>
      </c>
      <c r="O209" s="148" t="s">
        <v>66</v>
      </c>
      <c r="P209" s="148" t="s">
        <v>65</v>
      </c>
      <c r="Q209" s="148" t="s">
        <v>66</v>
      </c>
    </row>
    <row r="210" spans="3:17" ht="24" hidden="1" customHeight="1" x14ac:dyDescent="0.2">
      <c r="C210" s="149" t="s">
        <v>36</v>
      </c>
      <c r="D210" s="150" t="e">
        <f>VLOOKUP("españa",#REF!,6,FALSE)/VLOOKUP("españa",#REF!,6,FALSE)-1</f>
        <v>#REF!</v>
      </c>
      <c r="E210" s="151" t="e">
        <f>VLOOKUP("españa",#REF!,6,FALSE)</f>
        <v>#REF!</v>
      </c>
      <c r="F210" s="150" t="e">
        <f>VLOOKUP("españa",#REF!,5,FALSE)/VLOOKUP("españa",#REF!,5,FALSE)-1</f>
        <v>#REF!</v>
      </c>
      <c r="G210" s="151" t="e">
        <f>VLOOKUP("españa",#REF!,5,FALSE)</f>
        <v>#REF!</v>
      </c>
      <c r="H210" s="150" t="e">
        <f>VLOOKUP("españa",#REF!,4,FALSE)/VLOOKUP("españa",#REF!,4,FALSE)-1</f>
        <v>#REF!</v>
      </c>
      <c r="I210" s="151" t="e">
        <f>VLOOKUP("españa",#REF!,4,FALSE)</f>
        <v>#REF!</v>
      </c>
      <c r="J210" s="150" t="e">
        <f>VLOOKUP("españa",#REF!,3,FALSE)/VLOOKUP("españa",#REF!,3,FALSE)-1</f>
        <v>#REF!</v>
      </c>
      <c r="K210" s="151" t="e">
        <f>VLOOKUP("españa",#REF!,3,FALSE)</f>
        <v>#REF!</v>
      </c>
      <c r="L210" s="150" t="e">
        <f>VLOOKUP("españa",#REF!,2,FALSE)/VLOOKUP("españa",#REF!,2,FALSE)-1</f>
        <v>#REF!</v>
      </c>
      <c r="M210" s="151" t="e">
        <f>VLOOKUP("españa",#REF!,2,FALSE)</f>
        <v>#REF!</v>
      </c>
      <c r="N210" s="150" t="e">
        <f>VLOOKUP("españa",#REF!,7,FALSE)/VLOOKUP("españa",#REF!,7,FALSE)-1</f>
        <v>#REF!</v>
      </c>
      <c r="O210" s="151" t="e">
        <f>VLOOKUP("españa",#REF!,7,FALSE)</f>
        <v>#REF!</v>
      </c>
      <c r="P210" s="150" t="e">
        <f>VLOOKUP("españa",#REF!,8,FALSE)/VLOOKUP("españa",#REF!,8,FALSE)-1</f>
        <v>#REF!</v>
      </c>
      <c r="Q210" s="151" t="e">
        <f>VLOOKUP("españa",#REF!,8,FALSE)</f>
        <v>#REF!</v>
      </c>
    </row>
    <row r="211" spans="3:17" ht="24" hidden="1" customHeight="1" x14ac:dyDescent="0.2">
      <c r="C211" s="149" t="s">
        <v>41</v>
      </c>
      <c r="D211" s="150" t="e">
        <f>VLOOKUP("holanda",#REF!,6,FALSE)/VLOOKUP("holanda",#REF!,6,FALSE)-1</f>
        <v>#REF!</v>
      </c>
      <c r="E211" s="151" t="e">
        <f>VLOOKUP("holanda",#REF!,6,FALSE)</f>
        <v>#REF!</v>
      </c>
      <c r="F211" s="150" t="e">
        <f>VLOOKUP("holanda",#REF!,5,FALSE)/VLOOKUP("holanda",#REF!,5,FALSE)-1</f>
        <v>#REF!</v>
      </c>
      <c r="G211" s="151" t="e">
        <f>VLOOKUP("holanda",#REF!,5,FALSE)</f>
        <v>#REF!</v>
      </c>
      <c r="H211" s="150" t="e">
        <f>VLOOKUP("holanda",#REF!,4,FALSE)/VLOOKUP("holanda",#REF!,4,FALSE)-1</f>
        <v>#REF!</v>
      </c>
      <c r="I211" s="151" t="e">
        <f>VLOOKUP("holanda",#REF!,4,FALSE)</f>
        <v>#REF!</v>
      </c>
      <c r="J211" s="150" t="e">
        <f>VLOOKUP("holanda",#REF!,3,FALSE)/VLOOKUP("holanda",#REF!,3,FALSE)-1</f>
        <v>#REF!</v>
      </c>
      <c r="K211" s="151" t="e">
        <f>VLOOKUP("holanda",#REF!,3,FALSE)</f>
        <v>#REF!</v>
      </c>
      <c r="L211" s="150" t="e">
        <f>VLOOKUP("holanda",#REF!,2,FALSE)/VLOOKUP("holanda",#REF!,2,FALSE)-1</f>
        <v>#REF!</v>
      </c>
      <c r="M211" s="151" t="e">
        <f>VLOOKUP("holanda",#REF!,2,FALSE)</f>
        <v>#REF!</v>
      </c>
      <c r="N211" s="150" t="e">
        <f>VLOOKUP("holanda",#REF!,7,FALSE)/VLOOKUP("holanda",#REF!,7,FALSE)-1</f>
        <v>#REF!</v>
      </c>
      <c r="O211" s="151" t="e">
        <f>VLOOKUP("holanda",#REF!,7,FALSE)</f>
        <v>#REF!</v>
      </c>
      <c r="P211" s="150" t="e">
        <f>VLOOKUP("holanda",#REF!,8,FALSE)/VLOOKUP("holanda",#REF!,8,FALSE)-1</f>
        <v>#REF!</v>
      </c>
      <c r="Q211" s="151" t="e">
        <f>VLOOKUP("holanda",#REF!,8,FALSE)</f>
        <v>#REF!</v>
      </c>
    </row>
    <row r="212" spans="3:17" ht="24" hidden="1" customHeight="1" x14ac:dyDescent="0.2">
      <c r="C212" s="149" t="s">
        <v>42</v>
      </c>
      <c r="D212" s="150" t="e">
        <f>VLOOKUP("belgica",#REF!,6,FALSE)/VLOOKUP("belgica",#REF!,6,FALSE)-1</f>
        <v>#REF!</v>
      </c>
      <c r="E212" s="151" t="e">
        <f>VLOOKUP("belgica",#REF!,6,FALSE)</f>
        <v>#REF!</v>
      </c>
      <c r="F212" s="150" t="e">
        <f>VLOOKUP("belgica",#REF!,5,FALSE)/VLOOKUP("belgica",#REF!,5,FALSE)-1</f>
        <v>#REF!</v>
      </c>
      <c r="G212" s="151" t="e">
        <f>VLOOKUP("belgica",#REF!,5,FALSE)</f>
        <v>#REF!</v>
      </c>
      <c r="H212" s="150" t="e">
        <f>VLOOKUP("belgica",#REF!,4,FALSE)/VLOOKUP("belgica",#REF!,4,FALSE)-1</f>
        <v>#REF!</v>
      </c>
      <c r="I212" s="151" t="e">
        <f>VLOOKUP("belgica",#REF!,4,FALSE)</f>
        <v>#REF!</v>
      </c>
      <c r="J212" s="150" t="e">
        <f>VLOOKUP("belgica",#REF!,3,FALSE)/VLOOKUP("belgica",#REF!,3,FALSE)-1</f>
        <v>#REF!</v>
      </c>
      <c r="K212" s="151" t="e">
        <f>VLOOKUP("belgica",#REF!,3,FALSE)</f>
        <v>#REF!</v>
      </c>
      <c r="L212" s="150" t="e">
        <f>VLOOKUP("belgica",#REF!,2,FALSE)/VLOOKUP("belgica",#REF!,2,FALSE)-1</f>
        <v>#REF!</v>
      </c>
      <c r="M212" s="151" t="e">
        <f>VLOOKUP("belgica",#REF!,2,FALSE)</f>
        <v>#REF!</v>
      </c>
      <c r="N212" s="150" t="e">
        <f>VLOOKUP("belgica",#REF!,7,FALSE)/VLOOKUP("belgica",#REF!,7,FALSE)-1</f>
        <v>#REF!</v>
      </c>
      <c r="O212" s="151" t="e">
        <f>VLOOKUP("belgica",#REF!,7,FALSE)</f>
        <v>#REF!</v>
      </c>
      <c r="P212" s="150" t="e">
        <f>VLOOKUP("belgica",#REF!,8,FALSE)/VLOOKUP("belgica",#REF!,8,FALSE)-1</f>
        <v>#REF!</v>
      </c>
      <c r="Q212" s="151" t="e">
        <f>VLOOKUP("belgica",#REF!,8,FALSE)</f>
        <v>#REF!</v>
      </c>
    </row>
    <row r="213" spans="3:17" ht="24" hidden="1" customHeight="1" x14ac:dyDescent="0.2">
      <c r="C213" s="149" t="s">
        <v>43</v>
      </c>
      <c r="D213" s="150" t="e">
        <f>VLOOKUP("alemania",#REF!,6,FALSE)/VLOOKUP("alemania",#REF!,6,FALSE)-1</f>
        <v>#REF!</v>
      </c>
      <c r="E213" s="151" t="e">
        <f>VLOOKUP("alemania",#REF!,6,FALSE)</f>
        <v>#REF!</v>
      </c>
      <c r="F213" s="150" t="e">
        <f>VLOOKUP("alemania",#REF!,5,FALSE)/VLOOKUP("alemania",#REF!,5,FALSE)-1</f>
        <v>#REF!</v>
      </c>
      <c r="G213" s="151" t="e">
        <f>VLOOKUP("alemania",#REF!,5,FALSE)</f>
        <v>#REF!</v>
      </c>
      <c r="H213" s="150" t="e">
        <f>VLOOKUP("alemania",#REF!,4,FALSE)/VLOOKUP("alemania",#REF!,4,FALSE)-1</f>
        <v>#REF!</v>
      </c>
      <c r="I213" s="151" t="e">
        <f>VLOOKUP("alemania",#REF!,4,FALSE)</f>
        <v>#REF!</v>
      </c>
      <c r="J213" s="150" t="e">
        <f>VLOOKUP("alemania",#REF!,3,FALSE)/VLOOKUP("alemania",#REF!,3,FALSE)-1</f>
        <v>#REF!</v>
      </c>
      <c r="K213" s="151" t="e">
        <f>VLOOKUP("alemania",#REF!,3,FALSE)</f>
        <v>#REF!</v>
      </c>
      <c r="L213" s="150" t="e">
        <f>VLOOKUP("alemania",#REF!,2,FALSE)/VLOOKUP("alemania",#REF!,2,FALSE)-1</f>
        <v>#REF!</v>
      </c>
      <c r="M213" s="151" t="e">
        <f>VLOOKUP("alemania",#REF!,2,FALSE)</f>
        <v>#REF!</v>
      </c>
      <c r="N213" s="150" t="e">
        <f>VLOOKUP("alemania",#REF!,7,FALSE)/VLOOKUP("alemania",#REF!,7,FALSE)-1</f>
        <v>#REF!</v>
      </c>
      <c r="O213" s="151" t="e">
        <f>VLOOKUP("alemania",#REF!,7,FALSE)</f>
        <v>#REF!</v>
      </c>
      <c r="P213" s="150" t="e">
        <f>VLOOKUP("alemania",#REF!,8,FALSE)/VLOOKUP("alemania",#REF!,8,FALSE)-1</f>
        <v>#REF!</v>
      </c>
      <c r="Q213" s="151" t="e">
        <f>VLOOKUP("alemania",#REF!,8,FALSE)</f>
        <v>#REF!</v>
      </c>
    </row>
    <row r="214" spans="3:17" ht="24" hidden="1" customHeight="1" x14ac:dyDescent="0.2">
      <c r="C214" s="149" t="s">
        <v>44</v>
      </c>
      <c r="D214" s="150" t="e">
        <f>VLOOKUP("francia",#REF!,6,FALSE)/VLOOKUP("francia",#REF!,6,FALSE)-1</f>
        <v>#REF!</v>
      </c>
      <c r="E214" s="151" t="e">
        <f>VLOOKUP("francia",#REF!,6,FALSE)</f>
        <v>#REF!</v>
      </c>
      <c r="F214" s="150" t="e">
        <f>VLOOKUP("francia",#REF!,5,FALSE)/VLOOKUP("francia",#REF!,5,FALSE)-1</f>
        <v>#REF!</v>
      </c>
      <c r="G214" s="151" t="e">
        <f>VLOOKUP("francia",#REF!,5,FALSE)</f>
        <v>#REF!</v>
      </c>
      <c r="H214" s="150" t="e">
        <f>VLOOKUP("francia",#REF!,4,FALSE)/VLOOKUP("francia",#REF!,4,FALSE)-1</f>
        <v>#REF!</v>
      </c>
      <c r="I214" s="151" t="e">
        <f>VLOOKUP("francia",#REF!,4,FALSE)</f>
        <v>#REF!</v>
      </c>
      <c r="J214" s="150" t="e">
        <f>VLOOKUP("francia",#REF!,3,FALSE)/VLOOKUP("francia",#REF!,3,FALSE)-1</f>
        <v>#REF!</v>
      </c>
      <c r="K214" s="151" t="e">
        <f>VLOOKUP("francia",#REF!,3,FALSE)</f>
        <v>#REF!</v>
      </c>
      <c r="L214" s="150" t="e">
        <f>VLOOKUP("francia",#REF!,2,FALSE)/VLOOKUP("francia",#REF!,2,FALSE)-1</f>
        <v>#REF!</v>
      </c>
      <c r="M214" s="151" t="e">
        <f>VLOOKUP("francia",#REF!,2,FALSE)</f>
        <v>#REF!</v>
      </c>
      <c r="N214" s="150" t="e">
        <f>VLOOKUP("francia",#REF!,7,FALSE)/VLOOKUP("francia",#REF!,7,FALSE)-1</f>
        <v>#REF!</v>
      </c>
      <c r="O214" s="151" t="e">
        <f>VLOOKUP("francia",#REF!,7,FALSE)</f>
        <v>#REF!</v>
      </c>
      <c r="P214" s="150" t="e">
        <f>VLOOKUP("francia",#REF!,8,FALSE)/VLOOKUP("francia",#REF!,8,FALSE)-1</f>
        <v>#REF!</v>
      </c>
      <c r="Q214" s="151" t="e">
        <f>VLOOKUP("francia",#REF!,8,FALSE)</f>
        <v>#REF!</v>
      </c>
    </row>
    <row r="215" spans="3:17" ht="24" hidden="1" customHeight="1" x14ac:dyDescent="0.2">
      <c r="C215" s="149" t="s">
        <v>45</v>
      </c>
      <c r="D215" s="150" t="e">
        <f>VLOOKUP("reino unido",#REF!,6,FALSE)/VLOOKUP("reino unido",#REF!,6,FALSE)-1</f>
        <v>#REF!</v>
      </c>
      <c r="E215" s="151" t="e">
        <f>VLOOKUP("reino unido",#REF!,6,FALSE)</f>
        <v>#REF!</v>
      </c>
      <c r="F215" s="150" t="e">
        <f>VLOOKUP("reino unido",#REF!,5,FALSE)/VLOOKUP("reino unido",#REF!,5,FALSE)-1</f>
        <v>#REF!</v>
      </c>
      <c r="G215" s="151" t="e">
        <f>VLOOKUP("reino unido",#REF!,5,FALSE)</f>
        <v>#REF!</v>
      </c>
      <c r="H215" s="150" t="e">
        <f>VLOOKUP("reino unido",#REF!,4,FALSE)/VLOOKUP("reino unido",#REF!,4,FALSE)-1</f>
        <v>#REF!</v>
      </c>
      <c r="I215" s="151" t="e">
        <f>VLOOKUP("reino unido",#REF!,4,FALSE)</f>
        <v>#REF!</v>
      </c>
      <c r="J215" s="150" t="e">
        <f>VLOOKUP("reino unido",#REF!,3,FALSE)/VLOOKUP("reino unido",#REF!,3,FALSE)-1</f>
        <v>#REF!</v>
      </c>
      <c r="K215" s="151" t="e">
        <f>VLOOKUP("reino unido",#REF!,3,FALSE)</f>
        <v>#REF!</v>
      </c>
      <c r="L215" s="150" t="e">
        <f>VLOOKUP("reino unido",#REF!,2,FALSE)/VLOOKUP("reino unido",#REF!,2,FALSE)-1</f>
        <v>#REF!</v>
      </c>
      <c r="M215" s="151" t="e">
        <f>VLOOKUP("reino unido",#REF!,2,FALSE)</f>
        <v>#REF!</v>
      </c>
      <c r="N215" s="150" t="e">
        <f>VLOOKUP("reino unido",#REF!,7,FALSE)/VLOOKUP("reino unido",#REF!,7,FALSE)-1</f>
        <v>#REF!</v>
      </c>
      <c r="O215" s="151" t="e">
        <f>VLOOKUP("reino unido",#REF!,7,FALSE)</f>
        <v>#REF!</v>
      </c>
      <c r="P215" s="150" t="e">
        <f>VLOOKUP("reino unido",#REF!,8,FALSE)/VLOOKUP("reino unido",#REF!,8,FALSE)-1</f>
        <v>#REF!</v>
      </c>
      <c r="Q215" s="151" t="e">
        <f>VLOOKUP("reino unido",#REF!,8,FALSE)</f>
        <v>#REF!</v>
      </c>
    </row>
    <row r="216" spans="3:17" ht="24" hidden="1" customHeight="1" x14ac:dyDescent="0.2">
      <c r="C216" s="149" t="s">
        <v>46</v>
      </c>
      <c r="D216" s="150" t="e">
        <f>VLOOKUP("irlanda",#REF!,6,FALSE)/VLOOKUP("irlanda",#REF!,6,FALSE)-1</f>
        <v>#REF!</v>
      </c>
      <c r="E216" s="151" t="e">
        <f>VLOOKUP("irlanda",#REF!,6,FALSE)</f>
        <v>#REF!</v>
      </c>
      <c r="F216" s="150" t="e">
        <f>VLOOKUP("irlanda",#REF!,5,FALSE)/VLOOKUP("irlanda",#REF!,5,FALSE)-1</f>
        <v>#REF!</v>
      </c>
      <c r="G216" s="151" t="e">
        <f>VLOOKUP("irlanda",#REF!,5,FALSE)</f>
        <v>#REF!</v>
      </c>
      <c r="H216" s="150" t="e">
        <f>VLOOKUP("irlanda",#REF!,4,FALSE)/VLOOKUP("irlanda",#REF!,4,FALSE)-1</f>
        <v>#REF!</v>
      </c>
      <c r="I216" s="151" t="e">
        <f>VLOOKUP("irlanda",#REF!,4,FALSE)</f>
        <v>#REF!</v>
      </c>
      <c r="J216" s="150" t="e">
        <f>VLOOKUP("irlanda",#REF!,3,FALSE)/VLOOKUP("irlanda",#REF!,3,FALSE)-1</f>
        <v>#REF!</v>
      </c>
      <c r="K216" s="151" t="e">
        <f>VLOOKUP("irlanda",#REF!,3,FALSE)</f>
        <v>#REF!</v>
      </c>
      <c r="L216" s="150" t="e">
        <f>VLOOKUP("irlanda",#REF!,2,FALSE)/VLOOKUP("irlanda",#REF!,2,FALSE)-1</f>
        <v>#REF!</v>
      </c>
      <c r="M216" s="151" t="e">
        <f>VLOOKUP("irlanda",#REF!,2,FALSE)</f>
        <v>#REF!</v>
      </c>
      <c r="N216" s="150" t="e">
        <f>VLOOKUP("irlanda",#REF!,7,FALSE)/VLOOKUP("irlanda",#REF!,7,FALSE)-1</f>
        <v>#REF!</v>
      </c>
      <c r="O216" s="151" t="e">
        <f>VLOOKUP("irlanda",#REF!,7,FALSE)</f>
        <v>#REF!</v>
      </c>
      <c r="P216" s="150" t="e">
        <f>VLOOKUP("irlanda",#REF!,8,FALSE)/VLOOKUP("irlanda",#REF!,8,FALSE)-1</f>
        <v>#REF!</v>
      </c>
      <c r="Q216" s="151" t="e">
        <f>VLOOKUP("irlanda",#REF!,8,FALSE)</f>
        <v>#REF!</v>
      </c>
    </row>
    <row r="217" spans="3:17" ht="24" hidden="1" customHeight="1" x14ac:dyDescent="0.2">
      <c r="C217" s="149" t="s">
        <v>47</v>
      </c>
      <c r="D217" s="150" t="e">
        <f>VLOOKUP("italia",#REF!,6,FALSE)/VLOOKUP("italia",#REF!,6,FALSE)-1</f>
        <v>#REF!</v>
      </c>
      <c r="E217" s="151" t="e">
        <f>VLOOKUP("italia",#REF!,6,FALSE)</f>
        <v>#REF!</v>
      </c>
      <c r="F217" s="150" t="e">
        <f>VLOOKUP("italia",#REF!,5,FALSE)/VLOOKUP("italia",#REF!,5,FALSE)-1</f>
        <v>#REF!</v>
      </c>
      <c r="G217" s="151" t="e">
        <f>VLOOKUP("italia",#REF!,5,FALSE)</f>
        <v>#REF!</v>
      </c>
      <c r="H217" s="150" t="e">
        <f>VLOOKUP("italia",#REF!,4,FALSE)/VLOOKUP("italia",#REF!,4,FALSE)-1</f>
        <v>#REF!</v>
      </c>
      <c r="I217" s="151" t="e">
        <f>VLOOKUP("italia",#REF!,4,FALSE)</f>
        <v>#REF!</v>
      </c>
      <c r="J217" s="150" t="e">
        <f>VLOOKUP("italia",#REF!,3,FALSE)/VLOOKUP("italia",#REF!,3,FALSE)-1</f>
        <v>#REF!</v>
      </c>
      <c r="K217" s="151" t="e">
        <f>VLOOKUP("italia",#REF!,3,FALSE)</f>
        <v>#REF!</v>
      </c>
      <c r="L217" s="150" t="e">
        <f>VLOOKUP("italia",#REF!,2,FALSE)/VLOOKUP("italia",#REF!,2,FALSE)-1</f>
        <v>#REF!</v>
      </c>
      <c r="M217" s="151" t="e">
        <f>VLOOKUP("italia",#REF!,2,FALSE)</f>
        <v>#REF!</v>
      </c>
      <c r="N217" s="150" t="e">
        <f>VLOOKUP("italia",#REF!,7,FALSE)/VLOOKUP("italia",#REF!,7,FALSE)-1</f>
        <v>#REF!</v>
      </c>
      <c r="O217" s="151" t="e">
        <f>VLOOKUP("italia",#REF!,7,FALSE)</f>
        <v>#REF!</v>
      </c>
      <c r="P217" s="150" t="e">
        <f>VLOOKUP("italia",#REF!,8,FALSE)/VLOOKUP("italia",#REF!,8,FALSE)-1</f>
        <v>#REF!</v>
      </c>
      <c r="Q217" s="151" t="e">
        <f>VLOOKUP("italia",#REF!,8,FALSE)</f>
        <v>#REF!</v>
      </c>
    </row>
    <row r="218" spans="3:17" ht="24" hidden="1" customHeight="1" x14ac:dyDescent="0.2">
      <c r="C218" s="149" t="s">
        <v>48</v>
      </c>
      <c r="D218" s="150" t="e">
        <f>(VLOOKUP("suecia",#REF!,6,FALSE)+VLOOKUP("noruega",#REF!,6,FALSE)+VLOOKUP("dinamarca",#REF!,6,FALSE)+VLOOKUP("finlandia",#REF!,6,FALSE))/(VLOOKUP("suecia",#REF!,6,FALSE)+VLOOKUP("noruega",#REF!,6,FALSE)+VLOOKUP("dinamarca",#REF!,6,FALSE)+VLOOKUP("finlandia",#REF!,6,FALSE))-1</f>
        <v>#REF!</v>
      </c>
      <c r="E218" s="151" t="e">
        <f>(VLOOKUP("suecia",#REF!,6,FALSE)+VLOOKUP("noruega",#REF!,6,FALSE)+VLOOKUP("dinamarca",#REF!,6,FALSE)+VLOOKUP("finlandia",#REF!,6,FALSE))</f>
        <v>#REF!</v>
      </c>
      <c r="F218" s="150" t="e">
        <f>(VLOOKUP("suecia",#REF!,5,FALSE)+VLOOKUP("noruega",#REF!,5,FALSE)+VLOOKUP("dinamarca",#REF!,5,FALSE)+VLOOKUP("finlandia",#REF!,5,FALSE))/(VLOOKUP("suecia",#REF!,5,FALSE)+VLOOKUP("noruega",#REF!,5,FALSE)+VLOOKUP("dinamarca",#REF!,5,FALSE)+VLOOKUP("finlandia",#REF!,5,FALSE))-1</f>
        <v>#REF!</v>
      </c>
      <c r="G218" s="151" t="e">
        <f>(VLOOKUP("suecia",#REF!,5,FALSE)+VLOOKUP("noruega",#REF!,5,FALSE)+VLOOKUP("dinamarca",#REF!,5,FALSE)+VLOOKUP("finlandia",#REF!,5,FALSE))</f>
        <v>#REF!</v>
      </c>
      <c r="H218" s="150" t="e">
        <f>(VLOOKUP("suecia",#REF!,4,FALSE)+VLOOKUP("noruega",#REF!,4,FALSE)+VLOOKUP("dinamarca",#REF!,4,FALSE)+VLOOKUP("finlandia",#REF!,4,FALSE))/(VLOOKUP("suecia",#REF!,4,FALSE)+VLOOKUP("noruega",#REF!,4,FALSE)+VLOOKUP("dinamarca",#REF!,4,FALSE)+VLOOKUP("finlandia",#REF!,4,FALSE))-1</f>
        <v>#REF!</v>
      </c>
      <c r="I218" s="151" t="e">
        <f>(VLOOKUP("suecia",#REF!,4,FALSE)+VLOOKUP("noruega",#REF!,4,FALSE)+VLOOKUP("dinamarca",#REF!,4,FALSE)+VLOOKUP("finlandia",#REF!,4,FALSE))</f>
        <v>#REF!</v>
      </c>
      <c r="J218" s="150" t="e">
        <f>(VLOOKUP("suecia",#REF!,3,FALSE)+VLOOKUP("noruega",#REF!,3,FALSE)+VLOOKUP("dinamarca",#REF!,3,FALSE)+VLOOKUP("finlandia",#REF!,3,FALSE))/(VLOOKUP("suecia",#REF!,3,FALSE)+VLOOKUP("noruega",#REF!,3,FALSE)+VLOOKUP("dinamarca",#REF!,3,FALSE)+VLOOKUP("finlandia",#REF!,3,FALSE))-1</f>
        <v>#REF!</v>
      </c>
      <c r="K218" s="151" t="e">
        <f>(VLOOKUP("suecia",#REF!,3,FALSE)+VLOOKUP("noruega",#REF!,3,FALSE)+VLOOKUP("dinamarca",#REF!,3,FALSE)+VLOOKUP("finlandia",#REF!,3,FALSE))</f>
        <v>#REF!</v>
      </c>
      <c r="L218" s="150" t="e">
        <f>(VLOOKUP("suecia",#REF!,2,FALSE)+VLOOKUP("noruega",#REF!,2,FALSE)+VLOOKUP("dinamarca",#REF!,2,FALSE)+VLOOKUP("finlandia",#REF!,2,FALSE))/(VLOOKUP("suecia",#REF!,2,FALSE)+VLOOKUP("noruega",#REF!,2,FALSE)+VLOOKUP("dinamarca",#REF!,2,FALSE)+VLOOKUP("finlandia",#REF!,2,FALSE))-1</f>
        <v>#REF!</v>
      </c>
      <c r="M218" s="151" t="e">
        <f>(VLOOKUP("suecia",#REF!,2,FALSE)+VLOOKUP("noruega",#REF!,2,FALSE)+VLOOKUP("dinamarca",#REF!,2,FALSE)+VLOOKUP("finlandia",#REF!,2,FALSE))</f>
        <v>#REF!</v>
      </c>
      <c r="N218" s="150" t="e">
        <f>(VLOOKUP("suecia",#REF!,7,FALSE)+VLOOKUP("noruega",#REF!,7,FALSE)+VLOOKUP("dinamarca",#REF!,7,FALSE)+VLOOKUP("finlandia",#REF!,7,FALSE))/(VLOOKUP("suecia",#REF!,7,FALSE)+VLOOKUP("noruega",#REF!,7,FALSE)+VLOOKUP("dinamarca",#REF!,7,FALSE)+VLOOKUP("finlandia",#REF!,7,FALSE))-1</f>
        <v>#REF!</v>
      </c>
      <c r="O218" s="151" t="e">
        <f>(VLOOKUP("suecia",#REF!,7,FALSE)+VLOOKUP("noruega",#REF!,7,FALSE)+VLOOKUP("dinamarca",#REF!,7,FALSE)+VLOOKUP("finlandia",#REF!,7,FALSE))</f>
        <v>#REF!</v>
      </c>
      <c r="P218" s="150" t="e">
        <f>(VLOOKUP("suecia",#REF!,8,FALSE)+VLOOKUP("noruega",#REF!,8,FALSE)+VLOOKUP("dinamarca",#REF!,8,FALSE)+VLOOKUP("finlandia",#REF!,8,FALSE))/(VLOOKUP("suecia",#REF!,8,FALSE)+VLOOKUP("noruega",#REF!,8,FALSE)+VLOOKUP("dinamarca",#REF!,8,FALSE)+VLOOKUP("finlandia",#REF!,8,FALSE))-1</f>
        <v>#REF!</v>
      </c>
      <c r="Q218" s="151" t="e">
        <f>(VLOOKUP("suecia",#REF!,8,FALSE)+VLOOKUP("noruega",#REF!,8,FALSE)+VLOOKUP("dinamarca",#REF!,8,FALSE)+VLOOKUP("finlandia",#REF!,8,FALSE))</f>
        <v>#REF!</v>
      </c>
    </row>
    <row r="219" spans="3:17" ht="24" hidden="1" customHeight="1" x14ac:dyDescent="0.2">
      <c r="C219" s="152" t="s">
        <v>49</v>
      </c>
      <c r="D219" s="150" t="e">
        <f>VLOOKUP("suecia",#REF!,6,FALSE)/VLOOKUP("suecia",#REF!,6,FALSE)-1</f>
        <v>#REF!</v>
      </c>
      <c r="E219" s="151" t="e">
        <f>VLOOKUP("suecia",#REF!,6,FALSE)</f>
        <v>#REF!</v>
      </c>
      <c r="F219" s="150" t="e">
        <f>VLOOKUP("suecia",#REF!,5,FALSE)/VLOOKUP("suecia",#REF!,5,FALSE)-1</f>
        <v>#REF!</v>
      </c>
      <c r="G219" s="151" t="e">
        <f>VLOOKUP("suecia",#REF!,5,FALSE)</f>
        <v>#REF!</v>
      </c>
      <c r="H219" s="150" t="e">
        <f>VLOOKUP("suecia",#REF!,4,FALSE)/VLOOKUP("suecia",#REF!,4,FALSE)-1</f>
        <v>#REF!</v>
      </c>
      <c r="I219" s="151" t="e">
        <f>VLOOKUP("suecia",#REF!,4,FALSE)</f>
        <v>#REF!</v>
      </c>
      <c r="J219" s="150" t="e">
        <f>VLOOKUP("suecia",#REF!,3,FALSE)/VLOOKUP("suecia",#REF!,3,FALSE)-1</f>
        <v>#REF!</v>
      </c>
      <c r="K219" s="151" t="e">
        <f>VLOOKUP("suecia",#REF!,3,FALSE)</f>
        <v>#REF!</v>
      </c>
      <c r="L219" s="150" t="e">
        <f>VLOOKUP("suecia",#REF!,2,FALSE)/VLOOKUP("suecia",#REF!,2,FALSE)-1</f>
        <v>#REF!</v>
      </c>
      <c r="M219" s="151" t="e">
        <f>VLOOKUP("suecia",#REF!,2,FALSE)</f>
        <v>#REF!</v>
      </c>
      <c r="N219" s="150" t="e">
        <f>VLOOKUP("suecia",#REF!,7,FALSE)/VLOOKUP("suecia",#REF!,7,FALSE)-1</f>
        <v>#REF!</v>
      </c>
      <c r="O219" s="151" t="e">
        <f>VLOOKUP("suecia",#REF!,7,FALSE)</f>
        <v>#REF!</v>
      </c>
      <c r="P219" s="150" t="e">
        <f>VLOOKUP("suecia",#REF!,8,FALSE)/VLOOKUP("suecia",#REF!,8,FALSE)-1</f>
        <v>#REF!</v>
      </c>
      <c r="Q219" s="151" t="e">
        <f>VLOOKUP("suecia",#REF!,8,FALSE)</f>
        <v>#REF!</v>
      </c>
    </row>
    <row r="220" spans="3:17" ht="24" hidden="1" customHeight="1" x14ac:dyDescent="0.2">
      <c r="C220" s="152" t="s">
        <v>50</v>
      </c>
      <c r="D220" s="150" t="e">
        <f>VLOOKUP("noruega",#REF!,6,FALSE)/VLOOKUP("noruega",#REF!,6,FALSE)-1</f>
        <v>#REF!</v>
      </c>
      <c r="E220" s="151" t="e">
        <f>VLOOKUP("noruega",#REF!,6,FALSE)</f>
        <v>#REF!</v>
      </c>
      <c r="F220" s="150" t="e">
        <f>VLOOKUP("noruega",#REF!,5,FALSE)/VLOOKUP("noruega",#REF!,5,FALSE)-1</f>
        <v>#REF!</v>
      </c>
      <c r="G220" s="151" t="e">
        <f>VLOOKUP("noruega",#REF!,5,FALSE)</f>
        <v>#REF!</v>
      </c>
      <c r="H220" s="150" t="e">
        <f>VLOOKUP("noruega",#REF!,4,FALSE)/VLOOKUP("noruega",#REF!,4,FALSE)-1</f>
        <v>#REF!</v>
      </c>
      <c r="I220" s="151" t="e">
        <f>VLOOKUP("noruega",#REF!,4,FALSE)</f>
        <v>#REF!</v>
      </c>
      <c r="J220" s="150" t="e">
        <f>VLOOKUP("noruega",#REF!,3,FALSE)/VLOOKUP("noruega",#REF!,3,FALSE)-1</f>
        <v>#REF!</v>
      </c>
      <c r="K220" s="151" t="e">
        <f>VLOOKUP("noruega",#REF!,3,FALSE)</f>
        <v>#REF!</v>
      </c>
      <c r="L220" s="150" t="e">
        <f>VLOOKUP("noruega",#REF!,2,FALSE)/VLOOKUP("noruega",#REF!,2,FALSE)-1</f>
        <v>#REF!</v>
      </c>
      <c r="M220" s="151" t="e">
        <f>VLOOKUP("noruega",#REF!,2,FALSE)</f>
        <v>#REF!</v>
      </c>
      <c r="N220" s="150" t="e">
        <f>VLOOKUP("noruega",#REF!,7,FALSE)/VLOOKUP("noruega",#REF!,7,FALSE)-1</f>
        <v>#REF!</v>
      </c>
      <c r="O220" s="151" t="e">
        <f>VLOOKUP("noruega",#REF!,7,FALSE)</f>
        <v>#REF!</v>
      </c>
      <c r="P220" s="150" t="e">
        <f>VLOOKUP("noruega",#REF!,8,FALSE)/VLOOKUP("noruega",#REF!,8,FALSE)-1</f>
        <v>#REF!</v>
      </c>
      <c r="Q220" s="151" t="e">
        <f>VLOOKUP("noruega",#REF!,8,FALSE)</f>
        <v>#REF!</v>
      </c>
    </row>
    <row r="221" spans="3:17" ht="24" hidden="1" customHeight="1" x14ac:dyDescent="0.2">
      <c r="C221" s="152" t="s">
        <v>51</v>
      </c>
      <c r="D221" s="150" t="e">
        <f>VLOOKUP("dinamarca",#REF!,6,FALSE)/VLOOKUP("dinamarca",#REF!,6,FALSE)-1</f>
        <v>#REF!</v>
      </c>
      <c r="E221" s="151" t="e">
        <f>VLOOKUP("dinamarca",#REF!,6,FALSE)</f>
        <v>#REF!</v>
      </c>
      <c r="F221" s="150" t="e">
        <f>VLOOKUP("dinamarca",#REF!,5,FALSE)/VLOOKUP("dinamarca",#REF!,5,FALSE)-1</f>
        <v>#REF!</v>
      </c>
      <c r="G221" s="151" t="e">
        <f>VLOOKUP("dinamarca",#REF!,5,FALSE)</f>
        <v>#REF!</v>
      </c>
      <c r="H221" s="150" t="e">
        <f>VLOOKUP("dinamarca",#REF!,4,FALSE)/VLOOKUP("dinamarca",#REF!,4,FALSE)-1</f>
        <v>#REF!</v>
      </c>
      <c r="I221" s="151" t="e">
        <f>VLOOKUP("dinamarca",#REF!,4,FALSE)</f>
        <v>#REF!</v>
      </c>
      <c r="J221" s="150" t="e">
        <f>VLOOKUP("dinamarca",#REF!,3,FALSE)/VLOOKUP("dinamarca",#REF!,3,FALSE)-1</f>
        <v>#REF!</v>
      </c>
      <c r="K221" s="151" t="e">
        <f>VLOOKUP("dinamarca",#REF!,3,FALSE)</f>
        <v>#REF!</v>
      </c>
      <c r="L221" s="150" t="e">
        <f>VLOOKUP("dinamarca",#REF!,2,FALSE)/VLOOKUP("dinamarca",#REF!,2,FALSE)-1</f>
        <v>#REF!</v>
      </c>
      <c r="M221" s="151" t="e">
        <f>VLOOKUP("dinamarca",#REF!,2,FALSE)</f>
        <v>#REF!</v>
      </c>
      <c r="N221" s="150" t="e">
        <f>VLOOKUP("dinamarca",#REF!,7,FALSE)/VLOOKUP("dinamarca",#REF!,7,FALSE)-1</f>
        <v>#REF!</v>
      </c>
      <c r="O221" s="151" t="e">
        <f>VLOOKUP("dinamarca",#REF!,7,FALSE)</f>
        <v>#REF!</v>
      </c>
      <c r="P221" s="150" t="e">
        <f>VLOOKUP("dinamarca",#REF!,8,FALSE)/VLOOKUP("dinamarca",#REF!,8,FALSE)-1</f>
        <v>#REF!</v>
      </c>
      <c r="Q221" s="151" t="e">
        <f>VLOOKUP("dinamarca",#REF!,8,FALSE)</f>
        <v>#REF!</v>
      </c>
    </row>
    <row r="222" spans="3:17" ht="24" hidden="1" customHeight="1" x14ac:dyDescent="0.2">
      <c r="C222" s="152" t="s">
        <v>52</v>
      </c>
      <c r="D222" s="150" t="s">
        <v>38</v>
      </c>
      <c r="E222" s="151" t="e">
        <f>VLOOKUP("finlandia",#REF!,6,FALSE)</f>
        <v>#REF!</v>
      </c>
      <c r="F222" s="150" t="e">
        <f>VLOOKUP("finlandia",#REF!,5,FALSE)/VLOOKUP("finlandia",#REF!,5,FALSE)-1</f>
        <v>#REF!</v>
      </c>
      <c r="G222" s="151" t="e">
        <f>VLOOKUP("finlandia",#REF!,5,FALSE)</f>
        <v>#REF!</v>
      </c>
      <c r="H222" s="150" t="e">
        <f>VLOOKUP("finlandia",#REF!,4,FALSE)/VLOOKUP("finlandia",#REF!,4,FALSE)-1</f>
        <v>#REF!</v>
      </c>
      <c r="I222" s="151" t="e">
        <f>VLOOKUP("finlandia",#REF!,4,FALSE)</f>
        <v>#REF!</v>
      </c>
      <c r="J222" s="150" t="e">
        <f>VLOOKUP("finlandia",#REF!,3,FALSE)/VLOOKUP("finlandia",#REF!,3,FALSE)-1</f>
        <v>#REF!</v>
      </c>
      <c r="K222" s="151" t="e">
        <f>VLOOKUP("finlandia",#REF!,3,FALSE)</f>
        <v>#REF!</v>
      </c>
      <c r="L222" s="150" t="s">
        <v>38</v>
      </c>
      <c r="M222" s="151" t="e">
        <f>VLOOKUP("finlandia",#REF!,2,FALSE)</f>
        <v>#REF!</v>
      </c>
      <c r="N222" s="150" t="e">
        <f>VLOOKUP("finlandia",#REF!,7,FALSE)/VLOOKUP("finlandia",#REF!,7,FALSE)-1</f>
        <v>#REF!</v>
      </c>
      <c r="O222" s="151" t="e">
        <f>VLOOKUP("finlandia",#REF!,7,FALSE)</f>
        <v>#REF!</v>
      </c>
      <c r="P222" s="150" t="e">
        <f>VLOOKUP("finlandia",#REF!,8,FALSE)/VLOOKUP("finlandia",#REF!,8,FALSE)-1</f>
        <v>#REF!</v>
      </c>
      <c r="Q222" s="151" t="e">
        <f>VLOOKUP("finlandia",#REF!,8,FALSE)</f>
        <v>#REF!</v>
      </c>
    </row>
    <row r="223" spans="3:17" ht="24" hidden="1" customHeight="1" x14ac:dyDescent="0.2">
      <c r="C223" s="149" t="s">
        <v>53</v>
      </c>
      <c r="D223" s="150" t="e">
        <f>VLOOKUP("suiza",#REF!,6,FALSE)/VLOOKUP("suiza",#REF!,6,FALSE)-1</f>
        <v>#REF!</v>
      </c>
      <c r="E223" s="151" t="e">
        <f>VLOOKUP("suiza",#REF!,6,FALSE)</f>
        <v>#REF!</v>
      </c>
      <c r="F223" s="150" t="e">
        <f>VLOOKUP("suiza",#REF!,5,FALSE)/VLOOKUP("suiza",#REF!,5,FALSE)-1</f>
        <v>#REF!</v>
      </c>
      <c r="G223" s="151" t="e">
        <f>VLOOKUP("suiza",#REF!,5,FALSE)</f>
        <v>#REF!</v>
      </c>
      <c r="H223" s="150" t="e">
        <f>VLOOKUP("suiza",#REF!,4,FALSE)/VLOOKUP("suiza",#REF!,4,FALSE)-1</f>
        <v>#REF!</v>
      </c>
      <c r="I223" s="151" t="e">
        <f>VLOOKUP("suiza",#REF!,4,FALSE)</f>
        <v>#REF!</v>
      </c>
      <c r="J223" s="150" t="e">
        <f>VLOOKUP("suiza",#REF!,3,FALSE)/VLOOKUP("suiza",#REF!,3,FALSE)-1</f>
        <v>#REF!</v>
      </c>
      <c r="K223" s="151" t="e">
        <f>VLOOKUP("suiza",#REF!,3,FALSE)</f>
        <v>#REF!</v>
      </c>
      <c r="L223" s="150" t="e">
        <f>VLOOKUP("suiza",#REF!,2,FALSE)/VLOOKUP("suiza",#REF!,2,FALSE)-1</f>
        <v>#REF!</v>
      </c>
      <c r="M223" s="151" t="e">
        <f>VLOOKUP("suiza",#REF!,2,FALSE)</f>
        <v>#REF!</v>
      </c>
      <c r="N223" s="150" t="e">
        <f>VLOOKUP("suiza",#REF!,7,FALSE)/VLOOKUP("suiza",#REF!,7,FALSE)-1</f>
        <v>#REF!</v>
      </c>
      <c r="O223" s="151" t="e">
        <f>VLOOKUP("suiza",#REF!,7,FALSE)</f>
        <v>#REF!</v>
      </c>
      <c r="P223" s="150" t="e">
        <f>VLOOKUP("suiza",#REF!,8,FALSE)/VLOOKUP("suiza",#REF!,8,FALSE)-1</f>
        <v>#REF!</v>
      </c>
      <c r="Q223" s="151" t="e">
        <f>VLOOKUP("suiza",#REF!,8,FALSE)</f>
        <v>#REF!</v>
      </c>
    </row>
    <row r="224" spans="3:17" ht="24" hidden="1" customHeight="1" x14ac:dyDescent="0.2">
      <c r="C224" s="149" t="s">
        <v>54</v>
      </c>
      <c r="D224" s="150" t="e">
        <f>VLOOKUP("austria",#REF!,6,FALSE)/VLOOKUP("austria",#REF!,6,FALSE)-1</f>
        <v>#REF!</v>
      </c>
      <c r="E224" s="151" t="e">
        <f>VLOOKUP("austria",#REF!,6,FALSE)</f>
        <v>#REF!</v>
      </c>
      <c r="F224" s="150" t="e">
        <f>VLOOKUP("austria",#REF!,5,FALSE)/VLOOKUP("austria",#REF!,5,FALSE)-1</f>
        <v>#REF!</v>
      </c>
      <c r="G224" s="151" t="e">
        <f>VLOOKUP("austria",#REF!,5,FALSE)</f>
        <v>#REF!</v>
      </c>
      <c r="H224" s="150" t="e">
        <f>VLOOKUP("austria",#REF!,4,FALSE)/VLOOKUP("austria",#REF!,4,FALSE)-1</f>
        <v>#REF!</v>
      </c>
      <c r="I224" s="151" t="e">
        <f>VLOOKUP("austria",#REF!,4,FALSE)</f>
        <v>#REF!</v>
      </c>
      <c r="J224" s="150" t="e">
        <f>VLOOKUP("austria",#REF!,3,FALSE)/VLOOKUP("austria",#REF!,3,FALSE)-1</f>
        <v>#REF!</v>
      </c>
      <c r="K224" s="151" t="e">
        <f>VLOOKUP("austria",#REF!,3,FALSE)</f>
        <v>#REF!</v>
      </c>
      <c r="L224" s="150" t="e">
        <f>VLOOKUP("austria",#REF!,2,FALSE)/VLOOKUP("austria",#REF!,2,FALSE)-1</f>
        <v>#REF!</v>
      </c>
      <c r="M224" s="151" t="e">
        <f>VLOOKUP("austria",#REF!,2,FALSE)</f>
        <v>#REF!</v>
      </c>
      <c r="N224" s="150" t="e">
        <f>VLOOKUP("austria",#REF!,7,FALSE)/VLOOKUP("austria",#REF!,7,FALSE)-1</f>
        <v>#REF!</v>
      </c>
      <c r="O224" s="151" t="e">
        <f>VLOOKUP("austria",#REF!,7,FALSE)</f>
        <v>#REF!</v>
      </c>
      <c r="P224" s="150" t="e">
        <f>VLOOKUP("austria",#REF!,8,FALSE)/VLOOKUP("austria",#REF!,8,FALSE)-1</f>
        <v>#REF!</v>
      </c>
      <c r="Q224" s="151" t="e">
        <f>VLOOKUP("austria",#REF!,8,FALSE)</f>
        <v>#REF!</v>
      </c>
    </row>
    <row r="225" spans="3:17" ht="24" hidden="1" customHeight="1" x14ac:dyDescent="0.2">
      <c r="C225" s="149" t="s">
        <v>55</v>
      </c>
      <c r="D225" s="150" t="e">
        <f>VLOOKUP("rusia",#REF!,6,FALSE)/VLOOKUP("rusia",#REF!,6,FALSE)-1</f>
        <v>#REF!</v>
      </c>
      <c r="E225" s="151" t="e">
        <f>VLOOKUP("rusia",#REF!,6,FALSE)</f>
        <v>#REF!</v>
      </c>
      <c r="F225" s="150" t="e">
        <f>VLOOKUP("rusia",#REF!,5,FALSE)/VLOOKUP("rusia",#REF!,5,FALSE)-1</f>
        <v>#REF!</v>
      </c>
      <c r="G225" s="151" t="e">
        <f>VLOOKUP("rusia",#REF!,5,FALSE)</f>
        <v>#REF!</v>
      </c>
      <c r="H225" s="150" t="e">
        <f>VLOOKUP("rusia",#REF!,4,FALSE)/VLOOKUP("rusia",#REF!,4,FALSE)-1</f>
        <v>#REF!</v>
      </c>
      <c r="I225" s="151" t="e">
        <f>VLOOKUP("rusia",#REF!,4,FALSE)</f>
        <v>#REF!</v>
      </c>
      <c r="J225" s="150" t="e">
        <f>VLOOKUP("rusia",#REF!,3,FALSE)/VLOOKUP("rusia",#REF!,3,FALSE)-1</f>
        <v>#REF!</v>
      </c>
      <c r="K225" s="151" t="e">
        <f>VLOOKUP("rusia",#REF!,3,FALSE)</f>
        <v>#REF!</v>
      </c>
      <c r="L225" s="150" t="e">
        <f>VLOOKUP("rusia",#REF!,2,FALSE)/VLOOKUP("rusia",#REF!,2,FALSE)-1</f>
        <v>#REF!</v>
      </c>
      <c r="M225" s="151" t="e">
        <f>VLOOKUP("rusia",#REF!,2,FALSE)</f>
        <v>#REF!</v>
      </c>
      <c r="N225" s="150" t="e">
        <f>VLOOKUP("rusia",#REF!,7,FALSE)/VLOOKUP("rusia",#REF!,7,FALSE)-1</f>
        <v>#REF!</v>
      </c>
      <c r="O225" s="151" t="e">
        <f>VLOOKUP("rusia",#REF!,7,FALSE)</f>
        <v>#REF!</v>
      </c>
      <c r="P225" s="150" t="e">
        <f>VLOOKUP("rusia",#REF!,8,FALSE)/VLOOKUP("rusia",#REF!,8,FALSE)-1</f>
        <v>#REF!</v>
      </c>
      <c r="Q225" s="151" t="e">
        <f>VLOOKUP("rusia",#REF!,8,FALSE)</f>
        <v>#REF!</v>
      </c>
    </row>
    <row r="226" spans="3:17" ht="24" hidden="1" customHeight="1" x14ac:dyDescent="0.2">
      <c r="C226" s="149" t="s">
        <v>56</v>
      </c>
      <c r="D226" s="150" t="e">
        <f>VLOOKUP("paises del este",#REF!,6,FALSE)/VLOOKUP("paises del este",#REF!,6,FALSE)-1</f>
        <v>#REF!</v>
      </c>
      <c r="E226" s="151" t="e">
        <f>VLOOKUP("paises del este",#REF!,6,FALSE)</f>
        <v>#REF!</v>
      </c>
      <c r="F226" s="150" t="e">
        <f>VLOOKUP("paises del este",#REF!,5,FALSE)/VLOOKUP("paises del este",#REF!,5,FALSE)-1</f>
        <v>#REF!</v>
      </c>
      <c r="G226" s="151" t="e">
        <f>VLOOKUP("paises del este",#REF!,5,FALSE)</f>
        <v>#REF!</v>
      </c>
      <c r="H226" s="150" t="e">
        <f>VLOOKUP("paises del este",#REF!,4,FALSE)/VLOOKUP("paises del este",#REF!,4,FALSE)-1</f>
        <v>#REF!</v>
      </c>
      <c r="I226" s="151" t="e">
        <f>VLOOKUP("paises del este",#REF!,4,FALSE)</f>
        <v>#REF!</v>
      </c>
      <c r="J226" s="150" t="e">
        <f>VLOOKUP("paises del este",#REF!,3,FALSE)/VLOOKUP("paises del este",#REF!,3,FALSE)-1</f>
        <v>#REF!</v>
      </c>
      <c r="K226" s="151" t="e">
        <f>VLOOKUP("paises del este",#REF!,3,FALSE)</f>
        <v>#REF!</v>
      </c>
      <c r="L226" s="150" t="e">
        <f>VLOOKUP("paises del este",#REF!,2,FALSE)/VLOOKUP("paises del este",#REF!,2,FALSE)-1</f>
        <v>#REF!</v>
      </c>
      <c r="M226" s="151" t="e">
        <f>VLOOKUP("paises del este",#REF!,2,FALSE)</f>
        <v>#REF!</v>
      </c>
      <c r="N226" s="150" t="e">
        <f>VLOOKUP("paises del este",#REF!,7,FALSE)/VLOOKUP("paises del este",#REF!,7,FALSE)-1</f>
        <v>#REF!</v>
      </c>
      <c r="O226" s="151" t="e">
        <f>VLOOKUP("paises del este",#REF!,7,FALSE)</f>
        <v>#REF!</v>
      </c>
      <c r="P226" s="150" t="e">
        <f>VLOOKUP("paises del este",#REF!,8,FALSE)/VLOOKUP("paises del este",#REF!,8,FALSE)-1</f>
        <v>#REF!</v>
      </c>
      <c r="Q226" s="151" t="e">
        <f>VLOOKUP("paises del este",#REF!,8,FALSE)</f>
        <v>#REF!</v>
      </c>
    </row>
    <row r="227" spans="3:17" ht="24" hidden="1" customHeight="1" x14ac:dyDescent="0.2">
      <c r="C227" s="149" t="s">
        <v>57</v>
      </c>
      <c r="D227" s="150" t="e">
        <f>VLOOKUP("resto de europa",#REF!,6,FALSE)/VLOOKUP("resto de europa",#REF!,6,FALSE)-1</f>
        <v>#REF!</v>
      </c>
      <c r="E227" s="151" t="e">
        <f>VLOOKUP("resto de europa",#REF!,6,FALSE)</f>
        <v>#REF!</v>
      </c>
      <c r="F227" s="150" t="e">
        <f>VLOOKUP("resto de europa",#REF!,5,FALSE)/VLOOKUP("resto de europa",#REF!,5,FALSE)-1</f>
        <v>#REF!</v>
      </c>
      <c r="G227" s="151" t="e">
        <f>VLOOKUP("resto de europa",#REF!,5,FALSE)</f>
        <v>#REF!</v>
      </c>
      <c r="H227" s="150" t="e">
        <f>VLOOKUP("resto de europa",#REF!,4,FALSE)/VLOOKUP("resto de europa",#REF!,4,FALSE)-1</f>
        <v>#REF!</v>
      </c>
      <c r="I227" s="151" t="e">
        <f>VLOOKUP("resto de europa",#REF!,4,FALSE)</f>
        <v>#REF!</v>
      </c>
      <c r="J227" s="150" t="e">
        <f>VLOOKUP("resto de europa",#REF!,3,FALSE)/VLOOKUP("resto de europa",#REF!,3,FALSE)-1</f>
        <v>#REF!</v>
      </c>
      <c r="K227" s="151" t="e">
        <f>VLOOKUP("resto de europa",#REF!,3,FALSE)</f>
        <v>#REF!</v>
      </c>
      <c r="L227" s="150" t="e">
        <f>VLOOKUP("resto de europa",#REF!,2,FALSE)/VLOOKUP("resto de europa",#REF!,2,FALSE)-1</f>
        <v>#REF!</v>
      </c>
      <c r="M227" s="151" t="e">
        <f>VLOOKUP("resto de europa",#REF!,2,FALSE)</f>
        <v>#REF!</v>
      </c>
      <c r="N227" s="150" t="e">
        <f>VLOOKUP("resto de europa",#REF!,7,FALSE)/VLOOKUP("resto de europa",#REF!,7,FALSE)-1</f>
        <v>#REF!</v>
      </c>
      <c r="O227" s="151" t="e">
        <f>VLOOKUP("resto de europa",#REF!,7,FALSE)</f>
        <v>#REF!</v>
      </c>
      <c r="P227" s="150" t="e">
        <f>VLOOKUP("resto de europa",#REF!,8,FALSE)/VLOOKUP("resto de europa",#REF!,8,FALSE)-1</f>
        <v>#REF!</v>
      </c>
      <c r="Q227" s="151" t="e">
        <f>VLOOKUP("resto de europa",#REF!,8,FALSE)</f>
        <v>#REF!</v>
      </c>
    </row>
    <row r="228" spans="3:17" ht="24" hidden="1" customHeight="1" x14ac:dyDescent="0.2">
      <c r="C228" s="149" t="s">
        <v>58</v>
      </c>
      <c r="D228" s="150" t="e">
        <f>VLOOKUP("usa",#REF!,6,FALSE)/VLOOKUP("usa",#REF!,6,FALSE)-1</f>
        <v>#REF!</v>
      </c>
      <c r="E228" s="151" t="e">
        <f>VLOOKUP("usa",#REF!,6,FALSE)</f>
        <v>#REF!</v>
      </c>
      <c r="F228" s="150" t="e">
        <f>VLOOKUP("usa",#REF!,5,FALSE)/VLOOKUP("usa",#REF!,5,FALSE)-1</f>
        <v>#REF!</v>
      </c>
      <c r="G228" s="151" t="e">
        <f>VLOOKUP("usa",#REF!,5,FALSE)</f>
        <v>#REF!</v>
      </c>
      <c r="H228" s="150" t="e">
        <f>VLOOKUP("usa",#REF!,4,FALSE)/VLOOKUP("usa",#REF!,4,FALSE)-1</f>
        <v>#REF!</v>
      </c>
      <c r="I228" s="151" t="e">
        <f>VLOOKUP("usa",#REF!,4,FALSE)</f>
        <v>#REF!</v>
      </c>
      <c r="J228" s="150" t="e">
        <f>VLOOKUP("usa",#REF!,3,FALSE)/VLOOKUP("usa",#REF!,3,FALSE)-1</f>
        <v>#REF!</v>
      </c>
      <c r="K228" s="151" t="e">
        <f>VLOOKUP("usa",#REF!,3,FALSE)</f>
        <v>#REF!</v>
      </c>
      <c r="L228" s="150" t="e">
        <f>VLOOKUP("usa",#REF!,2,FALSE)/VLOOKUP("usa",#REF!,2,FALSE)-1</f>
        <v>#REF!</v>
      </c>
      <c r="M228" s="151" t="e">
        <f>VLOOKUP("usa",#REF!,2,FALSE)</f>
        <v>#REF!</v>
      </c>
      <c r="N228" s="150" t="e">
        <f>VLOOKUP("usa",#REF!,7,FALSE)/VLOOKUP("usa",#REF!,7,FALSE)-1</f>
        <v>#REF!</v>
      </c>
      <c r="O228" s="151" t="e">
        <f>VLOOKUP("usa",#REF!,7,FALSE)</f>
        <v>#REF!</v>
      </c>
      <c r="P228" s="150" t="e">
        <f>VLOOKUP("usa",#REF!,8,FALSE)/VLOOKUP("usa",#REF!,8,FALSE)-1</f>
        <v>#REF!</v>
      </c>
      <c r="Q228" s="151" t="e">
        <f>VLOOKUP("usa",#REF!,8,FALSE)</f>
        <v>#REF!</v>
      </c>
    </row>
    <row r="229" spans="3:17" ht="24" hidden="1" customHeight="1" x14ac:dyDescent="0.2">
      <c r="C229" s="149" t="s">
        <v>59</v>
      </c>
      <c r="D229" s="150" t="e">
        <f>VLOOKUP("resto de america",#REF!,6,FALSE)/VLOOKUP("resto de america",#REF!,6,FALSE)-1</f>
        <v>#REF!</v>
      </c>
      <c r="E229" s="151" t="e">
        <f>VLOOKUP("resto de america",#REF!,6,FALSE)</f>
        <v>#REF!</v>
      </c>
      <c r="F229" s="150" t="e">
        <f>VLOOKUP("resto de america",#REF!,5,FALSE)/VLOOKUP("resto de america",#REF!,5,FALSE)-1</f>
        <v>#REF!</v>
      </c>
      <c r="G229" s="151" t="e">
        <f>VLOOKUP("resto de america",#REF!,5,FALSE)</f>
        <v>#REF!</v>
      </c>
      <c r="H229" s="150" t="e">
        <f>VLOOKUP("resto de america",#REF!,4,FALSE)/VLOOKUP("resto de america",#REF!,4,FALSE)-1</f>
        <v>#REF!</v>
      </c>
      <c r="I229" s="151" t="e">
        <f>VLOOKUP("resto de america",#REF!,4,FALSE)</f>
        <v>#REF!</v>
      </c>
      <c r="J229" s="150" t="e">
        <f>VLOOKUP("resto de america",#REF!,3,FALSE)/VLOOKUP("resto de america",#REF!,3,FALSE)-1</f>
        <v>#REF!</v>
      </c>
      <c r="K229" s="151" t="e">
        <f>VLOOKUP("resto de america",#REF!,3,FALSE)</f>
        <v>#REF!</v>
      </c>
      <c r="L229" s="150" t="e">
        <f>VLOOKUP("resto de america",#REF!,2,FALSE)/VLOOKUP("resto de america",#REF!,2,FALSE)-1</f>
        <v>#REF!</v>
      </c>
      <c r="M229" s="151" t="e">
        <f>VLOOKUP("resto de america",#REF!,2,FALSE)</f>
        <v>#REF!</v>
      </c>
      <c r="N229" s="150" t="e">
        <f>VLOOKUP("resto de america",#REF!,7,FALSE)/VLOOKUP("resto de america",#REF!,7,FALSE)-1</f>
        <v>#REF!</v>
      </c>
      <c r="O229" s="151" t="e">
        <f>VLOOKUP("resto de america",#REF!,7,FALSE)</f>
        <v>#REF!</v>
      </c>
      <c r="P229" s="150" t="e">
        <f>VLOOKUP("resto de america",#REF!,8,FALSE)/VLOOKUP("resto de america",#REF!,8,FALSE)-1</f>
        <v>#REF!</v>
      </c>
      <c r="Q229" s="151" t="e">
        <f>VLOOKUP("resto de america",#REF!,8,FALSE)</f>
        <v>#REF!</v>
      </c>
    </row>
    <row r="230" spans="3:17" ht="24" hidden="1" customHeight="1" x14ac:dyDescent="0.2">
      <c r="C230" s="149" t="s">
        <v>60</v>
      </c>
      <c r="D230" s="150" t="e">
        <f>VLOOKUP("resto del mundo",#REF!,6,FALSE)/VLOOKUP("resto del mundo",#REF!,6,FALSE)-1</f>
        <v>#REF!</v>
      </c>
      <c r="E230" s="151" t="e">
        <f>VLOOKUP("resto del mundo",#REF!,6,FALSE)</f>
        <v>#REF!</v>
      </c>
      <c r="F230" s="150" t="e">
        <f>VLOOKUP("resto del mundo",#REF!,5,FALSE)/VLOOKUP("resto del mundo",#REF!,5,FALSE)-1</f>
        <v>#REF!</v>
      </c>
      <c r="G230" s="151" t="e">
        <f>VLOOKUP("resto del mundo",#REF!,5,FALSE)</f>
        <v>#REF!</v>
      </c>
      <c r="H230" s="150" t="e">
        <f>VLOOKUP("resto del mundo",#REF!,4,FALSE)/VLOOKUP("resto del mundo",#REF!,4,FALSE)-1</f>
        <v>#REF!</v>
      </c>
      <c r="I230" s="151" t="e">
        <f>VLOOKUP("resto del mundo",#REF!,4,FALSE)</f>
        <v>#REF!</v>
      </c>
      <c r="J230" s="150" t="e">
        <f>VLOOKUP("resto del mundo",#REF!,3,FALSE)/VLOOKUP("resto del mundo",#REF!,3,FALSE)-1</f>
        <v>#REF!</v>
      </c>
      <c r="K230" s="151" t="e">
        <f>VLOOKUP("resto del mundo",#REF!,3,FALSE)</f>
        <v>#REF!</v>
      </c>
      <c r="L230" s="150" t="e">
        <f>VLOOKUP("resto del mundo",#REF!,2,FALSE)/VLOOKUP("resto del mundo",#REF!,2,FALSE)-1</f>
        <v>#REF!</v>
      </c>
      <c r="M230" s="151" t="e">
        <f>VLOOKUP("resto del mundo",#REF!,2,FALSE)</f>
        <v>#REF!</v>
      </c>
      <c r="N230" s="150" t="e">
        <f>VLOOKUP("resto del mundo",#REF!,7,FALSE)/VLOOKUP("resto del mundo",#REF!,7,FALSE)-1</f>
        <v>#REF!</v>
      </c>
      <c r="O230" s="151" t="e">
        <f>VLOOKUP("resto del mundo",#REF!,7,FALSE)</f>
        <v>#REF!</v>
      </c>
      <c r="P230" s="150" t="e">
        <f>VLOOKUP("resto del mundo",#REF!,8,FALSE)/VLOOKUP("resto del mundo",#REF!,8,FALSE)-1</f>
        <v>#REF!</v>
      </c>
      <c r="Q230" s="151" t="e">
        <f>VLOOKUP("resto del mundo",#REF!,8,FALSE)</f>
        <v>#REF!</v>
      </c>
    </row>
    <row r="231" spans="3:17" ht="24" hidden="1" customHeight="1" x14ac:dyDescent="0.2">
      <c r="C231" s="149" t="s">
        <v>61</v>
      </c>
      <c r="D231" s="150" t="e">
        <f>(VLOOKUP("total",#REF!,6,FALSE)-VLOOKUP("españa",#REF!,6,FALSE))/(VLOOKUP("total",#REF!,6,FALSE)-VLOOKUP("españa",#REF!,6,FALSE))-1</f>
        <v>#REF!</v>
      </c>
      <c r="E231" s="151" t="e">
        <f>VLOOKUP("total",#REF!,6,FALSE)-VLOOKUP("españa",#REF!,6,FALSE)</f>
        <v>#REF!</v>
      </c>
      <c r="F231" s="150" t="e">
        <f>(VLOOKUP("total",#REF!,5,FALSE)-VLOOKUP("españa",#REF!,5,FALSE))/(VLOOKUP("total",#REF!,5,FALSE)-VLOOKUP("españa",#REF!,5,FALSE))-1</f>
        <v>#REF!</v>
      </c>
      <c r="G231" s="151" t="e">
        <f>VLOOKUP("total",#REF!,5,FALSE)-VLOOKUP("españa",#REF!,5,FALSE)</f>
        <v>#REF!</v>
      </c>
      <c r="H231" s="150" t="e">
        <f>(VLOOKUP("total",#REF!,4,FALSE)-VLOOKUP("españa",#REF!,4,FALSE))/(VLOOKUP("total",#REF!,4,FALSE)-VLOOKUP("españa",#REF!,4,FALSE))-1</f>
        <v>#REF!</v>
      </c>
      <c r="I231" s="151" t="e">
        <f>VLOOKUP("total",#REF!,4,FALSE)-VLOOKUP("españa",#REF!,4,FALSE)</f>
        <v>#REF!</v>
      </c>
      <c r="J231" s="150" t="e">
        <f>(VLOOKUP("total",#REF!,3,FALSE)-VLOOKUP("españa",#REF!,3,FALSE))/(VLOOKUP("total",#REF!,3,FALSE)-VLOOKUP("españa",#REF!,3,FALSE))-1</f>
        <v>#REF!</v>
      </c>
      <c r="K231" s="151" t="e">
        <f>VLOOKUP("total",#REF!,3,FALSE)-VLOOKUP("españa",#REF!,3,FALSE)</f>
        <v>#REF!</v>
      </c>
      <c r="L231" s="150" t="e">
        <f>(VLOOKUP("total",#REF!,2,FALSE)-VLOOKUP("españa",#REF!,2,FALSE))/(VLOOKUP("total",#REF!,2,FALSE)-VLOOKUP("españa",#REF!,2,FALSE))-1</f>
        <v>#REF!</v>
      </c>
      <c r="M231" s="151" t="e">
        <f>VLOOKUP("total",#REF!,2,FALSE)-VLOOKUP("españa",#REF!,2,FALSE)</f>
        <v>#REF!</v>
      </c>
      <c r="N231" s="150" t="e">
        <f>(VLOOKUP("total",#REF!,7,FALSE)-VLOOKUP("españa",#REF!,7,FALSE))/(VLOOKUP("total",#REF!,7,FALSE)-VLOOKUP("españa",#REF!,7,FALSE))-1</f>
        <v>#REF!</v>
      </c>
      <c r="O231" s="151" t="e">
        <f>VLOOKUP("total",#REF!,7,FALSE)-VLOOKUP("españa",#REF!,7,FALSE)</f>
        <v>#REF!</v>
      </c>
      <c r="P231" s="150" t="e">
        <f>(VLOOKUP("total",#REF!,8,FALSE)-VLOOKUP("españa",#REF!,8,FALSE))/(VLOOKUP("total",#REF!,8,FALSE)-VLOOKUP("españa",#REF!,8,FALSE))-1</f>
        <v>#REF!</v>
      </c>
      <c r="Q231" s="151" t="e">
        <f>VLOOKUP("total",#REF!,8,FALSE)-VLOOKUP("españa",#REF!,8,FALSE)</f>
        <v>#REF!</v>
      </c>
    </row>
    <row r="232" spans="3:17" ht="24" hidden="1" customHeight="1" x14ac:dyDescent="0.2">
      <c r="C232" s="149" t="s">
        <v>8</v>
      </c>
      <c r="D232" s="150" t="e">
        <f>VLOOKUP("total",#REF!,6,FALSE)/VLOOKUP("total",#REF!,6,FALSE)-1</f>
        <v>#REF!</v>
      </c>
      <c r="E232" s="151" t="e">
        <f>VLOOKUP("total",#REF!,6,FALSE)</f>
        <v>#REF!</v>
      </c>
      <c r="F232" s="150" t="e">
        <f>VLOOKUP("total",#REF!,5,FALSE)/VLOOKUP("total",#REF!,5,FALSE)-1</f>
        <v>#REF!</v>
      </c>
      <c r="G232" s="151" t="e">
        <f>VLOOKUP("total",#REF!,5,FALSE)</f>
        <v>#REF!</v>
      </c>
      <c r="H232" s="150" t="e">
        <f>VLOOKUP("total",#REF!,4,FALSE)/VLOOKUP("total",#REF!,4,FALSE)-1</f>
        <v>#REF!</v>
      </c>
      <c r="I232" s="151" t="e">
        <f>VLOOKUP("total",#REF!,4,FALSE)</f>
        <v>#REF!</v>
      </c>
      <c r="J232" s="150" t="e">
        <f>VLOOKUP("total",#REF!,3,FALSE)/VLOOKUP("total",#REF!,3,FALSE)-1</f>
        <v>#REF!</v>
      </c>
      <c r="K232" s="151" t="e">
        <f>VLOOKUP("total",#REF!,3,FALSE)</f>
        <v>#REF!</v>
      </c>
      <c r="L232" s="150" t="e">
        <f>VLOOKUP("total",#REF!,2,FALSE)/VLOOKUP("total",#REF!,2,FALSE)-1</f>
        <v>#REF!</v>
      </c>
      <c r="M232" s="151" t="e">
        <f>VLOOKUP("total",#REF!,2,FALSE)</f>
        <v>#REF!</v>
      </c>
      <c r="N232" s="150" t="e">
        <f>VLOOKUP("total",#REF!,7,FALSE)/VLOOKUP("total",#REF!,7,FALSE)-1</f>
        <v>#REF!</v>
      </c>
      <c r="O232" s="151" t="e">
        <f>VLOOKUP("total",#REF!,7,FALSE)</f>
        <v>#REF!</v>
      </c>
      <c r="P232" s="150" t="e">
        <f>VLOOKUP("total",#REF!,8,FALSE)/VLOOKUP("total",#REF!,8,FALSE)-1</f>
        <v>#REF!</v>
      </c>
      <c r="Q232" s="151" t="e">
        <f>VLOOKUP("total",#REF!,8,FALSE)</f>
        <v>#REF!</v>
      </c>
    </row>
    <row r="233" spans="3:17" ht="18" customHeight="1" thickBot="1" x14ac:dyDescent="0.25"/>
    <row r="234" spans="3:17" ht="50.25" customHeight="1" thickBot="1" x14ac:dyDescent="0.25">
      <c r="C234" s="1"/>
      <c r="D234" s="1"/>
      <c r="E234" s="280" t="str">
        <f>$E$1</f>
        <v>INDICADORES TURÍSTICOS DE TENERIFE definitivo</v>
      </c>
      <c r="F234" s="280"/>
      <c r="G234" s="280"/>
      <c r="H234" s="280"/>
      <c r="I234" s="280"/>
      <c r="J234" s="280"/>
      <c r="K234" s="280"/>
      <c r="L234" s="1"/>
      <c r="M234" s="1"/>
    </row>
    <row r="235" spans="3:17" ht="5.25" customHeight="1" thickBot="1" x14ac:dyDescent="0.25"/>
    <row r="236" spans="3:17" ht="28.5" customHeight="1" thickBot="1" x14ac:dyDescent="0.25">
      <c r="C236" s="281" t="s">
        <v>67</v>
      </c>
      <c r="D236" s="282"/>
      <c r="E236" s="282"/>
      <c r="F236" s="282"/>
      <c r="G236" s="282"/>
      <c r="H236" s="282"/>
      <c r="I236" s="282"/>
      <c r="J236" s="282"/>
      <c r="K236" s="282"/>
      <c r="L236" s="282"/>
      <c r="M236" s="283"/>
    </row>
    <row r="237" spans="3:17" ht="5.25" customHeight="1" thickBot="1" x14ac:dyDescent="0.25">
      <c r="C237" s="154"/>
      <c r="D237" s="155"/>
      <c r="E237" s="155"/>
      <c r="F237" s="155"/>
      <c r="G237" s="156"/>
      <c r="H237" s="156"/>
      <c r="I237" s="156"/>
      <c r="J237" s="155"/>
      <c r="K237" s="155"/>
      <c r="L237" s="155"/>
      <c r="M237" s="157"/>
    </row>
    <row r="238" spans="3:17" ht="32.25" customHeight="1" thickTop="1" thickBot="1" x14ac:dyDescent="0.25">
      <c r="C238" s="120"/>
      <c r="D238" s="328" t="s">
        <v>7</v>
      </c>
      <c r="E238" s="329"/>
      <c r="F238" s="328" t="s">
        <v>30</v>
      </c>
      <c r="G238" s="329"/>
      <c r="H238" s="328" t="s">
        <v>31</v>
      </c>
      <c r="I238" s="329"/>
      <c r="J238" s="328" t="s">
        <v>32</v>
      </c>
      <c r="K238" s="329"/>
      <c r="L238" s="328" t="s">
        <v>33</v>
      </c>
      <c r="M238" s="330"/>
    </row>
    <row r="239" spans="3:17" ht="31.5" customHeight="1" thickBot="1" x14ac:dyDescent="0.25">
      <c r="C239" s="121"/>
      <c r="D239" s="158" t="s">
        <v>68</v>
      </c>
      <c r="E239" s="159" t="s">
        <v>69</v>
      </c>
      <c r="F239" s="158" t="s">
        <v>68</v>
      </c>
      <c r="G239" s="159" t="s">
        <v>69</v>
      </c>
      <c r="H239" s="158" t="s">
        <v>68</v>
      </c>
      <c r="I239" s="159" t="s">
        <v>69</v>
      </c>
      <c r="J239" s="158" t="s">
        <v>68</v>
      </c>
      <c r="K239" s="159" t="s">
        <v>69</v>
      </c>
      <c r="L239" s="158" t="s">
        <v>68</v>
      </c>
      <c r="M239" s="160" t="s">
        <v>69</v>
      </c>
    </row>
    <row r="240" spans="3:17" ht="18.75" thickBot="1" x14ac:dyDescent="0.25">
      <c r="C240" s="124" t="s">
        <v>36</v>
      </c>
      <c r="D240" s="161">
        <v>0.17323689733910463</v>
      </c>
      <c r="E240" s="162">
        <v>0.16358347906031542</v>
      </c>
      <c r="F240" s="161">
        <v>0.67076697311062194</v>
      </c>
      <c r="G240" s="162">
        <v>0.64246771612519071</v>
      </c>
      <c r="H240" s="161">
        <v>0.4608463035019455</v>
      </c>
      <c r="I240" s="162">
        <v>0.46840659340659341</v>
      </c>
      <c r="J240" s="161">
        <v>0.35899689275289537</v>
      </c>
      <c r="K240" s="162">
        <v>0.34311488186073424</v>
      </c>
      <c r="L240" s="161">
        <v>9.2768878718535466E-2</v>
      </c>
      <c r="M240" s="163">
        <v>8.6305896898445006E-2</v>
      </c>
    </row>
    <row r="241" spans="3:13" ht="26.25" hidden="1" thickBot="1" x14ac:dyDescent="0.25">
      <c r="C241" s="164" t="s">
        <v>70</v>
      </c>
      <c r="D241" s="165">
        <v>4.647268147087337E-2</v>
      </c>
      <c r="E241" s="166">
        <v>4.0797969062977252E-2</v>
      </c>
      <c r="F241" s="165"/>
      <c r="G241" s="166"/>
      <c r="H241" s="165"/>
      <c r="I241" s="166"/>
      <c r="J241" s="165"/>
      <c r="K241" s="166"/>
      <c r="L241" s="165"/>
      <c r="M241" s="167"/>
    </row>
    <row r="242" spans="3:13" ht="26.25" hidden="1" thickBot="1" x14ac:dyDescent="0.25">
      <c r="C242" s="164" t="s">
        <v>39</v>
      </c>
      <c r="D242" s="165">
        <v>2.8505176254363565E-2</v>
      </c>
      <c r="E242" s="166">
        <v>2.281709873246399E-2</v>
      </c>
      <c r="F242" s="165"/>
      <c r="G242" s="166"/>
      <c r="H242" s="165"/>
      <c r="I242" s="166"/>
      <c r="J242" s="165"/>
      <c r="K242" s="166"/>
      <c r="L242" s="165"/>
      <c r="M242" s="167"/>
    </row>
    <row r="243" spans="3:13" ht="18.75" hidden="1" thickBot="1" x14ac:dyDescent="0.25">
      <c r="C243" s="164" t="s">
        <v>40</v>
      </c>
      <c r="D243" s="165">
        <v>9.8259039613867685E-2</v>
      </c>
      <c r="E243" s="166">
        <v>9.9968411264874171E-2</v>
      </c>
      <c r="F243" s="165"/>
      <c r="G243" s="166"/>
      <c r="H243" s="165"/>
      <c r="I243" s="166"/>
      <c r="J243" s="165"/>
      <c r="K243" s="166"/>
      <c r="L243" s="165"/>
      <c r="M243" s="167"/>
    </row>
    <row r="244" spans="3:13" ht="18.75" thickBot="1" x14ac:dyDescent="0.25">
      <c r="C244" s="168" t="s">
        <v>41</v>
      </c>
      <c r="D244" s="169">
        <v>2.7475801305460949E-2</v>
      </c>
      <c r="E244" s="170">
        <v>2.6928579900022457E-2</v>
      </c>
      <c r="F244" s="169">
        <v>8.114290646985196E-3</v>
      </c>
      <c r="G244" s="170">
        <v>8.6245394663391761E-3</v>
      </c>
      <c r="H244" s="169">
        <v>1.7023346303501944E-2</v>
      </c>
      <c r="I244" s="170">
        <v>1.9010989010989011E-2</v>
      </c>
      <c r="J244" s="169">
        <v>1.2073276628689202E-2</v>
      </c>
      <c r="K244" s="170">
        <v>1.2063598732505449E-2</v>
      </c>
      <c r="L244" s="169">
        <v>3.2578184591914569E-2</v>
      </c>
      <c r="M244" s="171">
        <v>3.1706852313869036E-2</v>
      </c>
    </row>
    <row r="245" spans="3:13" ht="24" customHeight="1" thickBot="1" x14ac:dyDescent="0.25">
      <c r="C245" s="172" t="s">
        <v>42</v>
      </c>
      <c r="D245" s="165">
        <v>3.0606831758528165E-2</v>
      </c>
      <c r="E245" s="166">
        <v>2.9635779275562362E-2</v>
      </c>
      <c r="F245" s="165">
        <v>5.697267901074712E-3</v>
      </c>
      <c r="G245" s="166">
        <v>6.6428491682482974E-3</v>
      </c>
      <c r="H245" s="165">
        <v>1.240272373540856E-2</v>
      </c>
      <c r="I245" s="166">
        <v>1.4532967032967033E-2</v>
      </c>
      <c r="J245" s="165">
        <v>8.4847723967651154E-3</v>
      </c>
      <c r="K245" s="166">
        <v>8.6638572715266402E-3</v>
      </c>
      <c r="L245" s="165">
        <v>3.783117213323163E-2</v>
      </c>
      <c r="M245" s="167">
        <v>3.6287838837902875E-2</v>
      </c>
    </row>
    <row r="246" spans="3:13" ht="24" customHeight="1" thickBot="1" x14ac:dyDescent="0.25">
      <c r="C246" s="168" t="s">
        <v>43</v>
      </c>
      <c r="D246" s="169">
        <v>0.11090459679093405</v>
      </c>
      <c r="E246" s="170">
        <v>0.11462888615799749</v>
      </c>
      <c r="F246" s="169">
        <v>5.0282705339030599E-2</v>
      </c>
      <c r="G246" s="170">
        <v>5.5943210152208704E-2</v>
      </c>
      <c r="H246" s="169">
        <v>0.23370622568093385</v>
      </c>
      <c r="I246" s="170">
        <v>0.19653846153846155</v>
      </c>
      <c r="J246" s="169">
        <v>0.23501040980090601</v>
      </c>
      <c r="K246" s="170">
        <v>0.24799212249336153</v>
      </c>
      <c r="L246" s="169">
        <v>8.1746758199847447E-2</v>
      </c>
      <c r="M246" s="171">
        <v>8.4811952441937247E-2</v>
      </c>
    </row>
    <row r="247" spans="3:13" ht="24" customHeight="1" thickBot="1" x14ac:dyDescent="0.25">
      <c r="C247" s="172" t="s">
        <v>44</v>
      </c>
      <c r="D247" s="165">
        <v>3.3124726106912486E-2</v>
      </c>
      <c r="E247" s="166">
        <v>3.2224798905176107E-2</v>
      </c>
      <c r="F247" s="165">
        <v>2.4127066338642152E-2</v>
      </c>
      <c r="G247" s="166">
        <v>2.6878419113542482E-2</v>
      </c>
      <c r="H247" s="165">
        <v>8.6211089494163423E-2</v>
      </c>
      <c r="I247" s="166">
        <v>7.9395604395604391E-2</v>
      </c>
      <c r="J247" s="165">
        <v>3.8542418630928096E-2</v>
      </c>
      <c r="K247" s="166">
        <v>3.5931790499390985E-2</v>
      </c>
      <c r="L247" s="165">
        <v>3.1228070175438598E-2</v>
      </c>
      <c r="M247" s="167">
        <v>3.0711997199338831E-2</v>
      </c>
    </row>
    <row r="248" spans="3:13" ht="24" customHeight="1" thickBot="1" x14ac:dyDescent="0.25">
      <c r="C248" s="168" t="s">
        <v>45</v>
      </c>
      <c r="D248" s="169">
        <v>0.34829590448146752</v>
      </c>
      <c r="E248" s="170">
        <v>0.34490106967389961</v>
      </c>
      <c r="F248" s="169">
        <v>4.5189693124433508E-2</v>
      </c>
      <c r="G248" s="170">
        <v>4.8937516281493058E-2</v>
      </c>
      <c r="H248" s="169">
        <v>4.6327821011673154E-2</v>
      </c>
      <c r="I248" s="170">
        <v>5.6923076923076923E-2</v>
      </c>
      <c r="J248" s="169">
        <v>9.5111055313183313E-2</v>
      </c>
      <c r="K248" s="170">
        <v>0.10286959646445555</v>
      </c>
      <c r="L248" s="169">
        <v>0.43399694889397405</v>
      </c>
      <c r="M248" s="171">
        <v>0.42578524866946438</v>
      </c>
    </row>
    <row r="249" spans="3:13" ht="24" customHeight="1" thickBot="1" x14ac:dyDescent="0.25">
      <c r="C249" s="172" t="s">
        <v>46</v>
      </c>
      <c r="D249" s="165">
        <v>2.0617902805434039E-2</v>
      </c>
      <c r="E249" s="166">
        <v>1.9115258477188785E-2</v>
      </c>
      <c r="F249" s="165">
        <v>4.6182398895075315E-3</v>
      </c>
      <c r="G249" s="166">
        <v>5.7124781362807488E-3</v>
      </c>
      <c r="H249" s="165">
        <v>4.1342412451361868E-3</v>
      </c>
      <c r="I249" s="166">
        <v>5.9615384615384617E-3</v>
      </c>
      <c r="J249" s="165">
        <v>6.5492817760480423E-3</v>
      </c>
      <c r="K249" s="166">
        <v>6.9161521553474173E-3</v>
      </c>
      <c r="L249" s="165">
        <v>2.5324180015255531E-2</v>
      </c>
      <c r="M249" s="167">
        <v>2.3074434660840817E-2</v>
      </c>
    </row>
    <row r="250" spans="3:13" ht="24" customHeight="1" thickBot="1" x14ac:dyDescent="0.25">
      <c r="C250" s="168" t="s">
        <v>47</v>
      </c>
      <c r="D250" s="169">
        <v>2.5221228732442012E-2</v>
      </c>
      <c r="E250" s="170">
        <v>2.8541039493904703E-2</v>
      </c>
      <c r="F250" s="169">
        <v>2.9090595191851181E-2</v>
      </c>
      <c r="G250" s="170">
        <v>3.0460347586617541E-2</v>
      </c>
      <c r="H250" s="169">
        <v>2.3467898832684825E-2</v>
      </c>
      <c r="I250" s="170">
        <v>2.2912087912087913E-2</v>
      </c>
      <c r="J250" s="169">
        <v>1.3129949886486091E-2</v>
      </c>
      <c r="K250" s="170">
        <v>1.5167000340674161E-2</v>
      </c>
      <c r="L250" s="169">
        <v>2.7968471904398679E-2</v>
      </c>
      <c r="M250" s="171">
        <v>3.1715161237431365E-2</v>
      </c>
    </row>
    <row r="251" spans="3:13" ht="24" customHeight="1" thickBot="1" x14ac:dyDescent="0.25">
      <c r="C251" s="172" t="s">
        <v>48</v>
      </c>
      <c r="D251" s="165">
        <v>0.13163590094488309</v>
      </c>
      <c r="E251" s="166">
        <v>0.1317519116940751</v>
      </c>
      <c r="F251" s="165">
        <v>5.0843799905045534E-2</v>
      </c>
      <c r="G251" s="166">
        <v>5.5496632056864281E-2</v>
      </c>
      <c r="H251" s="165">
        <v>2.0063229571984434E-2</v>
      </c>
      <c r="I251" s="166">
        <v>2.8681318681318683E-2</v>
      </c>
      <c r="J251" s="165">
        <v>0.11982256258958182</v>
      </c>
      <c r="K251" s="166">
        <v>0.11683023693187916</v>
      </c>
      <c r="L251" s="165">
        <v>0.14159928807526062</v>
      </c>
      <c r="M251" s="167">
        <v>0.14191253694701345</v>
      </c>
    </row>
    <row r="252" spans="3:13" ht="24" customHeight="1" thickBot="1" x14ac:dyDescent="0.25">
      <c r="C252" s="173" t="s">
        <v>49</v>
      </c>
      <c r="D252" s="169">
        <v>3.8833234667753271E-2</v>
      </c>
      <c r="E252" s="170">
        <v>4.1656047312272945E-2</v>
      </c>
      <c r="F252" s="169">
        <v>1.9120376364970434E-2</v>
      </c>
      <c r="G252" s="170">
        <v>2.0216962524654832E-2</v>
      </c>
      <c r="H252" s="169">
        <v>3.5262645914396888E-3</v>
      </c>
      <c r="I252" s="170">
        <v>9.1483516483516492E-3</v>
      </c>
      <c r="J252" s="169">
        <v>3.1218940606593224E-2</v>
      </c>
      <c r="K252" s="170">
        <v>2.8257288327009862E-2</v>
      </c>
      <c r="L252" s="169">
        <v>4.2583269768624463E-2</v>
      </c>
      <c r="M252" s="171">
        <v>4.6768715019431806E-2</v>
      </c>
    </row>
    <row r="253" spans="3:13" ht="24" customHeight="1" thickBot="1" x14ac:dyDescent="0.25">
      <c r="C253" s="164" t="s">
        <v>50</v>
      </c>
      <c r="D253" s="165">
        <v>2.5572965118514021E-2</v>
      </c>
      <c r="E253" s="166">
        <v>2.4080069511560165E-2</v>
      </c>
      <c r="F253" s="165">
        <v>1.0401830031507618E-2</v>
      </c>
      <c r="G253" s="166">
        <v>1.1192363514569611E-2</v>
      </c>
      <c r="H253" s="165">
        <v>4.0126459143968868E-3</v>
      </c>
      <c r="I253" s="166">
        <v>6.3186813186813188E-3</v>
      </c>
      <c r="J253" s="165">
        <v>1.3443813230386157E-2</v>
      </c>
      <c r="K253" s="166">
        <v>1.1900261805759727E-2</v>
      </c>
      <c r="L253" s="165">
        <v>2.9865242817187897E-2</v>
      </c>
      <c r="M253" s="167">
        <v>2.8096901990153373E-2</v>
      </c>
    </row>
    <row r="254" spans="3:13" ht="24" customHeight="1" thickBot="1" x14ac:dyDescent="0.25">
      <c r="C254" s="173" t="s">
        <v>51</v>
      </c>
      <c r="D254" s="169">
        <v>3.1360278006288968E-2</v>
      </c>
      <c r="E254" s="170">
        <v>2.8389214268711303E-2</v>
      </c>
      <c r="F254" s="169">
        <v>1.1567180284000172E-2</v>
      </c>
      <c r="G254" s="170">
        <v>1.2262290201332291E-2</v>
      </c>
      <c r="H254" s="169">
        <v>6.3229571984435799E-3</v>
      </c>
      <c r="I254" s="170">
        <v>6.4835164835164837E-3</v>
      </c>
      <c r="J254" s="169">
        <v>2.3612985572748293E-2</v>
      </c>
      <c r="K254" s="170">
        <v>2.1369136787675994E-2</v>
      </c>
      <c r="L254" s="169">
        <v>3.4932621408593947E-2</v>
      </c>
      <c r="M254" s="171">
        <v>3.1457584606998996E-2</v>
      </c>
    </row>
    <row r="255" spans="3:13" ht="24" customHeight="1" thickBot="1" x14ac:dyDescent="0.25">
      <c r="C255" s="164" t="s">
        <v>52</v>
      </c>
      <c r="D255" s="165">
        <v>3.5869423152326843E-2</v>
      </c>
      <c r="E255" s="166">
        <v>3.76265806015307E-2</v>
      </c>
      <c r="F255" s="165">
        <v>9.7544132245673092E-3</v>
      </c>
      <c r="G255" s="166">
        <v>1.1825015816307544E-2</v>
      </c>
      <c r="H255" s="165">
        <v>6.2013618677042798E-3</v>
      </c>
      <c r="I255" s="166">
        <v>6.7307692307692311E-3</v>
      </c>
      <c r="J255" s="165">
        <v>5.1546823179854158E-2</v>
      </c>
      <c r="K255" s="166">
        <v>5.5303550011433583E-2</v>
      </c>
      <c r="L255" s="165">
        <v>3.421815408085431E-2</v>
      </c>
      <c r="M255" s="167">
        <v>3.5589335330429274E-2</v>
      </c>
    </row>
    <row r="256" spans="3:13" ht="24" customHeight="1" thickBot="1" x14ac:dyDescent="0.25">
      <c r="C256" s="168" t="s">
        <v>53</v>
      </c>
      <c r="D256" s="169">
        <v>7.9746134743866725E-3</v>
      </c>
      <c r="E256" s="170">
        <v>9.2075059699697273E-3</v>
      </c>
      <c r="F256" s="169">
        <v>6.733134792179205E-3</v>
      </c>
      <c r="G256" s="170">
        <v>6.5870269063302445E-3</v>
      </c>
      <c r="H256" s="169">
        <v>1.4469844357976654E-2</v>
      </c>
      <c r="I256" s="170">
        <v>1.4725274725274726E-2</v>
      </c>
      <c r="J256" s="169">
        <v>7.4071749160415559E-3</v>
      </c>
      <c r="K256" s="170">
        <v>9.076866357726537E-3</v>
      </c>
      <c r="L256" s="169">
        <v>8.0498347317569281E-3</v>
      </c>
      <c r="M256" s="171">
        <v>9.2832833320777627E-3</v>
      </c>
    </row>
    <row r="257" spans="3:18" ht="24" customHeight="1" thickBot="1" x14ac:dyDescent="0.25">
      <c r="C257" s="172" t="s">
        <v>54</v>
      </c>
      <c r="D257" s="165">
        <v>5.6662233122419638E-3</v>
      </c>
      <c r="E257" s="166">
        <v>7.0268583449620524E-3</v>
      </c>
      <c r="F257" s="165">
        <v>3.280245155164228E-3</v>
      </c>
      <c r="G257" s="166">
        <v>4.4192624018458563E-3</v>
      </c>
      <c r="H257" s="165">
        <v>8.0252918287937736E-3</v>
      </c>
      <c r="I257" s="166">
        <v>9.2032967032967036E-3</v>
      </c>
      <c r="J257" s="165">
        <v>9.6565288806586946E-3</v>
      </c>
      <c r="K257" s="166">
        <v>9.6695460633467265E-3</v>
      </c>
      <c r="L257" s="165">
        <v>4.7876938723620645E-3</v>
      </c>
      <c r="M257" s="167">
        <v>6.5108725034454338E-3</v>
      </c>
    </row>
    <row r="258" spans="3:18" ht="24" customHeight="1" thickBot="1" x14ac:dyDescent="0.25">
      <c r="C258" s="168" t="s">
        <v>55</v>
      </c>
      <c r="D258" s="169">
        <v>1.3606239765047783E-2</v>
      </c>
      <c r="E258" s="170">
        <v>1.5436545887807468E-2</v>
      </c>
      <c r="F258" s="169">
        <v>1.083344123613449E-2</v>
      </c>
      <c r="G258" s="170">
        <v>1.2773994268914443E-2</v>
      </c>
      <c r="H258" s="169">
        <v>9.6060311284046698E-3</v>
      </c>
      <c r="I258" s="170">
        <v>9.9450549450549458E-3</v>
      </c>
      <c r="J258" s="169">
        <v>1.1194459265769018E-2</v>
      </c>
      <c r="K258" s="170">
        <v>1.0164223612919484E-2</v>
      </c>
      <c r="L258" s="169">
        <v>1.4439359267734554E-2</v>
      </c>
      <c r="M258" s="171">
        <v>1.6957405134250047E-2</v>
      </c>
    </row>
    <row r="259" spans="3:18" ht="24" customHeight="1" thickBot="1" x14ac:dyDescent="0.25">
      <c r="C259" s="172" t="s">
        <v>56</v>
      </c>
      <c r="D259" s="165">
        <v>2.5513381359124773E-2</v>
      </c>
      <c r="E259" s="166">
        <v>2.8870344622232764E-2</v>
      </c>
      <c r="F259" s="165">
        <v>1.0444991151970305E-2</v>
      </c>
      <c r="G259" s="166">
        <v>1.082021510178259E-2</v>
      </c>
      <c r="H259" s="165">
        <v>3.4046692607003892E-3</v>
      </c>
      <c r="I259" s="166">
        <v>1.2774725274725274E-2</v>
      </c>
      <c r="J259" s="165">
        <v>1.9721080108387475E-2</v>
      </c>
      <c r="K259" s="166">
        <v>2.0011106911018709E-2</v>
      </c>
      <c r="L259" s="165">
        <v>2.8271039918637171E-2</v>
      </c>
      <c r="M259" s="167">
        <v>3.2372674055330786E-2</v>
      </c>
    </row>
    <row r="260" spans="3:18" ht="24" customHeight="1" thickBot="1" x14ac:dyDescent="0.25">
      <c r="C260" s="168" t="s">
        <v>57</v>
      </c>
      <c r="D260" s="169">
        <v>2.3224211764524983E-2</v>
      </c>
      <c r="E260" s="170">
        <v>2.5229903765517925E-2</v>
      </c>
      <c r="F260" s="169">
        <v>2.1235271267642106E-2</v>
      </c>
      <c r="G260" s="170">
        <v>2.8171634847977373E-2</v>
      </c>
      <c r="H260" s="169">
        <v>8.3900778210116728E-3</v>
      </c>
      <c r="I260" s="170">
        <v>1.1428571428571429E-2</v>
      </c>
      <c r="J260" s="169">
        <v>3.3468294571210359E-2</v>
      </c>
      <c r="K260" s="170">
        <v>3.5294776485082668E-2</v>
      </c>
      <c r="L260" s="169">
        <v>2.1161962878210018E-2</v>
      </c>
      <c r="M260" s="171">
        <v>2.2943707596793421E-2</v>
      </c>
    </row>
    <row r="261" spans="3:18" ht="24" customHeight="1" thickBot="1" x14ac:dyDescent="0.25">
      <c r="C261" s="172" t="s">
        <v>58</v>
      </c>
      <c r="D261" s="165">
        <v>4.3438482651515734E-3</v>
      </c>
      <c r="E261" s="166">
        <v>4.4016698251360328E-3</v>
      </c>
      <c r="F261" s="165">
        <v>1.0919763477059865E-2</v>
      </c>
      <c r="G261" s="166">
        <v>1.0708570577946485E-2</v>
      </c>
      <c r="H261" s="165">
        <v>1.0457198443579766E-2</v>
      </c>
      <c r="I261" s="166">
        <v>1.2170329670329671E-2</v>
      </c>
      <c r="J261" s="165">
        <v>3.211868219244008E-3</v>
      </c>
      <c r="K261" s="166">
        <v>2.9097306807416429E-3</v>
      </c>
      <c r="L261" s="165">
        <v>4.1037376048817693E-3</v>
      </c>
      <c r="M261" s="167">
        <v>4.2237028108534479E-3</v>
      </c>
    </row>
    <row r="262" spans="3:18" ht="24" customHeight="1" thickBot="1" x14ac:dyDescent="0.25">
      <c r="C262" s="168" t="s">
        <v>59</v>
      </c>
      <c r="D262" s="169">
        <v>3.7441665577501171E-3</v>
      </c>
      <c r="E262" s="170">
        <v>3.6715629250370311E-3</v>
      </c>
      <c r="F262" s="169">
        <v>1.9422504208209245E-2</v>
      </c>
      <c r="G262" s="170">
        <v>2.0030888318261324E-2</v>
      </c>
      <c r="H262" s="169">
        <v>1.2524319066147861E-2</v>
      </c>
      <c r="I262" s="170">
        <v>1.3351648351648352E-2</v>
      </c>
      <c r="J262" s="169">
        <v>5.6704644131278575E-3</v>
      </c>
      <c r="K262" s="170">
        <v>5.2361151945342797E-3</v>
      </c>
      <c r="L262" s="169">
        <v>2.1688278667683701E-3</v>
      </c>
      <c r="M262" s="171">
        <v>2.1309619296200938E-3</v>
      </c>
    </row>
    <row r="263" spans="3:18" ht="24" customHeight="1" thickBot="1" x14ac:dyDescent="0.25">
      <c r="C263" s="172" t="s">
        <v>60</v>
      </c>
      <c r="D263" s="165">
        <v>1.4807525236605187E-2</v>
      </c>
      <c r="E263" s="166">
        <v>1.484480602119497E-2</v>
      </c>
      <c r="F263" s="165">
        <v>2.8400017264448185E-2</v>
      </c>
      <c r="G263" s="166">
        <v>2.5324699490156675E-2</v>
      </c>
      <c r="H263" s="165">
        <v>2.8939688715953309E-2</v>
      </c>
      <c r="I263" s="166">
        <v>2.403846153846154E-2</v>
      </c>
      <c r="J263" s="165">
        <v>2.1949509850077941E-2</v>
      </c>
      <c r="K263" s="166">
        <v>1.8088397944754784E-2</v>
      </c>
      <c r="L263" s="165">
        <v>1.1975591151792525E-2</v>
      </c>
      <c r="M263" s="167">
        <v>1.3265473431386017E-2</v>
      </c>
    </row>
    <row r="264" spans="3:18" ht="30.75" customHeight="1" thickBot="1" x14ac:dyDescent="0.25">
      <c r="C264" s="174" t="s">
        <v>61</v>
      </c>
      <c r="D264" s="175">
        <v>0.82676310266089537</v>
      </c>
      <c r="E264" s="176">
        <v>0.83641652093968455</v>
      </c>
      <c r="F264" s="175">
        <v>0.32923302688937806</v>
      </c>
      <c r="G264" s="176">
        <v>0.35753228387480929</v>
      </c>
      <c r="H264" s="175">
        <v>0.53915369649805456</v>
      </c>
      <c r="I264" s="176">
        <v>0.53159340659340659</v>
      </c>
      <c r="J264" s="175">
        <v>0.64100310724710463</v>
      </c>
      <c r="K264" s="176">
        <v>0.65688511813926576</v>
      </c>
      <c r="L264" s="175">
        <v>0.90723112128146455</v>
      </c>
      <c r="M264" s="177">
        <v>0.91369410310155497</v>
      </c>
    </row>
    <row r="265" spans="3:18" ht="24" customHeight="1" thickBot="1" x14ac:dyDescent="0.25">
      <c r="C265" s="178" t="s">
        <v>8</v>
      </c>
      <c r="D265" s="179">
        <v>1</v>
      </c>
      <c r="E265" s="180">
        <v>1</v>
      </c>
      <c r="F265" s="179">
        <v>1</v>
      </c>
      <c r="G265" s="180">
        <v>1</v>
      </c>
      <c r="H265" s="179">
        <v>1</v>
      </c>
      <c r="I265" s="180">
        <v>1</v>
      </c>
      <c r="J265" s="179">
        <v>1</v>
      </c>
      <c r="K265" s="180">
        <v>1</v>
      </c>
      <c r="L265" s="179">
        <v>1</v>
      </c>
      <c r="M265" s="181">
        <v>1</v>
      </c>
    </row>
    <row r="266" spans="3:18" ht="18" customHeight="1" x14ac:dyDescent="0.2">
      <c r="C266" s="182"/>
      <c r="D266" s="183"/>
      <c r="E266" s="184"/>
      <c r="F266" s="183"/>
      <c r="G266" s="184"/>
      <c r="H266" s="183"/>
      <c r="I266" s="184"/>
      <c r="J266" s="183"/>
      <c r="K266" s="184"/>
      <c r="L266" s="183"/>
      <c r="M266" s="184"/>
    </row>
    <row r="267" spans="3:18" ht="5.25" customHeight="1" thickBot="1" x14ac:dyDescent="0.25"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3:18" ht="20.100000000000001" customHeight="1" thickBot="1" x14ac:dyDescent="0.25">
      <c r="C268" s="253" t="s">
        <v>71</v>
      </c>
      <c r="D268" s="254"/>
      <c r="E268" s="254"/>
      <c r="F268" s="254"/>
      <c r="G268" s="254"/>
      <c r="H268" s="254"/>
      <c r="I268" s="254"/>
      <c r="J268" s="254"/>
      <c r="K268" s="254"/>
      <c r="L268" s="254"/>
      <c r="M268" s="255"/>
    </row>
    <row r="269" spans="3:18" ht="5.25" customHeight="1" x14ac:dyDescent="0.2"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04"/>
    </row>
    <row r="270" spans="3:18" ht="45.75" customHeight="1" thickBot="1" x14ac:dyDescent="0.25">
      <c r="C270" s="320" t="s">
        <v>7</v>
      </c>
      <c r="D270" s="321" t="s">
        <v>72</v>
      </c>
      <c r="E270" s="185" t="s">
        <v>73</v>
      </c>
      <c r="F270" s="186">
        <v>1119.0000784559011</v>
      </c>
      <c r="G270" s="201">
        <v>-6.6321128608920255E-2</v>
      </c>
      <c r="H270" s="323" t="s">
        <v>112</v>
      </c>
      <c r="I270" s="324"/>
      <c r="J270" s="324"/>
      <c r="K270" s="324"/>
      <c r="L270" s="325"/>
      <c r="M270" s="262" t="s">
        <v>113</v>
      </c>
      <c r="O270" s="98"/>
      <c r="R270" s="98"/>
    </row>
    <row r="271" spans="3:18" ht="45.75" customHeight="1" thickTop="1" thickBot="1" x14ac:dyDescent="0.25">
      <c r="C271" s="320"/>
      <c r="D271" s="321"/>
      <c r="E271" s="187" t="s">
        <v>74</v>
      </c>
      <c r="F271" s="188">
        <v>714.03667157063717</v>
      </c>
      <c r="G271" s="201">
        <v>-0.12203206569514802</v>
      </c>
      <c r="H271" s="323" t="s">
        <v>114</v>
      </c>
      <c r="I271" s="324"/>
      <c r="J271" s="324"/>
      <c r="K271" s="324"/>
      <c r="L271" s="325"/>
      <c r="M271" s="262"/>
      <c r="O271" s="98"/>
      <c r="R271" s="98"/>
    </row>
    <row r="272" spans="3:18" ht="45.75" customHeight="1" thickTop="1" thickBot="1" x14ac:dyDescent="0.25">
      <c r="C272" s="320"/>
      <c r="D272" s="322"/>
      <c r="E272" s="189" t="s">
        <v>75</v>
      </c>
      <c r="F272" s="190">
        <v>411.2059966069761</v>
      </c>
      <c r="G272" s="201">
        <v>4.9040598655440304E-2</v>
      </c>
      <c r="H272" s="323" t="str">
        <f>CONCATENATE("El gasto medio por turista en destino ascendió a ",FIXED($F$280,0),"€. Experimenta un ",IF(G272&gt;0,"incremento del ","descenso del "),FIXED(G272*100,1),"% respecto al miso periodo del año anterior.")</f>
        <v>El gasto medio por turista en destino ascendió a 88.529€. Experimenta un incremento del 4,9% respecto al miso periodo del año anterior.</v>
      </c>
      <c r="I272" s="324"/>
      <c r="J272" s="324"/>
      <c r="K272" s="324"/>
      <c r="L272" s="325"/>
      <c r="M272" s="262"/>
      <c r="O272" s="98"/>
      <c r="R272" s="98"/>
    </row>
    <row r="273" spans="3:20" ht="45.75" customHeight="1" thickTop="1" thickBot="1" x14ac:dyDescent="0.25">
      <c r="C273" s="320"/>
      <c r="D273" s="326" t="s">
        <v>76</v>
      </c>
      <c r="E273" s="191" t="s">
        <v>73</v>
      </c>
      <c r="F273" s="192">
        <v>120.77800066137308</v>
      </c>
      <c r="G273" s="201">
        <v>-2.0450535181161134E-2</v>
      </c>
      <c r="H273" s="309" t="s">
        <v>115</v>
      </c>
      <c r="I273" s="310"/>
      <c r="J273" s="310"/>
      <c r="K273" s="310"/>
      <c r="L273" s="311"/>
      <c r="M273" s="262"/>
      <c r="O273" s="98"/>
      <c r="R273" s="98"/>
    </row>
    <row r="274" spans="3:20" ht="45.75" customHeight="1" thickTop="1" thickBot="1" x14ac:dyDescent="0.25">
      <c r="C274" s="320"/>
      <c r="D274" s="327"/>
      <c r="E274" s="193" t="s">
        <v>74</v>
      </c>
      <c r="F274" s="194">
        <v>77.038673344434713</v>
      </c>
      <c r="G274" s="201">
        <v>-7.8755184691416291E-2</v>
      </c>
      <c r="H274" s="309" t="str">
        <f>CONCATENATE("La media del gasto diario por turista en origen fue de ",FIXED($F$282,0),"€, ",IF(G274&gt;0,"aumentando un ","disminuyendo un "),FIXED(G274*100,1),"% respecto al mismo período del año anterior.")</f>
        <v>La media del gasto diario por turista en origen fue de 15.556€, disminuyendo un -7,9% respecto al mismo período del año anterior.</v>
      </c>
      <c r="I274" s="310"/>
      <c r="J274" s="310"/>
      <c r="K274" s="310"/>
      <c r="L274" s="311"/>
      <c r="M274" s="262"/>
      <c r="O274" s="98"/>
      <c r="R274" s="98"/>
    </row>
    <row r="275" spans="3:20" ht="45.75" customHeight="1" thickTop="1" thickBot="1" x14ac:dyDescent="0.25">
      <c r="C275" s="320"/>
      <c r="D275" s="327"/>
      <c r="E275" s="195" t="s">
        <v>75</v>
      </c>
      <c r="F275" s="196">
        <v>43.837553432256065</v>
      </c>
      <c r="G275" s="201">
        <v>9.4305731784418478E-2</v>
      </c>
      <c r="H275" s="309" t="s">
        <v>116</v>
      </c>
      <c r="I275" s="310"/>
      <c r="J275" s="310"/>
      <c r="K275" s="310"/>
      <c r="L275" s="311"/>
      <c r="M275" s="262"/>
      <c r="O275" s="98"/>
      <c r="R275" s="98"/>
    </row>
    <row r="276" spans="3:20" ht="5.25" customHeight="1" thickTop="1" thickBot="1" x14ac:dyDescent="0.25">
      <c r="C276" s="197"/>
      <c r="D276" s="197"/>
      <c r="E276" s="197"/>
      <c r="F276" s="197"/>
      <c r="G276" s="197"/>
      <c r="H276" s="197"/>
      <c r="I276" s="197"/>
      <c r="J276" s="197"/>
      <c r="K276" s="197"/>
      <c r="L276" s="197"/>
      <c r="M276" s="198"/>
      <c r="O276" s="98"/>
      <c r="R276" s="98"/>
    </row>
    <row r="277" spans="3:20" ht="19.5" customHeight="1" thickBot="1" x14ac:dyDescent="0.25">
      <c r="C277" s="253" t="s">
        <v>77</v>
      </c>
      <c r="D277" s="254"/>
      <c r="E277" s="254"/>
      <c r="F277" s="254"/>
      <c r="G277" s="254"/>
      <c r="H277" s="254"/>
      <c r="I277" s="254"/>
      <c r="J277" s="254"/>
      <c r="K277" s="254"/>
      <c r="L277" s="254"/>
      <c r="M277" s="255"/>
      <c r="O277" s="98"/>
      <c r="P277" s="98"/>
      <c r="Q277" s="98"/>
    </row>
    <row r="278" spans="3:20" ht="5.25" customHeight="1" x14ac:dyDescent="0.2"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04"/>
      <c r="O278" s="98"/>
      <c r="P278" s="98"/>
      <c r="Q278" s="98"/>
    </row>
    <row r="279" spans="3:20" s="98" customFormat="1" ht="47.25" customHeight="1" thickBot="1" x14ac:dyDescent="0.25">
      <c r="C279" s="312" t="s">
        <v>7</v>
      </c>
      <c r="D279" s="313"/>
      <c r="E279" s="199" t="s">
        <v>8</v>
      </c>
      <c r="F279" s="200">
        <v>154325</v>
      </c>
      <c r="G279" s="201">
        <v>2.0580241116835207E-2</v>
      </c>
      <c r="H279" s="314" t="s">
        <v>96</v>
      </c>
      <c r="I279" s="314"/>
      <c r="J279" s="314"/>
      <c r="K279" s="314"/>
      <c r="L279" s="315"/>
      <c r="M279" s="262" t="s">
        <v>78</v>
      </c>
      <c r="Q279" s="202"/>
    </row>
    <row r="280" spans="3:20" s="98" customFormat="1" ht="47.25" customHeight="1" thickTop="1" thickBot="1" x14ac:dyDescent="0.25">
      <c r="C280" s="312"/>
      <c r="D280" s="313"/>
      <c r="E280" s="203" t="s">
        <v>79</v>
      </c>
      <c r="F280" s="204">
        <v>88529</v>
      </c>
      <c r="G280" s="205">
        <v>1.087043401806409E-2</v>
      </c>
      <c r="H280" s="316" t="s">
        <v>97</v>
      </c>
      <c r="I280" s="317"/>
      <c r="J280" s="317"/>
      <c r="K280" s="317"/>
      <c r="L280" s="318"/>
      <c r="M280" s="262"/>
      <c r="O280" s="206"/>
      <c r="Q280" s="202"/>
    </row>
    <row r="281" spans="3:20" s="98" customFormat="1" ht="47.25" customHeight="1" thickTop="1" thickBot="1" x14ac:dyDescent="0.25">
      <c r="C281" s="312"/>
      <c r="D281" s="313"/>
      <c r="E281" s="207" t="s">
        <v>80</v>
      </c>
      <c r="F281" s="208">
        <v>48741</v>
      </c>
      <c r="G281" s="205">
        <v>1.3765049102190119E-3</v>
      </c>
      <c r="H281" s="319" t="s">
        <v>98</v>
      </c>
      <c r="I281" s="317"/>
      <c r="J281" s="317"/>
      <c r="K281" s="317"/>
      <c r="L281" s="318"/>
      <c r="M281" s="262"/>
      <c r="O281" s="206"/>
      <c r="Q281" s="202"/>
    </row>
    <row r="282" spans="3:20" s="98" customFormat="1" ht="47.25" customHeight="1" thickTop="1" thickBot="1" x14ac:dyDescent="0.25">
      <c r="C282" s="312"/>
      <c r="D282" s="313"/>
      <c r="E282" s="203" t="s">
        <v>81</v>
      </c>
      <c r="F282" s="204">
        <v>15556</v>
      </c>
      <c r="G282" s="205">
        <v>0.15804362391126325</v>
      </c>
      <c r="H282" s="316" t="s">
        <v>99</v>
      </c>
      <c r="I282" s="317"/>
      <c r="J282" s="317"/>
      <c r="K282" s="317"/>
      <c r="L282" s="318"/>
      <c r="M282" s="262"/>
      <c r="O282" s="206"/>
      <c r="Q282" s="202"/>
    </row>
    <row r="283" spans="3:20" s="98" customFormat="1" ht="47.25" customHeight="1" thickTop="1" thickBot="1" x14ac:dyDescent="0.25">
      <c r="C283" s="312"/>
      <c r="D283" s="313"/>
      <c r="E283" s="207" t="s">
        <v>82</v>
      </c>
      <c r="F283" s="208">
        <v>527</v>
      </c>
      <c r="G283" s="205">
        <v>-5.3859964093357249E-2</v>
      </c>
      <c r="H283" s="319" t="s">
        <v>100</v>
      </c>
      <c r="I283" s="317"/>
      <c r="J283" s="317"/>
      <c r="K283" s="317"/>
      <c r="L283" s="318"/>
      <c r="M283" s="262"/>
      <c r="O283" s="206"/>
      <c r="Q283" s="202"/>
    </row>
    <row r="284" spans="3:20" s="98" customFormat="1" ht="47.25" customHeight="1" thickTop="1" thickBot="1" x14ac:dyDescent="0.25">
      <c r="C284" s="312"/>
      <c r="D284" s="313"/>
      <c r="E284" s="203" t="s">
        <v>83</v>
      </c>
      <c r="F284" s="204">
        <v>972</v>
      </c>
      <c r="G284" s="205">
        <v>0</v>
      </c>
      <c r="H284" s="316" t="s">
        <v>101</v>
      </c>
      <c r="I284" s="317"/>
      <c r="J284" s="317"/>
      <c r="K284" s="317"/>
      <c r="L284" s="318"/>
      <c r="M284" s="262"/>
      <c r="O284" s="206"/>
      <c r="Q284" s="202"/>
    </row>
    <row r="285" spans="3:20" ht="5.25" customHeight="1" thickTop="1" x14ac:dyDescent="0.2">
      <c r="C285" s="58" t="s">
        <v>84</v>
      </c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209"/>
      <c r="P285" s="98"/>
      <c r="Q285" s="98"/>
      <c r="R285" s="98"/>
    </row>
    <row r="286" spans="3:20" ht="18.75" customHeight="1" thickBot="1" x14ac:dyDescent="0.25"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209"/>
      <c r="P286" s="98"/>
      <c r="Q286" s="98"/>
      <c r="R286" s="98"/>
    </row>
    <row r="287" spans="3:20" ht="50.25" customHeight="1" thickBot="1" x14ac:dyDescent="0.25">
      <c r="C287" s="1"/>
      <c r="D287" s="1"/>
      <c r="E287" s="280" t="str">
        <f>E234</f>
        <v>INDICADORES TURÍSTICOS DE TENERIFE definitivo</v>
      </c>
      <c r="F287" s="280"/>
      <c r="G287" s="280"/>
      <c r="H287" s="280"/>
      <c r="I287" s="280"/>
      <c r="J287" s="280"/>
      <c r="K287" s="280"/>
      <c r="L287" s="1"/>
      <c r="M287" s="1"/>
      <c r="O287" s="98"/>
      <c r="P287" s="98"/>
      <c r="Q287" s="98"/>
      <c r="R287" s="98"/>
      <c r="S287" s="98"/>
      <c r="T287" s="98"/>
    </row>
    <row r="288" spans="3:20" ht="5.25" customHeight="1" thickBot="1" x14ac:dyDescent="0.25">
      <c r="O288" s="98"/>
      <c r="P288" s="98"/>
      <c r="Q288" s="98"/>
      <c r="R288" s="98"/>
      <c r="S288" s="98"/>
      <c r="T288" s="98"/>
    </row>
    <row r="289" spans="3:20" ht="18" customHeight="1" thickBot="1" x14ac:dyDescent="0.25">
      <c r="C289" s="281" t="s">
        <v>85</v>
      </c>
      <c r="D289" s="282"/>
      <c r="E289" s="282"/>
      <c r="F289" s="282"/>
      <c r="G289" s="282"/>
      <c r="H289" s="282"/>
      <c r="I289" s="282"/>
      <c r="J289" s="282"/>
      <c r="K289" s="282"/>
      <c r="L289" s="282"/>
      <c r="M289" s="283"/>
      <c r="O289" s="98"/>
      <c r="P289" s="98"/>
      <c r="Q289" s="98"/>
      <c r="R289" s="98"/>
      <c r="S289" s="98"/>
      <c r="T289" s="98"/>
    </row>
    <row r="290" spans="3:20" ht="5.25" customHeight="1" x14ac:dyDescent="0.2"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04"/>
      <c r="O290" s="98"/>
      <c r="P290" s="98"/>
      <c r="Q290" s="98"/>
      <c r="R290" s="98"/>
      <c r="S290" s="98"/>
      <c r="T290" s="98"/>
    </row>
    <row r="291" spans="3:20" ht="30.75" customHeight="1" x14ac:dyDescent="0.2">
      <c r="C291" s="284" t="s">
        <v>7</v>
      </c>
      <c r="D291" s="285"/>
      <c r="E291" s="210" t="s">
        <v>8</v>
      </c>
      <c r="F291" s="21">
        <v>176060</v>
      </c>
      <c r="G291" s="211">
        <v>7.114610077509953E-2</v>
      </c>
      <c r="H291" s="290" t="s">
        <v>102</v>
      </c>
      <c r="I291" s="290"/>
      <c r="J291" s="290"/>
      <c r="K291" s="290"/>
      <c r="L291" s="291"/>
      <c r="M291" s="262" t="s">
        <v>9</v>
      </c>
      <c r="O291" s="98"/>
      <c r="P291" s="98"/>
      <c r="Q291" s="98"/>
      <c r="R291" s="98"/>
      <c r="S291" s="98"/>
      <c r="T291" s="98"/>
    </row>
    <row r="292" spans="3:20" ht="40.5" customHeight="1" x14ac:dyDescent="0.2">
      <c r="C292" s="286"/>
      <c r="D292" s="287"/>
      <c r="E292" s="212" t="s">
        <v>86</v>
      </c>
      <c r="F292" s="28">
        <v>97555</v>
      </c>
      <c r="G292" s="93">
        <v>3.1934924261656894E-2</v>
      </c>
      <c r="H292" s="292" t="str">
        <f>CONCATENATE("La oferta hotelera estimada por el STDE del Cabildo de Tenerife se sitúa en ",FIXED(F292,0)," plazas, un ",FIXED(F292/F291*100,1),"% del total de plazas. ",IF(G292&gt;0,"Aumentan un ","Disminuyen un"),FIXED(G292*100,1),"% respecto al mismo periodo del año anterior.")</f>
        <v>La oferta hotelera estimada por el STDE del Cabildo de Tenerife se sitúa en 97.555 plazas, un 55,4% del total de plazas. Aumentan un 3,2% respecto al mismo periodo del año anterior.</v>
      </c>
      <c r="I292" s="292"/>
      <c r="J292" s="292"/>
      <c r="K292" s="292"/>
      <c r="L292" s="293"/>
      <c r="M292" s="262"/>
      <c r="O292" s="98"/>
      <c r="P292" s="98"/>
      <c r="Q292" s="98"/>
      <c r="R292" s="98"/>
      <c r="S292" s="98"/>
      <c r="T292" s="98"/>
    </row>
    <row r="293" spans="3:20" ht="41.25" customHeight="1" thickBot="1" x14ac:dyDescent="0.25">
      <c r="C293" s="288"/>
      <c r="D293" s="289"/>
      <c r="E293" s="213" t="s">
        <v>87</v>
      </c>
      <c r="F293" s="214">
        <v>78505</v>
      </c>
      <c r="G293" s="215">
        <v>0.12423027352140914</v>
      </c>
      <c r="H293" s="294" t="s">
        <v>103</v>
      </c>
      <c r="I293" s="294"/>
      <c r="J293" s="294"/>
      <c r="K293" s="294"/>
      <c r="L293" s="295"/>
      <c r="M293" s="262"/>
      <c r="Q293" s="216"/>
    </row>
    <row r="294" spans="3:20" ht="18.75" hidden="1" customHeight="1" x14ac:dyDescent="0.2">
      <c r="C294" s="296" t="s">
        <v>12</v>
      </c>
      <c r="D294" s="297"/>
      <c r="E294" s="217" t="s">
        <v>8</v>
      </c>
      <c r="F294" s="218">
        <v>4163</v>
      </c>
      <c r="G294" s="219">
        <v>0.2896530359355638</v>
      </c>
      <c r="I294" s="220"/>
      <c r="J294" s="220"/>
      <c r="K294" s="220"/>
      <c r="L294" s="221"/>
      <c r="M294" s="262"/>
      <c r="Q294" s="216"/>
    </row>
    <row r="295" spans="3:20" ht="40.5" customHeight="1" thickTop="1" thickBot="1" x14ac:dyDescent="0.25">
      <c r="C295" s="298"/>
      <c r="D295" s="299"/>
      <c r="E295" s="222" t="s">
        <v>86</v>
      </c>
      <c r="F295" s="223">
        <v>2560</v>
      </c>
      <c r="G295" s="215">
        <v>9.0658257784785867E-3</v>
      </c>
      <c r="H295" s="300" t="str">
        <f>CONCATENATE("Las plazas estimadas por el STDE  del Cabildo de Tenerife en la zona de Santa Cruz, ascienden a ",FIXED(F295,0),", todas ellas pertenecientes a la tipología hotelera. Se registra un ",IF(G295&gt;0,"incremento ","descenso "),"con respecto al año anterior del ",FIXED(G295*100,1),"%.")</f>
        <v>Las plazas estimadas por el STDE  del Cabildo de Tenerife en la zona de Santa Cruz, ascienden a 2.560, todas ellas pertenecientes a la tipología hotelera. Se registra un incremento con respecto al año anterior del 0,9%.</v>
      </c>
      <c r="I295" s="301"/>
      <c r="J295" s="301"/>
      <c r="K295" s="301"/>
      <c r="L295" s="302"/>
      <c r="M295" s="262"/>
    </row>
    <row r="296" spans="3:20" ht="46.5" customHeight="1" thickTop="1" x14ac:dyDescent="0.2">
      <c r="C296" s="303" t="s">
        <v>13</v>
      </c>
      <c r="D296" s="304"/>
      <c r="E296" s="224" t="s">
        <v>8</v>
      </c>
      <c r="F296" s="225">
        <v>2346</v>
      </c>
      <c r="G296" s="219">
        <v>0.49331635900700199</v>
      </c>
      <c r="H296" s="247" t="s">
        <v>104</v>
      </c>
      <c r="I296" s="247"/>
      <c r="J296" s="247"/>
      <c r="K296" s="247"/>
      <c r="L296" s="248"/>
      <c r="M296" s="262"/>
    </row>
    <row r="297" spans="3:20" ht="34.5" customHeight="1" x14ac:dyDescent="0.2">
      <c r="C297" s="305"/>
      <c r="D297" s="306"/>
      <c r="E297" s="226" t="s">
        <v>86</v>
      </c>
      <c r="F297" s="45">
        <v>846</v>
      </c>
      <c r="G297" s="93">
        <v>2.6699029126213691E-2</v>
      </c>
      <c r="H297" s="249" t="str">
        <f>CONCATENATE("Las plazas hoteleras estimadas se sitúan en ",FIXED(F297,0)," plazas, registrando un ",IF(G297&gt;0,"incremento del ","descenso del "),FIXED(G297*100,1),"%.")</f>
        <v>Las plazas hoteleras estimadas se sitúan en 846 plazas, registrando un incremento del 2,7%.</v>
      </c>
      <c r="I297" s="249"/>
      <c r="J297" s="249"/>
      <c r="K297" s="249"/>
      <c r="L297" s="250"/>
      <c r="M297" s="262"/>
    </row>
    <row r="298" spans="3:20" ht="34.5" customHeight="1" thickBot="1" x14ac:dyDescent="0.25">
      <c r="C298" s="307"/>
      <c r="D298" s="308"/>
      <c r="E298" s="227" t="s">
        <v>87</v>
      </c>
      <c r="F298" s="228">
        <v>1500</v>
      </c>
      <c r="G298" s="215">
        <v>1.0080321285140563</v>
      </c>
      <c r="H298" s="266" t="s">
        <v>105</v>
      </c>
      <c r="I298" s="266"/>
      <c r="J298" s="266"/>
      <c r="K298" s="266"/>
      <c r="L298" s="267"/>
      <c r="M298" s="262"/>
    </row>
    <row r="299" spans="3:20" ht="39.75" customHeight="1" thickTop="1" x14ac:dyDescent="0.2">
      <c r="C299" s="268" t="s">
        <v>14</v>
      </c>
      <c r="D299" s="269"/>
      <c r="E299" s="217" t="s">
        <v>8</v>
      </c>
      <c r="F299" s="218">
        <v>31577</v>
      </c>
      <c r="G299" s="219">
        <v>7.0080314480328143E-2</v>
      </c>
      <c r="H299" s="274" t="s">
        <v>106</v>
      </c>
      <c r="I299" s="274"/>
      <c r="J299" s="274"/>
      <c r="K299" s="274"/>
      <c r="L299" s="275"/>
      <c r="M299" s="262"/>
    </row>
    <row r="300" spans="3:20" ht="34.5" customHeight="1" x14ac:dyDescent="0.2">
      <c r="C300" s="270"/>
      <c r="D300" s="271"/>
      <c r="E300" s="229" t="s">
        <v>86</v>
      </c>
      <c r="F300" s="51">
        <v>20084</v>
      </c>
      <c r="G300" s="93">
        <v>1.8613379317340417E-2</v>
      </c>
      <c r="H300" s="276" t="str">
        <f>CONCATENATE("La oferta hotelera asciende a ",FIXED(F300,0),", cifra que se ",IF(G300&gt;0,"incrementa un ","reduce un "),FIXED(G300*100,1),"% respecto al año anterior.")</f>
        <v>La oferta hotelera asciende a 20.084, cifra que se incrementa un 1,9% respecto al año anterior.</v>
      </c>
      <c r="I300" s="276"/>
      <c r="J300" s="276"/>
      <c r="K300" s="276"/>
      <c r="L300" s="277"/>
      <c r="M300" s="262"/>
    </row>
    <row r="301" spans="3:20" ht="34.5" customHeight="1" thickBot="1" x14ac:dyDescent="0.25">
      <c r="C301" s="272"/>
      <c r="D301" s="273"/>
      <c r="E301" s="222" t="s">
        <v>87</v>
      </c>
      <c r="F301" s="223">
        <v>11493</v>
      </c>
      <c r="G301" s="215">
        <v>0.17371323529411775</v>
      </c>
      <c r="H301" s="278" t="str">
        <f>CONCATENATE("Las plazas extrahoteras estimadas ascienden a ",FIXED(F301,0),", las cuales ",IF(G301&gt;0,"se incrementan un ","descienden un "),FIXED(G301*100,1),"%.")</f>
        <v>Las plazas extrahoteras estimadas ascienden a 11.493, las cuales se incrementan un 17,4%.</v>
      </c>
      <c r="I301" s="278"/>
      <c r="J301" s="278"/>
      <c r="K301" s="278"/>
      <c r="L301" s="279"/>
      <c r="M301" s="262"/>
    </row>
    <row r="302" spans="3:20" ht="34.5" customHeight="1" thickTop="1" x14ac:dyDescent="0.2">
      <c r="C302" s="243" t="s">
        <v>15</v>
      </c>
      <c r="D302" s="244"/>
      <c r="E302" s="230" t="s">
        <v>8</v>
      </c>
      <c r="F302" s="231">
        <v>137974</v>
      </c>
      <c r="G302" s="219">
        <v>6.0865152470436223E-2</v>
      </c>
      <c r="H302" s="247" t="str">
        <f>CONCATENATE("Las plazas estimadas para la zona Sur por el STDE del Cabildo ascienden a ",FIXED(F302,0)," experimentando un ",IF(G302&gt;0,"incremento interanual del ","descenso interanual del "),FIXED(G302*100,1),"%.")</f>
        <v>Las plazas estimadas para la zona Sur por el STDE del Cabildo ascienden a 137.974 experimentando un incremento interanual del 6,1%.</v>
      </c>
      <c r="I302" s="247"/>
      <c r="J302" s="247"/>
      <c r="K302" s="247"/>
      <c r="L302" s="248"/>
      <c r="M302" s="262"/>
    </row>
    <row r="303" spans="3:20" ht="34.5" customHeight="1" x14ac:dyDescent="0.2">
      <c r="C303" s="245"/>
      <c r="D303" s="246"/>
      <c r="E303" s="232" t="s">
        <v>86</v>
      </c>
      <c r="F303" s="55">
        <v>74065</v>
      </c>
      <c r="G303" s="93">
        <v>3.6482969016765177E-2</v>
      </c>
      <c r="H303" s="249" t="str">
        <f>CONCATENATE("Las plazas hoteleras, con un oferta de ",FIXED(F303,0)," plazas, se ",IF(G303&gt;0,"incrementan un ","reducen un "),FIXED(G303*100,1),"% respecto al mismo período del año anterior.")</f>
        <v>Las plazas hoteleras, con un oferta de 74.065 plazas, se incrementan un 3,6% respecto al mismo período del año anterior.</v>
      </c>
      <c r="I303" s="249"/>
      <c r="J303" s="249"/>
      <c r="K303" s="249"/>
      <c r="L303" s="250"/>
      <c r="M303" s="262"/>
    </row>
    <row r="304" spans="3:20" ht="34.5" customHeight="1" x14ac:dyDescent="0.2">
      <c r="C304" s="245"/>
      <c r="D304" s="246"/>
      <c r="E304" s="233" t="s">
        <v>87</v>
      </c>
      <c r="F304" s="234">
        <v>63909</v>
      </c>
      <c r="G304" s="235">
        <v>9.0597269624573373E-2</v>
      </c>
      <c r="H304" s="251" t="s">
        <v>107</v>
      </c>
      <c r="I304" s="251"/>
      <c r="J304" s="251"/>
      <c r="K304" s="251"/>
      <c r="L304" s="252"/>
      <c r="M304" s="262"/>
    </row>
    <row r="305" spans="3:18" ht="5.25" customHeight="1" thickBot="1" x14ac:dyDescent="0.25">
      <c r="C305" s="197"/>
      <c r="D305" s="197"/>
      <c r="E305" s="197"/>
      <c r="F305" s="197"/>
      <c r="G305" s="197"/>
      <c r="H305" s="197"/>
      <c r="I305" s="197"/>
      <c r="J305" s="197"/>
      <c r="K305" s="197"/>
      <c r="L305" s="197"/>
      <c r="M305" s="198"/>
      <c r="O305" s="98"/>
      <c r="R305" s="98"/>
    </row>
    <row r="306" spans="3:18" ht="19.5" customHeight="1" thickBot="1" x14ac:dyDescent="0.25">
      <c r="C306" s="253" t="s">
        <v>88</v>
      </c>
      <c r="D306" s="254"/>
      <c r="E306" s="254"/>
      <c r="F306" s="254"/>
      <c r="G306" s="254"/>
      <c r="H306" s="254"/>
      <c r="I306" s="254"/>
      <c r="J306" s="254"/>
      <c r="K306" s="254"/>
      <c r="L306" s="254"/>
      <c r="M306" s="255"/>
      <c r="O306" s="98"/>
      <c r="P306" s="98"/>
      <c r="Q306" s="98"/>
    </row>
    <row r="307" spans="3:18" ht="5.25" customHeight="1" x14ac:dyDescent="0.2"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04"/>
      <c r="O307" s="98"/>
      <c r="P307" s="98"/>
      <c r="Q307" s="98"/>
    </row>
    <row r="308" spans="3:18" ht="93.75" customHeight="1" thickBot="1" x14ac:dyDescent="0.25">
      <c r="C308" s="256" t="s">
        <v>89</v>
      </c>
      <c r="D308" s="257"/>
      <c r="E308" s="236" t="s">
        <v>90</v>
      </c>
      <c r="F308" s="237">
        <v>175940</v>
      </c>
      <c r="G308" s="201">
        <v>-1.8891151792957972E-3</v>
      </c>
      <c r="H308" s="260" t="s">
        <v>108</v>
      </c>
      <c r="I308" s="260"/>
      <c r="J308" s="260"/>
      <c r="K308" s="260"/>
      <c r="L308" s="261"/>
      <c r="M308" s="262" t="s">
        <v>110</v>
      </c>
    </row>
    <row r="309" spans="3:18" ht="45.75" hidden="1" customHeight="1" x14ac:dyDescent="0.2">
      <c r="C309" s="258"/>
      <c r="D309" s="259"/>
      <c r="E309" s="238" t="s">
        <v>91</v>
      </c>
      <c r="F309" s="239">
        <v>60</v>
      </c>
      <c r="G309" s="240">
        <v>-0.22077922077922074</v>
      </c>
      <c r="H309" s="264" t="s">
        <v>109</v>
      </c>
      <c r="I309" s="264"/>
      <c r="J309" s="264"/>
      <c r="K309" s="264"/>
      <c r="L309" s="265"/>
      <c r="M309" s="263"/>
    </row>
    <row r="310" spans="3:18" ht="13.5" thickTop="1" x14ac:dyDescent="0.2"/>
    <row r="311" spans="3:18" ht="29.25" customHeight="1" x14ac:dyDescent="0.2"/>
    <row r="312" spans="3:18" ht="18" customHeight="1" x14ac:dyDescent="0.2">
      <c r="C312" s="242" t="s">
        <v>92</v>
      </c>
      <c r="D312" s="242"/>
      <c r="E312" s="242"/>
      <c r="F312" s="242"/>
      <c r="G312" s="242"/>
      <c r="H312" s="242"/>
      <c r="I312" s="242"/>
      <c r="J312" s="242"/>
      <c r="K312" s="242"/>
      <c r="L312" s="242"/>
      <c r="M312" s="242"/>
    </row>
    <row r="314" spans="3:18" ht="6.75" customHeight="1" x14ac:dyDescent="0.2"/>
    <row r="316" spans="3:18" ht="8.25" customHeight="1" x14ac:dyDescent="0.2"/>
    <row r="319" spans="3:18" x14ac:dyDescent="0.2">
      <c r="E319" s="241"/>
      <c r="F319" s="241"/>
    </row>
    <row r="320" spans="3:18" x14ac:dyDescent="0.2">
      <c r="E320" s="241"/>
      <c r="F320" s="241"/>
    </row>
    <row r="323" ht="21.75" customHeight="1" x14ac:dyDescent="0.2"/>
    <row r="325" ht="6" customHeight="1" x14ac:dyDescent="0.2"/>
  </sheetData>
  <mergeCells count="159">
    <mergeCell ref="I13:I15"/>
    <mergeCell ref="C16:D18"/>
    <mergeCell ref="I16:I18"/>
    <mergeCell ref="C19:D21"/>
    <mergeCell ref="I19:I21"/>
    <mergeCell ref="C23:M23"/>
    <mergeCell ref="E1:K1"/>
    <mergeCell ref="C2:G3"/>
    <mergeCell ref="I2:M3"/>
    <mergeCell ref="C5:D5"/>
    <mergeCell ref="C7:M7"/>
    <mergeCell ref="C9:D11"/>
    <mergeCell ref="I9:I11"/>
    <mergeCell ref="M9:M21"/>
    <mergeCell ref="C12:D12"/>
    <mergeCell ref="C13:D15"/>
    <mergeCell ref="C25:D27"/>
    <mergeCell ref="I25:I27"/>
    <mergeCell ref="M25:M37"/>
    <mergeCell ref="C28:D28"/>
    <mergeCell ref="C29:D31"/>
    <mergeCell ref="I29:I31"/>
    <mergeCell ref="C32:D34"/>
    <mergeCell ref="I32:I34"/>
    <mergeCell ref="C35:D37"/>
    <mergeCell ref="I35:I37"/>
    <mergeCell ref="I51:I53"/>
    <mergeCell ref="C54:M54"/>
    <mergeCell ref="E55:K55"/>
    <mergeCell ref="C56:G57"/>
    <mergeCell ref="I56:M57"/>
    <mergeCell ref="C58:D58"/>
    <mergeCell ref="C39:M39"/>
    <mergeCell ref="C41:D43"/>
    <mergeCell ref="I41:I43"/>
    <mergeCell ref="M41:M53"/>
    <mergeCell ref="C44:D44"/>
    <mergeCell ref="C45:D47"/>
    <mergeCell ref="I45:I47"/>
    <mergeCell ref="C48:D50"/>
    <mergeCell ref="I48:I50"/>
    <mergeCell ref="C51:D53"/>
    <mergeCell ref="I72:I74"/>
    <mergeCell ref="C76:M76"/>
    <mergeCell ref="C78:D82"/>
    <mergeCell ref="I78:I82"/>
    <mergeCell ref="M78:M82"/>
    <mergeCell ref="C84:M84"/>
    <mergeCell ref="C60:M60"/>
    <mergeCell ref="C62:D64"/>
    <mergeCell ref="I62:I64"/>
    <mergeCell ref="M62:M74"/>
    <mergeCell ref="C65:D65"/>
    <mergeCell ref="C66:D68"/>
    <mergeCell ref="I66:I68"/>
    <mergeCell ref="C69:D71"/>
    <mergeCell ref="I69:I71"/>
    <mergeCell ref="C72:D74"/>
    <mergeCell ref="C100:M100"/>
    <mergeCell ref="C102:D106"/>
    <mergeCell ref="I102:I106"/>
    <mergeCell ref="M102:M106"/>
    <mergeCell ref="C108:M108"/>
    <mergeCell ref="E109:K109"/>
    <mergeCell ref="C86:D90"/>
    <mergeCell ref="I86:I90"/>
    <mergeCell ref="M86:M90"/>
    <mergeCell ref="C92:M92"/>
    <mergeCell ref="C94:D98"/>
    <mergeCell ref="I94:I98"/>
    <mergeCell ref="M94:M98"/>
    <mergeCell ref="C143:M143"/>
    <mergeCell ref="G144:I144"/>
    <mergeCell ref="D146:E146"/>
    <mergeCell ref="F146:G146"/>
    <mergeCell ref="H146:I146"/>
    <mergeCell ref="J146:K146"/>
    <mergeCell ref="L146:M146"/>
    <mergeCell ref="C111:M111"/>
    <mergeCell ref="G112:I112"/>
    <mergeCell ref="D114:E114"/>
    <mergeCell ref="F114:G114"/>
    <mergeCell ref="H114:I114"/>
    <mergeCell ref="J114:K114"/>
    <mergeCell ref="L114:M114"/>
    <mergeCell ref="C175:M175"/>
    <mergeCell ref="E176:K176"/>
    <mergeCell ref="C178:Q178"/>
    <mergeCell ref="C179:Q179"/>
    <mergeCell ref="D180:E180"/>
    <mergeCell ref="F180:G180"/>
    <mergeCell ref="H180:I180"/>
    <mergeCell ref="J180:K180"/>
    <mergeCell ref="L180:M180"/>
    <mergeCell ref="N180:O180"/>
    <mergeCell ref="E234:K234"/>
    <mergeCell ref="C236:M236"/>
    <mergeCell ref="D238:E238"/>
    <mergeCell ref="F238:G238"/>
    <mergeCell ref="H238:I238"/>
    <mergeCell ref="J238:K238"/>
    <mergeCell ref="L238:M238"/>
    <mergeCell ref="P180:Q180"/>
    <mergeCell ref="C206:Q206"/>
    <mergeCell ref="C207:Q207"/>
    <mergeCell ref="D208:E208"/>
    <mergeCell ref="F208:G208"/>
    <mergeCell ref="H208:I208"/>
    <mergeCell ref="J208:K208"/>
    <mergeCell ref="L208:M208"/>
    <mergeCell ref="N208:O208"/>
    <mergeCell ref="P208:Q208"/>
    <mergeCell ref="C268:M268"/>
    <mergeCell ref="C270:C275"/>
    <mergeCell ref="D270:D272"/>
    <mergeCell ref="M270:M275"/>
    <mergeCell ref="D273:D275"/>
    <mergeCell ref="H270:L270"/>
    <mergeCell ref="H271:L271"/>
    <mergeCell ref="H272:L272"/>
    <mergeCell ref="H273:L273"/>
    <mergeCell ref="H274:L274"/>
    <mergeCell ref="H275:L275"/>
    <mergeCell ref="C277:M277"/>
    <mergeCell ref="C279:D284"/>
    <mergeCell ref="H279:L279"/>
    <mergeCell ref="M279:M284"/>
    <mergeCell ref="H280:L280"/>
    <mergeCell ref="H281:L281"/>
    <mergeCell ref="H282:L282"/>
    <mergeCell ref="H283:L283"/>
    <mergeCell ref="H284:L284"/>
    <mergeCell ref="H296:L296"/>
    <mergeCell ref="H297:L297"/>
    <mergeCell ref="H298:L298"/>
    <mergeCell ref="C299:D301"/>
    <mergeCell ref="H299:L299"/>
    <mergeCell ref="H300:L300"/>
    <mergeCell ref="H301:L301"/>
    <mergeCell ref="E287:K287"/>
    <mergeCell ref="C289:M289"/>
    <mergeCell ref="C291:D293"/>
    <mergeCell ref="H291:L291"/>
    <mergeCell ref="M291:M304"/>
    <mergeCell ref="H292:L292"/>
    <mergeCell ref="H293:L293"/>
    <mergeCell ref="C294:D295"/>
    <mergeCell ref="H295:L295"/>
    <mergeCell ref="C296:D298"/>
    <mergeCell ref="C312:M312"/>
    <mergeCell ref="C302:D304"/>
    <mergeCell ref="H302:L302"/>
    <mergeCell ref="H303:L303"/>
    <mergeCell ref="H304:L304"/>
    <mergeCell ref="C306:M306"/>
    <mergeCell ref="C308:D309"/>
    <mergeCell ref="H308:L308"/>
    <mergeCell ref="M308:M309"/>
    <mergeCell ref="H309:L309"/>
  </mergeCells>
  <conditionalFormatting sqref="D182:D204 F182:F204 H182:H204 J182:J204 L182:L204 N182:N204 D210:D232 F210:F232 H210:H232 J210:J232 L210:L232 N210:N232 P182:P204 P210:P232 G9:G10 G12:G21 L9:L21 L25:L37 G28:G37 G41:G53 L41:L53 G62:G74 L62:L74">
    <cfRule type="cellIs" dxfId="107" priority="106" stopIfTrue="1" operator="greaterThan">
      <formula>0</formula>
    </cfRule>
    <cfRule type="cellIs" dxfId="106" priority="107" stopIfTrue="1" operator="lessThan">
      <formula>0</formula>
    </cfRule>
    <cfRule type="cellIs" dxfId="105" priority="108" stopIfTrue="1" operator="equal">
      <formula>0</formula>
    </cfRule>
  </conditionalFormatting>
  <conditionalFormatting sqref="G9:G10 G12:G21 L9:L21 G28:G37 L25:L37 G41:G53 L41:L53 G62:G74 L62:L74">
    <cfRule type="cellIs" dxfId="104" priority="103" operator="equal">
      <formula>0</formula>
    </cfRule>
    <cfRule type="cellIs" dxfId="103" priority="104" operator="lessThan">
      <formula>0</formula>
    </cfRule>
    <cfRule type="cellIs" dxfId="102" priority="105" operator="greaterThan">
      <formula>0</formula>
    </cfRule>
  </conditionalFormatting>
  <conditionalFormatting sqref="G10">
    <cfRule type="cellIs" dxfId="101" priority="100" stopIfTrue="1" operator="greaterThan">
      <formula>0</formula>
    </cfRule>
    <cfRule type="cellIs" dxfId="100" priority="101" stopIfTrue="1" operator="lessThan">
      <formula>0</formula>
    </cfRule>
    <cfRule type="cellIs" dxfId="99" priority="102" stopIfTrue="1" operator="equal">
      <formula>0</formula>
    </cfRule>
  </conditionalFormatting>
  <conditionalFormatting sqref="G10 G12:G21 G28:G37 G42:G53 G63:G74">
    <cfRule type="cellIs" dxfId="98" priority="97" operator="equal">
      <formula>0</formula>
    </cfRule>
    <cfRule type="cellIs" dxfId="97" priority="98" operator="lessThan">
      <formula>0</formula>
    </cfRule>
    <cfRule type="cellIs" dxfId="96" priority="99" operator="greaterThan">
      <formula>0</formula>
    </cfRule>
  </conditionalFormatting>
  <conditionalFormatting sqref="G308:G309 L102:L106 G102:G106 L94:L98 G94:G98 L86:L90 G86:G90 L79:L82 G78:G82">
    <cfRule type="cellIs" dxfId="95" priority="91" operator="equal">
      <formula>0</formula>
    </cfRule>
    <cfRule type="cellIs" dxfId="94" priority="92" operator="lessThan">
      <formula>0</formula>
    </cfRule>
    <cfRule type="cellIs" dxfId="93" priority="93" operator="greaterThan">
      <formula>0</formula>
    </cfRule>
  </conditionalFormatting>
  <conditionalFormatting sqref="G308:G309 L102:L106 G102:G106 L94:L98 G94:G98 L86:L90 G86:G90 L79:L82 G78:G82">
    <cfRule type="cellIs" dxfId="92" priority="94" stopIfTrue="1" operator="greaterThan">
      <formula>0</formula>
    </cfRule>
    <cfRule type="cellIs" dxfId="91" priority="95" stopIfTrue="1" operator="lessThan">
      <formula>0</formula>
    </cfRule>
    <cfRule type="cellIs" dxfId="90" priority="96" stopIfTrue="1" operator="equal">
      <formula>0</formula>
    </cfRule>
  </conditionalFormatting>
  <conditionalFormatting sqref="G25:G26">
    <cfRule type="cellIs" dxfId="89" priority="82" stopIfTrue="1" operator="greaterThan">
      <formula>0</formula>
    </cfRule>
    <cfRule type="cellIs" dxfId="88" priority="83" stopIfTrue="1" operator="lessThan">
      <formula>0</formula>
    </cfRule>
    <cfRule type="cellIs" dxfId="87" priority="84" stopIfTrue="1" operator="equal">
      <formula>0</formula>
    </cfRule>
  </conditionalFormatting>
  <conditionalFormatting sqref="G25:G26">
    <cfRule type="cellIs" dxfId="86" priority="79" operator="equal">
      <formula>0</formula>
    </cfRule>
    <cfRule type="cellIs" dxfId="85" priority="80" operator="lessThan">
      <formula>0</formula>
    </cfRule>
    <cfRule type="cellIs" dxfId="84" priority="81" operator="greaterThan">
      <formula>0</formula>
    </cfRule>
  </conditionalFormatting>
  <conditionalFormatting sqref="G11">
    <cfRule type="cellIs" dxfId="83" priority="88" stopIfTrue="1" operator="greaterThan">
      <formula>0</formula>
    </cfRule>
    <cfRule type="cellIs" dxfId="82" priority="89" stopIfTrue="1" operator="lessThan">
      <formula>0</formula>
    </cfRule>
    <cfRule type="cellIs" dxfId="81" priority="90" stopIfTrue="1" operator="equal">
      <formula>0</formula>
    </cfRule>
  </conditionalFormatting>
  <conditionalFormatting sqref="G11">
    <cfRule type="cellIs" dxfId="80" priority="85" operator="equal">
      <formula>0</formula>
    </cfRule>
    <cfRule type="cellIs" dxfId="79" priority="86" operator="lessThan">
      <formula>0</formula>
    </cfRule>
    <cfRule type="cellIs" dxfId="78" priority="87" operator="greaterThan">
      <formula>0</formula>
    </cfRule>
  </conditionalFormatting>
  <conditionalFormatting sqref="G26">
    <cfRule type="cellIs" dxfId="77" priority="76" stopIfTrue="1" operator="greaterThan">
      <formula>0</formula>
    </cfRule>
    <cfRule type="cellIs" dxfId="76" priority="77" stopIfTrue="1" operator="lessThan">
      <formula>0</formula>
    </cfRule>
    <cfRule type="cellIs" dxfId="75" priority="78" stopIfTrue="1" operator="equal">
      <formula>0</formula>
    </cfRule>
  </conditionalFormatting>
  <conditionalFormatting sqref="G26">
    <cfRule type="cellIs" dxfId="74" priority="73" operator="equal">
      <formula>0</formula>
    </cfRule>
    <cfRule type="cellIs" dxfId="73" priority="74" operator="lessThan">
      <formula>0</formula>
    </cfRule>
    <cfRule type="cellIs" dxfId="72" priority="75" operator="greaterThan">
      <formula>0</formula>
    </cfRule>
  </conditionalFormatting>
  <conditionalFormatting sqref="G27">
    <cfRule type="cellIs" dxfId="71" priority="70" stopIfTrue="1" operator="greaterThan">
      <formula>0</formula>
    </cfRule>
    <cfRule type="cellIs" dxfId="70" priority="71" stopIfTrue="1" operator="lessThan">
      <formula>0</formula>
    </cfRule>
    <cfRule type="cellIs" dxfId="69" priority="72" stopIfTrue="1" operator="equal">
      <formula>0</formula>
    </cfRule>
  </conditionalFormatting>
  <conditionalFormatting sqref="G27">
    <cfRule type="cellIs" dxfId="68" priority="67" operator="equal">
      <formula>0</formula>
    </cfRule>
    <cfRule type="cellIs" dxfId="67" priority="68" operator="lessThan">
      <formula>0</formula>
    </cfRule>
    <cfRule type="cellIs" dxfId="66" priority="69" operator="greaterThan">
      <formula>0</formula>
    </cfRule>
  </conditionalFormatting>
  <conditionalFormatting sqref="E116:E141">
    <cfRule type="cellIs" dxfId="65" priority="61" operator="equal">
      <formula>0</formula>
    </cfRule>
    <cfRule type="cellIs" dxfId="64" priority="62" operator="lessThan">
      <formula>0</formula>
    </cfRule>
    <cfRule type="cellIs" dxfId="63" priority="63" operator="greaterThan">
      <formula>0</formula>
    </cfRule>
  </conditionalFormatting>
  <conditionalFormatting sqref="E116:E141">
    <cfRule type="cellIs" dxfId="62" priority="64" stopIfTrue="1" operator="greaterThan">
      <formula>0</formula>
    </cfRule>
    <cfRule type="cellIs" dxfId="61" priority="65" stopIfTrue="1" operator="lessThan">
      <formula>0</formula>
    </cfRule>
    <cfRule type="cellIs" dxfId="60" priority="66" stopIfTrue="1" operator="equal">
      <formula>0</formula>
    </cfRule>
  </conditionalFormatting>
  <conditionalFormatting sqref="G116:G141 I116:I141 K116:K141 M116:M141">
    <cfRule type="cellIs" dxfId="59" priority="55" operator="equal">
      <formula>0</formula>
    </cfRule>
    <cfRule type="cellIs" dxfId="58" priority="56" operator="lessThan">
      <formula>0</formula>
    </cfRule>
    <cfRule type="cellIs" dxfId="57" priority="57" operator="greaterThan">
      <formula>0</formula>
    </cfRule>
  </conditionalFormatting>
  <conditionalFormatting sqref="G116:G141 I116:I141 K116:K141 M116:M141">
    <cfRule type="cellIs" dxfId="56" priority="58" stopIfTrue="1" operator="greaterThan">
      <formula>0</formula>
    </cfRule>
    <cfRule type="cellIs" dxfId="55" priority="59" stopIfTrue="1" operator="lessThan">
      <formula>0</formula>
    </cfRule>
    <cfRule type="cellIs" dxfId="54" priority="60" stopIfTrue="1" operator="equal">
      <formula>0</formula>
    </cfRule>
  </conditionalFormatting>
  <conditionalFormatting sqref="E148:E173">
    <cfRule type="cellIs" dxfId="53" priority="49" operator="equal">
      <formula>0</formula>
    </cfRule>
    <cfRule type="cellIs" dxfId="52" priority="50" operator="lessThan">
      <formula>0</formula>
    </cfRule>
    <cfRule type="cellIs" dxfId="51" priority="51" operator="greaterThan">
      <formula>0</formula>
    </cfRule>
  </conditionalFormatting>
  <conditionalFormatting sqref="E148:E173">
    <cfRule type="cellIs" dxfId="50" priority="52" stopIfTrue="1" operator="greaterThan">
      <formula>0</formula>
    </cfRule>
    <cfRule type="cellIs" dxfId="49" priority="53" stopIfTrue="1" operator="lessThan">
      <formula>0</formula>
    </cfRule>
    <cfRule type="cellIs" dxfId="48" priority="54" stopIfTrue="1" operator="equal">
      <formula>0</formula>
    </cfRule>
  </conditionalFormatting>
  <conditionalFormatting sqref="G148:G173 I148:I173 K148:K173 M148:M173">
    <cfRule type="cellIs" dxfId="47" priority="43" operator="equal">
      <formula>0</formula>
    </cfRule>
    <cfRule type="cellIs" dxfId="46" priority="44" operator="lessThan">
      <formula>0</formula>
    </cfRule>
    <cfRule type="cellIs" dxfId="45" priority="45" operator="greaterThan">
      <formula>0</formula>
    </cfRule>
  </conditionalFormatting>
  <conditionalFormatting sqref="G148:G173 I148:I173 K148:K173 M148:M173">
    <cfRule type="cellIs" dxfId="44" priority="46" stopIfTrue="1" operator="greaterThan">
      <formula>0</formula>
    </cfRule>
    <cfRule type="cellIs" dxfId="43" priority="47" stopIfTrue="1" operator="lessThan">
      <formula>0</formula>
    </cfRule>
    <cfRule type="cellIs" dxfId="42" priority="48" stopIfTrue="1" operator="equal">
      <formula>0</formula>
    </cfRule>
  </conditionalFormatting>
  <conditionalFormatting sqref="L78">
    <cfRule type="cellIs" dxfId="41" priority="37" operator="equal">
      <formula>0</formula>
    </cfRule>
    <cfRule type="cellIs" dxfId="40" priority="38" operator="lessThan">
      <formula>0</formula>
    </cfRule>
    <cfRule type="cellIs" dxfId="39" priority="39" operator="greaterThan">
      <formula>0</formula>
    </cfRule>
  </conditionalFormatting>
  <conditionalFormatting sqref="L78">
    <cfRule type="cellIs" dxfId="38" priority="40" stopIfTrue="1" operator="greaterThan">
      <formula>0</formula>
    </cfRule>
    <cfRule type="cellIs" dxfId="37" priority="41" stopIfTrue="1" operator="lessThan">
      <formula>0</formula>
    </cfRule>
    <cfRule type="cellIs" dxfId="36" priority="42" stopIfTrue="1" operator="equal">
      <formula>0</formula>
    </cfRule>
  </conditionalFormatting>
  <conditionalFormatting sqref="G291:G304">
    <cfRule type="cellIs" dxfId="35" priority="31" operator="equal">
      <formula>0</formula>
    </cfRule>
    <cfRule type="cellIs" dxfId="34" priority="32" operator="lessThan">
      <formula>0</formula>
    </cfRule>
    <cfRule type="cellIs" dxfId="33" priority="33" operator="greaterThan">
      <formula>0</formula>
    </cfRule>
  </conditionalFormatting>
  <conditionalFormatting sqref="G291:G304">
    <cfRule type="cellIs" dxfId="32" priority="34" stopIfTrue="1" operator="greaterThan">
      <formula>0</formula>
    </cfRule>
    <cfRule type="cellIs" dxfId="31" priority="35" stopIfTrue="1" operator="lessThan">
      <formula>0</formula>
    </cfRule>
    <cfRule type="cellIs" dxfId="30" priority="36" stopIfTrue="1" operator="equal">
      <formula>0</formula>
    </cfRule>
  </conditionalFormatting>
  <conditionalFormatting sqref="G279:G281">
    <cfRule type="cellIs" dxfId="29" priority="25" operator="equal">
      <formula>0</formula>
    </cfRule>
    <cfRule type="cellIs" dxfId="28" priority="26" operator="lessThan">
      <formula>0</formula>
    </cfRule>
    <cfRule type="cellIs" dxfId="27" priority="27" operator="greaterThan">
      <formula>0</formula>
    </cfRule>
  </conditionalFormatting>
  <conditionalFormatting sqref="G279:G281">
    <cfRule type="cellIs" dxfId="26" priority="28" stopIfTrue="1" operator="greaterThan">
      <formula>0</formula>
    </cfRule>
    <cfRule type="cellIs" dxfId="25" priority="29" stopIfTrue="1" operator="lessThan">
      <formula>0</formula>
    </cfRule>
    <cfRule type="cellIs" dxfId="24" priority="30" stopIfTrue="1" operator="equal">
      <formula>0</formula>
    </cfRule>
  </conditionalFormatting>
  <conditionalFormatting sqref="G282:G284">
    <cfRule type="cellIs" dxfId="23" priority="19" operator="equal">
      <formula>0</formula>
    </cfRule>
    <cfRule type="cellIs" dxfId="22" priority="20" operator="lessThan">
      <formula>0</formula>
    </cfRule>
    <cfRule type="cellIs" dxfId="21" priority="21" operator="greaterThan">
      <formula>0</formula>
    </cfRule>
  </conditionalFormatting>
  <conditionalFormatting sqref="G282:G284">
    <cfRule type="cellIs" dxfId="20" priority="22" stopIfTrue="1" operator="greaterThan">
      <formula>0</formula>
    </cfRule>
    <cfRule type="cellIs" dxfId="19" priority="23" stopIfTrue="1" operator="lessThan">
      <formula>0</formula>
    </cfRule>
    <cfRule type="cellIs" dxfId="18" priority="24" stopIfTrue="1" operator="equal">
      <formula>0</formula>
    </cfRule>
  </conditionalFormatting>
  <conditionalFormatting sqref="G270">
    <cfRule type="cellIs" dxfId="17" priority="13" operator="equal">
      <formula>0</formula>
    </cfRule>
    <cfRule type="cellIs" dxfId="16" priority="14" operator="lessThan">
      <formula>0</formula>
    </cfRule>
    <cfRule type="cellIs" dxfId="15" priority="15" operator="greaterThan">
      <formula>0</formula>
    </cfRule>
  </conditionalFormatting>
  <conditionalFormatting sqref="G270">
    <cfRule type="cellIs" dxfId="14" priority="16" stopIfTrue="1" operator="greaterThan">
      <formula>0</formula>
    </cfRule>
    <cfRule type="cellIs" dxfId="13" priority="17" stopIfTrue="1" operator="lessThan">
      <formula>0</formula>
    </cfRule>
    <cfRule type="cellIs" dxfId="12" priority="18" stopIfTrue="1" operator="equal">
      <formula>0</formula>
    </cfRule>
  </conditionalFormatting>
  <conditionalFormatting sqref="G271">
    <cfRule type="cellIs" dxfId="11" priority="7" operator="equal">
      <formula>0</formula>
    </cfRule>
    <cfRule type="cellIs" dxfId="10" priority="8" operator="lessThan">
      <formula>0</formula>
    </cfRule>
    <cfRule type="cellIs" dxfId="9" priority="9" operator="greaterThan">
      <formula>0</formula>
    </cfRule>
  </conditionalFormatting>
  <conditionalFormatting sqref="G271">
    <cfRule type="cellIs" dxfId="8" priority="10" stopIfTrue="1" operator="greaterThan">
      <formula>0</formula>
    </cfRule>
    <cfRule type="cellIs" dxfId="7" priority="11" stopIfTrue="1" operator="lessThan">
      <formula>0</formula>
    </cfRule>
    <cfRule type="cellIs" dxfId="6" priority="12" stopIfTrue="1" operator="equal">
      <formula>0</formula>
    </cfRule>
  </conditionalFormatting>
  <conditionalFormatting sqref="G272:G275">
    <cfRule type="cellIs" dxfId="5" priority="1" operator="equal">
      <formula>0</formula>
    </cfRule>
    <cfRule type="cellIs" dxfId="4" priority="2" operator="lessThan">
      <formula>0</formula>
    </cfRule>
    <cfRule type="cellIs" dxfId="3" priority="3" operator="greaterThan">
      <formula>0</formula>
    </cfRule>
  </conditionalFormatting>
  <conditionalFormatting sqref="G272:G275">
    <cfRule type="cellIs" dxfId="2" priority="4" stopIfTrue="1" operator="greaterThan">
      <formula>0</formula>
    </cfRule>
    <cfRule type="cellIs" dxfId="1" priority="5" stopIfTrue="1" operator="lessThan">
      <formula>0</formula>
    </cfRule>
    <cfRule type="cellIs" dxfId="0" priority="6" stopIfTrue="1" operator="equal">
      <formula>0</formula>
    </cfRule>
  </conditionalFormatting>
  <printOptions horizontalCentered="1"/>
  <pageMargins left="0.31496062992125984" right="0.19685039370078741" top="0.35433070866141736" bottom="0" header="0.39370078740157483" footer="0"/>
  <pageSetup paperSize="9" scale="51" fitToHeight="5" orientation="portrait" r:id="rId1"/>
  <headerFooter alignWithMargins="0">
    <oddFooter>&amp;R&amp;P</oddFooter>
  </headerFooter>
  <rowBreaks count="4" manualBreakCount="4">
    <brk id="54" min="2" max="12" man="1"/>
    <brk id="107" min="2" max="12" man="1"/>
    <brk id="173" min="2" max="12" man="1"/>
    <brk id="285" min="2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E64779473284F558EE892CC72B462DF" ma:contentTypeVersion="64" ma:contentTypeDescription="Crear nuevo documento." ma:contentTypeScope="" ma:versionID="bac0caf040eca5efa545ce325427ca51">
  <xsd:schema xmlns:xsd="http://www.w3.org/2001/XMLSchema" xmlns:xs="http://www.w3.org/2001/XMLSchema" xmlns:p="http://schemas.microsoft.com/office/2006/metadata/properties" xmlns:ns1="http://schemas.microsoft.com/sharepoint/v3" xmlns:ns2="8b099203-c902-4a5b-992f-1f849b15ff82" xmlns:ns3="36c86fb7-c3ab-4219-b2b9-06651c03637a" targetNamespace="http://schemas.microsoft.com/office/2006/metadata/properties" ma:root="true" ma:fieldsID="bd9dfa008388b2efd21e326acb8a8051" ns1:_="" ns2:_="" ns3:_="">
    <xsd:import namespace="http://schemas.microsoft.com/sharepoint/v3"/>
    <xsd:import namespace="8b099203-c902-4a5b-992f-1f849b15ff82"/>
    <xsd:import namespace="36c86fb7-c3ab-4219-b2b9-06651c03637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oAdjunto1_mercado_cp" minOccurs="0"/>
                <xsd:element ref="ns2:DestacadoHome" minOccurs="0"/>
                <xsd:element ref="ns3:year" minOccurs="0"/>
                <xsd:element ref="ns3:mes" minOccurs="0"/>
                <xsd:element ref="ns2:_dlc_DocId" minOccurs="0"/>
                <xsd:element ref="ns2:_dlc_DocIdUrl" minOccurs="0"/>
                <xsd:element ref="ns2:_dlc_DocIdPersistId" minOccurs="0"/>
                <xsd:element ref="ns3:Pagi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DocumentoAdjunto1_mercado_cp" ma:index="10" nillable="true" ma:displayName="mercado" ma:default="espana" ma:format="Dropdown" ma:internalName="DocumentoAdjunto1_mercado_cp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DestacadoHome" ma:index="11" nillable="true" ma:displayName="DestacadoHome" ma:default="No" ma:format="Dropdown" ma:internalName="DestacadoHome">
      <xsd:simpleType>
        <xsd:restriction base="dms:Choice">
          <xsd:enumeration value="No"/>
          <xsd:enumeration value="Si"/>
        </xsd:restriction>
      </xsd:simpleType>
    </xsd:element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c86fb7-c3ab-4219-b2b9-06651c03637a" elementFormDefault="qualified">
    <xsd:import namespace="http://schemas.microsoft.com/office/2006/documentManagement/types"/>
    <xsd:import namespace="http://schemas.microsoft.com/office/infopath/2007/PartnerControls"/>
    <xsd:element name="year" ma:index="12" nillable="true" ma:displayName="year" ma:internalName="year">
      <xsd:simpleType>
        <xsd:restriction base="dms:Text">
          <xsd:maxLength value="255"/>
        </xsd:restriction>
      </xsd:simpleType>
    </xsd:element>
    <xsd:element name="mes" ma:index="13" nillable="true" ma:displayName="mes" ma:format="Dropdown" ma:internalName="mes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Pagina" ma:index="17" nillable="true" ma:displayName="Pagina" ma:list="{ACDE9BB4-8E7B-4447-BDA1-3C324CA00812}" ma:internalName="Pagina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36c86fb7-c3ab-4219-b2b9-06651c03637a">marzo</mes>
    <year xmlns="36c86fb7-c3ab-4219-b2b9-06651c03637a">2019</year>
    <PublishingExpirationDate xmlns="http://schemas.microsoft.com/sharepoint/v3" xsi:nil="true"/>
    <DocumentoAdjunto1_mercado_cp xmlns="8b099203-c902-4a5b-992f-1f849b15ff82" xsi:nil="true"/>
    <DestacadoHome xmlns="8b099203-c902-4a5b-992f-1f849b15ff82">No</DestacadoHome>
    <PublishingStartDate xmlns="http://schemas.microsoft.com/sharepoint/v3">2019-05-13T10:31:55+00:00</PublishingStartDate>
    <Pagina xmlns="36c86fb7-c3ab-4219-b2b9-06651c03637a" xsi:nil="true"/>
    <_dlc_DocId xmlns="8b099203-c902-4a5b-992f-1f849b15ff82">Q5F7QW3RQ55V-2035-406</_dlc_DocId>
    <_dlc_DocIdUrl xmlns="8b099203-c902-4a5b-992f-1f849b15ff82">
      <Url>http://admin.webtenerife.com/es/investigacion/Situacion-turistica/indicadores-turisticos/_layouts/DocIdRedir.aspx?ID=Q5F7QW3RQ55V-2035-406</Url>
      <Description>Q5F7QW3RQ55V-2035-406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E346899-4768-404B-9633-E73C3CCC47AE}"/>
</file>

<file path=customXml/itemProps2.xml><?xml version="1.0" encoding="utf-8"?>
<ds:datastoreItem xmlns:ds="http://schemas.openxmlformats.org/officeDocument/2006/customXml" ds:itemID="{CCBFA08B-9A56-4D3B-8A9E-48EFE1BA4821}"/>
</file>

<file path=customXml/itemProps3.xml><?xml version="1.0" encoding="utf-8"?>
<ds:datastoreItem xmlns:ds="http://schemas.openxmlformats.org/officeDocument/2006/customXml" ds:itemID="{F37F4B14-D982-4881-BABC-020D7D255E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 turísticos invierno</vt:lpstr>
      <vt:lpstr>'Ind turísticos invierno'!Área_de_impresión</vt:lpstr>
      <vt:lpstr>'Ind turísticos invierno'!Print_Area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turísticos de Tenerife (Invierno 18/19)</dc:title>
  <dc:creator>Alejandro Garcia</dc:creator>
  <cp:lastModifiedBy>Manuela Rabaneda</cp:lastModifiedBy>
  <cp:lastPrinted>2019-04-23T14:44:15Z</cp:lastPrinted>
  <dcterms:created xsi:type="dcterms:W3CDTF">2019-04-23T14:42:21Z</dcterms:created>
  <dcterms:modified xsi:type="dcterms:W3CDTF">2019-04-26T11:57:36Z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0x0101006E64779473284F558EE892CC72B462DF</vt:lpwstr>
  </property>
  <property fmtid="{D5CDD505-2E9C-101B-9397-08002B2CF9AE}" pid="3" name="_dlc_DocIdItemGuid">
    <vt:lpwstr>d47250f8-bada-41aa-8549-17ae84f1587c</vt:lpwstr>
  </property>
</Properties>
</file>