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Marzo/"/>
    </mc:Choice>
  </mc:AlternateContent>
  <bookViews>
    <workbookView xWindow="0" yWindow="0" windowWidth="19200" windowHeight="11370"/>
  </bookViews>
  <sheets>
    <sheet name="Ind turísticos invierno" sheetId="1" r:id="rId1"/>
  </sheets>
  <externalReferences>
    <externalReference r:id="rId2"/>
  </externalReferences>
  <definedNames>
    <definedName name="_xlnm.Print_Area" localSheetId="0">'Ind turísticos invierno'!$C$1:$M$312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invierno'!$C$1:$M$314</definedName>
    <definedName name="Z_B161D6A3_44F3_469D_B50D_76D907B3525C_.wvu.Cols" localSheetId="0" hidden="1">'Ind turísticos invierno'!#REF!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2" i="1" l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K222" i="1"/>
  <c r="J222" i="1"/>
  <c r="I222" i="1"/>
  <c r="H222" i="1"/>
  <c r="G222" i="1"/>
  <c r="F222" i="1"/>
  <c r="E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K194" i="1"/>
  <c r="J194" i="1"/>
  <c r="I194" i="1"/>
  <c r="H194" i="1"/>
  <c r="G194" i="1"/>
  <c r="F194" i="1"/>
  <c r="E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79" i="1"/>
  <c r="M58" i="1"/>
  <c r="L58" i="1"/>
  <c r="K58" i="1"/>
  <c r="J58" i="1"/>
  <c r="I58" i="1"/>
  <c r="G58" i="1"/>
  <c r="F58" i="1"/>
  <c r="E58" i="1"/>
  <c r="D58" i="1"/>
  <c r="C58" i="1"/>
  <c r="G112" i="1"/>
  <c r="H302" i="1" l="1"/>
  <c r="G272" i="1"/>
  <c r="G274" i="1"/>
  <c r="H297" i="1"/>
  <c r="H301" i="1"/>
  <c r="H300" i="1"/>
  <c r="G271" i="1"/>
  <c r="G273" i="1"/>
  <c r="G275" i="1"/>
  <c r="H292" i="1"/>
  <c r="H295" i="1"/>
  <c r="H303" i="1"/>
  <c r="E234" i="1"/>
  <c r="E287" i="1" s="1"/>
  <c r="E176" i="1"/>
  <c r="E109" i="1"/>
  <c r="C207" i="1"/>
  <c r="G144" i="1"/>
  <c r="I56" i="1"/>
  <c r="C56" i="1"/>
</calcChain>
</file>

<file path=xl/sharedStrings.xml><?xml version="1.0" encoding="utf-8"?>
<sst xmlns="http://schemas.openxmlformats.org/spreadsheetml/2006/main" count="565" uniqueCount="114">
  <si>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</si>
  <si>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</si>
  <si>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</si>
  <si>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</si>
  <si>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</si>
  <si>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</si>
  <si>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</si>
  <si>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</si>
  <si>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</si>
  <si>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</si>
  <si>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</si>
  <si>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</si>
  <si>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</si>
  <si>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</si>
  <si>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</si>
  <si>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</si>
  <si>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</si>
  <si>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</si>
  <si>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</si>
  <si>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</si>
  <si>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</si>
  <si>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</si>
  <si>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</si>
  <si>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</si>
  <si>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</si>
  <si>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</si>
  <si>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</si>
  <si>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</si>
  <si>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</si>
  <si>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</si>
  <si>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</si>
  <si>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</si>
  <si>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</si>
  <si>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</si>
  <si>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</si>
  <si>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</si>
  <si>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</si>
  <si>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</si>
  <si>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</si>
  <si>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</si>
  <si>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</si>
  <si>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</si>
  <si>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</si>
  <si>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</si>
  <si>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</si>
  <si>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</si>
  <si>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</si>
  <si>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</si>
  <si>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</si>
  <si>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</si>
  <si>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</si>
  <si>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</si>
  <si>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</si>
  <si>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</si>
  <si>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</si>
  <si>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</si>
  <si>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</si>
  <si>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</si>
  <si>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</si>
  <si>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</si>
  <si>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</si>
  <si>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</si>
  <si>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</si>
  <si>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</si>
  <si>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</si>
  <si>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</si>
  <si>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</si>
  <si>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</si>
  <si>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</si>
  <si>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</si>
  <si>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</si>
  <si>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</si>
  <si>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</si>
  <si>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</si>
  <si>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</si>
  <si>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</si>
  <si>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</si>
  <si>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</si>
  <si>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</si>
  <si>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</si>
  <si>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</si>
  <si>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</si>
  <si>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</si>
  <si>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</si>
  <si>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</si>
  <si>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</si>
  <si>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</si>
  <si>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</si>
  <si>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</si>
  <si>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</si>
  <si>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</si>
  <si>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</si>
  <si>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</si>
  <si>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</si>
  <si>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marzo 2018</t>
  </si>
  <si>
    <t>Muestra hotelera= 95,4%;   Muestra extrahotelera= 64,2%;   Muestra total= 82,2%</t>
  </si>
  <si>
    <t>El gasto medio total por turista en el año 2018 ha ascendido a 0€ .</t>
  </si>
  <si>
    <t>año 2017 
Encuesta sobre el turista que visita Tenerife, Cabildo de Tenerife</t>
  </si>
  <si>
    <t>El número de plazas autorizadas por Policía Turística a fecha de marzo 2018 asciendían a 141.955 plazas, registrando un incremento del 1,8% respecto al cierre del año 2017.</t>
  </si>
  <si>
    <t>Las plazas hoteleras autorizadas ascienden a 85.420 y representan el 60% del total. Con respecto al año 2017, las plazas hoteleras se incrementan un 1,6%.</t>
  </si>
  <si>
    <t>Las plazas extrahoteleras autorizadas, el 34% del total, ascienden a  48.766 (no incluye oferta rural). Disminuye un -0,5% respecto al cierre de 2017.</t>
  </si>
  <si>
    <t>Las plazas de vivienda vacacional autorizadas, el 4% del total, ascienden a  6.294 plazas. Aumentan un +31,8%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</si>
  <si>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</si>
  <si>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918, registrando un incremento del 0,0% respecto a 2017.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</si>
  <si>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</si>
  <si>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</si>
  <si>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</si>
  <si>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</si>
  <si>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</si>
  <si>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 semestre del  2018, con un incremento del 3,4%  respecto al I semestre del año anterior.</t>
  </si>
  <si>
    <t>Por el Puerto de Santa Cruz de Tenerife han pasado en los primeros tres meses del año 2018, 271.821 cruceristas, un 51,4% más en comparación al mismo período del año 2017</t>
  </si>
  <si>
    <t>El número de buques de crucero en el Puerto de Santa Cruz de Tenerife hasta marzo 2018 ascienden a un total de 0 cruceros, cifra que se reduce un -100,0% respecto al mismo período del año anterior.</t>
  </si>
  <si>
    <t>Acumulado marzo 2018
FUENTE: Autoridad Portuaria de S/C de Tenerife</t>
  </si>
  <si>
    <t>Invierno 17/18 (nov-mar)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</si>
</sst>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50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/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/>
      <top/>
      <bottom style="thick">
        <color theme="0" tint="-4.9989318521683403E-2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0" xfId="0" applyFont="1" applyFill="1" applyBorder="1" applyAlignment="1" applyProtection="1">
      <alignment horizontal="center" vertical="center" wrapText="1"/>
      <protection hidden="1"/>
    </xf>
    <xf numFmtId="0" fontId="12" fillId="0" borderId="31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3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4" xfId="0" applyFont="1" applyFill="1" applyBorder="1" applyAlignment="1" applyProtection="1">
      <alignment horizontal="center" vertical="center" wrapText="1"/>
      <protection hidden="1"/>
    </xf>
    <xf numFmtId="0" fontId="12" fillId="6" borderId="35" xfId="0" applyFont="1" applyFill="1" applyBorder="1" applyAlignment="1" applyProtection="1">
      <alignment horizontal="center" vertical="center" wrapText="1"/>
      <protection hidden="1"/>
    </xf>
    <xf numFmtId="0" fontId="12" fillId="6" borderId="35" xfId="0" applyFont="1" applyFill="1" applyBorder="1" applyAlignment="1" applyProtection="1">
      <alignment horizontal="center" vertical="center" wrapText="1"/>
      <protection hidden="1"/>
    </xf>
    <xf numFmtId="2" fontId="10" fillId="6" borderId="35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7" xfId="0" applyFont="1" applyFill="1" applyBorder="1" applyAlignment="1" applyProtection="1">
      <alignment vertical="center" wrapText="1"/>
      <protection hidden="1"/>
    </xf>
    <xf numFmtId="2" fontId="10" fillId="6" borderId="38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2" fillId="0" borderId="4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3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4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2" fillId="0" borderId="47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14" fillId="0" borderId="46" xfId="0" applyFont="1" applyFill="1" applyBorder="1" applyAlignment="1" applyProtection="1">
      <alignment horizontal="center" vertical="center" wrapText="1"/>
      <protection hidden="1"/>
    </xf>
    <xf numFmtId="0" fontId="2" fillId="0" borderId="47" xfId="0" applyFont="1" applyFill="1" applyBorder="1" applyAlignment="1" applyProtection="1">
      <alignment vertical="center" wrapText="1"/>
      <protection hidden="1"/>
    </xf>
    <xf numFmtId="0" fontId="6" fillId="0" borderId="48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9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5" xfId="0" applyFont="1" applyFill="1" applyBorder="1" applyAlignment="1" applyProtection="1">
      <alignment horizontal="center" vertical="center" wrapText="1"/>
      <protection hidden="1"/>
    </xf>
    <xf numFmtId="0" fontId="15" fillId="0" borderId="46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50" xfId="0" applyFont="1" applyFill="1" applyBorder="1" applyAlignment="1" applyProtection="1">
      <alignment vertical="center" wrapText="1"/>
      <protection hidden="1"/>
    </xf>
    <xf numFmtId="0" fontId="6" fillId="4" borderId="51" xfId="0" applyFont="1" applyFill="1" applyBorder="1" applyAlignment="1" applyProtection="1">
      <alignment horizontal="center" vertical="center" wrapText="1"/>
      <protection hidden="1"/>
    </xf>
    <xf numFmtId="0" fontId="6" fillId="4" borderId="52" xfId="0" applyFont="1" applyFill="1" applyBorder="1" applyAlignment="1" applyProtection="1">
      <alignment horizontal="center" vertical="center" wrapText="1"/>
      <protection hidden="1"/>
    </xf>
    <xf numFmtId="0" fontId="2" fillId="4" borderId="53" xfId="0" applyFont="1" applyFill="1" applyBorder="1" applyAlignment="1" applyProtection="1">
      <alignment vertical="center" wrapText="1"/>
      <protection hidden="1"/>
    </xf>
    <xf numFmtId="0" fontId="5" fillId="4" borderId="54" xfId="0" applyFont="1" applyFill="1" applyBorder="1" applyAlignment="1" applyProtection="1">
      <alignment horizontal="center" vertical="center" wrapText="1"/>
      <protection hidden="1"/>
    </xf>
    <xf numFmtId="0" fontId="5" fillId="4" borderId="55" xfId="0" applyFont="1" applyFill="1" applyBorder="1" applyAlignment="1" applyProtection="1">
      <alignment horizontal="center" vertical="center" wrapText="1"/>
      <protection hidden="1"/>
    </xf>
    <xf numFmtId="0" fontId="6" fillId="0" borderId="56" xfId="0" applyFont="1" applyFill="1" applyBorder="1" applyAlignment="1" applyProtection="1">
      <alignment horizontal="left" vertical="center" wrapText="1"/>
      <protection hidden="1"/>
    </xf>
    <xf numFmtId="3" fontId="10" fillId="0" borderId="57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9" xfId="0" applyFont="1" applyFill="1" applyBorder="1" applyAlignment="1" applyProtection="1">
      <alignment horizontal="right" vertical="center" wrapText="1"/>
      <protection hidden="1"/>
    </xf>
    <xf numFmtId="3" fontId="10" fillId="0" borderId="60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2" xfId="0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9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3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2" xfId="0" applyFont="1" applyFill="1" applyBorder="1" applyAlignment="1" applyProtection="1">
      <alignment horizontal="left" vertical="center" wrapText="1"/>
      <protection hidden="1"/>
    </xf>
    <xf numFmtId="3" fontId="14" fillId="7" borderId="59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6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7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9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70" xfId="0" applyFont="1" applyFill="1" applyBorder="1" applyAlignment="1" applyProtection="1">
      <alignment horizontal="left" vertical="center" wrapText="1"/>
      <protection hidden="1"/>
    </xf>
    <xf numFmtId="3" fontId="9" fillId="5" borderId="7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74" xfId="0" applyFont="1" applyFill="1" applyBorder="1" applyAlignment="1" applyProtection="1">
      <alignment horizontal="center" vertical="center" wrapText="1"/>
      <protection hidden="1"/>
    </xf>
    <xf numFmtId="0" fontId="6" fillId="8" borderId="75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6" xfId="0" applyFont="1" applyFill="1" applyBorder="1" applyAlignment="1" applyProtection="1">
      <alignment horizontal="center" vertical="center"/>
      <protection hidden="1"/>
    </xf>
    <xf numFmtId="0" fontId="16" fillId="5" borderId="77" xfId="0" applyFont="1" applyFill="1" applyBorder="1" applyAlignment="1" applyProtection="1">
      <alignment horizontal="center" vertical="center"/>
      <protection hidden="1"/>
    </xf>
    <xf numFmtId="0" fontId="17" fillId="8" borderId="78" xfId="0" applyFont="1" applyFill="1" applyBorder="1" applyAlignment="1" applyProtection="1">
      <alignment horizontal="center" vertical="center" wrapText="1"/>
      <protection hidden="1"/>
    </xf>
    <xf numFmtId="0" fontId="13" fillId="9" borderId="79" xfId="0" applyFont="1" applyFill="1" applyBorder="1" applyAlignment="1" applyProtection="1">
      <alignment horizontal="center" vertical="center" wrapText="1"/>
      <protection hidden="1"/>
    </xf>
    <xf numFmtId="10" fontId="6" fillId="0" borderId="79" xfId="1" applyNumberFormat="1" applyFont="1" applyBorder="1" applyAlignment="1" applyProtection="1">
      <alignment horizontal="center" vertical="center" wrapText="1"/>
      <protection hidden="1"/>
    </xf>
    <xf numFmtId="3" fontId="6" fillId="9" borderId="79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9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7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80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6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0" fontId="5" fillId="4" borderId="83" xfId="0" applyFont="1" applyFill="1" applyBorder="1" applyAlignment="1" applyProtection="1">
      <alignment horizontal="center" vertical="center" wrapText="1"/>
      <protection hidden="1"/>
    </xf>
    <xf numFmtId="0" fontId="5" fillId="4" borderId="84" xfId="0" applyFont="1" applyFill="1" applyBorder="1" applyAlignment="1" applyProtection="1">
      <alignment horizontal="center" vertical="center" wrapText="1"/>
      <protection hidden="1"/>
    </xf>
    <xf numFmtId="164" fontId="10" fillId="0" borderId="85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6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2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9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90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9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9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90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2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9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6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5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6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70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91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2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4" xfId="0" applyFont="1" applyFill="1" applyBorder="1" applyAlignment="1" applyProtection="1">
      <alignment horizontal="center" vertical="center" wrapText="1"/>
      <protection hidden="1"/>
    </xf>
    <xf numFmtId="0" fontId="12" fillId="7" borderId="95" xfId="0" applyFont="1" applyFill="1" applyBorder="1" applyAlignment="1" applyProtection="1">
      <alignment horizontal="center" vertical="center" wrapText="1"/>
      <protection hidden="1"/>
    </xf>
    <xf numFmtId="0" fontId="12" fillId="7" borderId="96" xfId="0" applyFont="1" applyFill="1" applyBorder="1" applyAlignment="1" applyProtection="1">
      <alignment horizontal="center" vertical="center" wrapText="1"/>
      <protection hidden="1"/>
    </xf>
    <xf numFmtId="3" fontId="10" fillId="7" borderId="96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7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10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9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0" fontId="2" fillId="5" borderId="110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1" xfId="0" applyFont="1" applyFill="1" applyBorder="1" applyAlignment="1" applyProtection="1">
      <alignment horizontal="center" vertical="center" wrapText="1"/>
      <protection hidden="1"/>
    </xf>
    <xf numFmtId="3" fontId="10" fillId="0" borderId="11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2" xfId="0" applyFont="1" applyFill="1" applyBorder="1" applyAlignment="1" applyProtection="1">
      <alignment horizontal="left" vertical="center" wrapText="1"/>
      <protection hidden="1"/>
    </xf>
    <xf numFmtId="0" fontId="0" fillId="0" borderId="112" xfId="0" applyBorder="1" applyAlignment="1">
      <alignment horizontal="left" vertical="center" wrapText="1"/>
    </xf>
    <xf numFmtId="0" fontId="0" fillId="0" borderId="113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1" xfId="0" applyFont="1" applyFill="1" applyBorder="1" applyAlignment="1" applyProtection="1">
      <alignment horizontal="center" vertical="center" wrapText="1"/>
      <protection hidden="1"/>
    </xf>
    <xf numFmtId="3" fontId="10" fillId="7" borderId="11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2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5" xfId="0" applyFont="1" applyFill="1" applyBorder="1" applyAlignment="1" applyProtection="1">
      <alignment horizontal="justify" vertical="center" wrapText="1"/>
      <protection hidden="1"/>
    </xf>
    <xf numFmtId="0" fontId="2" fillId="5" borderId="117" xfId="0" applyFont="1" applyFill="1" applyBorder="1" applyAlignment="1" applyProtection="1">
      <alignment horizontal="justify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2" fillId="5" borderId="22" xfId="0" applyFont="1" applyFill="1" applyBorder="1" applyAlignment="1" applyProtection="1">
      <alignment horizontal="justify" vertical="center" wrapText="1"/>
      <protection hidden="1"/>
    </xf>
    <xf numFmtId="0" fontId="2" fillId="5" borderId="121" xfId="0" applyFont="1" applyFill="1" applyBorder="1" applyAlignment="1" applyProtection="1">
      <alignment horizontal="justify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3" fontId="9" fillId="5" borderId="12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5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25" xfId="0" applyFont="1" applyFill="1" applyBorder="1" applyAlignment="1" applyProtection="1">
      <alignment horizontal="justify" vertical="center" wrapText="1"/>
      <protection hidden="1"/>
    </xf>
    <xf numFmtId="0" fontId="2" fillId="5" borderId="126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vertical="center" wrapText="1"/>
      <protection hidden="1"/>
    </xf>
    <xf numFmtId="0" fontId="2" fillId="0" borderId="131" xfId="0" applyFont="1" applyFill="1" applyBorder="1" applyAlignment="1" applyProtection="1">
      <alignment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3" fontId="10" fillId="0" borderId="12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4" xfId="0" applyFont="1" applyFill="1" applyBorder="1" applyAlignment="1" applyProtection="1">
      <alignment horizontal="left" vertical="center" wrapText="1"/>
      <protection hidden="1"/>
    </xf>
    <xf numFmtId="0" fontId="2" fillId="0" borderId="135" xfId="0" applyFont="1" applyFill="1" applyBorder="1" applyAlignment="1" applyProtection="1">
      <alignment horizontal="left" vertical="center" wrapText="1"/>
      <protection hidden="1"/>
    </xf>
    <xf numFmtId="0" fontId="2" fillId="0" borderId="136" xfId="0" applyFont="1" applyFill="1" applyBorder="1" applyAlignment="1" applyProtection="1">
      <alignment horizontal="left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0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24" xfId="0" applyFont="1" applyFill="1" applyBorder="1" applyAlignment="1" applyProtection="1">
      <alignment horizontal="center" vertical="center" wrapText="1"/>
      <protection hidden="1"/>
    </xf>
    <xf numFmtId="3" fontId="10" fillId="7" borderId="12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0" xfId="0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1" xfId="0" applyFont="1" applyFill="1" applyBorder="1" applyAlignment="1" applyProtection="1">
      <alignment horizontal="justify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3" fontId="10" fillId="6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38" xfId="0" applyFont="1" applyFill="1" applyBorder="1" applyAlignment="1" applyProtection="1">
      <alignment horizontal="center" vertical="center" wrapText="1"/>
      <protection hidden="1"/>
    </xf>
    <xf numFmtId="0" fontId="12" fillId="6" borderId="120" xfId="0" applyFont="1" applyFill="1" applyBorder="1" applyAlignment="1" applyProtection="1">
      <alignment horizontal="center" vertical="center" wrapText="1"/>
      <protection hidden="1"/>
    </xf>
    <xf numFmtId="0" fontId="12" fillId="6" borderId="141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143" xfId="0" applyFont="1" applyFill="1" applyBorder="1" applyAlignment="1" applyProtection="1">
      <alignment horizontal="center" vertical="center" wrapText="1"/>
      <protection hidden="1"/>
    </xf>
    <xf numFmtId="3" fontId="10" fillId="0" borderId="10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2" fillId="0" borderId="110" xfId="0" applyFont="1" applyFill="1" applyBorder="1" applyAlignment="1" applyProtection="1">
      <alignment horizontal="justify" vertical="center" wrapText="1"/>
      <protection hidden="1"/>
    </xf>
    <xf numFmtId="0" fontId="12" fillId="0" borderId="144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7" borderId="146" xfId="0" applyFont="1" applyFill="1" applyBorder="1" applyAlignment="1" applyProtection="1">
      <alignment horizontal="center" vertical="center" wrapText="1"/>
      <protection hidden="1"/>
    </xf>
    <xf numFmtId="3" fontId="10" fillId="7" borderId="14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7" xfId="0" applyFont="1" applyFill="1" applyBorder="1" applyAlignment="1" applyProtection="1">
      <alignment horizontal="justify" vertical="center" wrapText="1"/>
      <protection hidden="1"/>
    </xf>
    <xf numFmtId="0" fontId="2" fillId="7" borderId="148" xfId="0" applyFont="1" applyFill="1" applyBorder="1" applyAlignment="1" applyProtection="1">
      <alignment horizontal="justify" vertical="center" wrapText="1"/>
      <protection hidden="1"/>
    </xf>
    <xf numFmtId="0" fontId="12" fillId="0" borderId="149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90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309</xdr:row>
      <xdr:rowOff>47625</xdr:rowOff>
    </xdr:from>
    <xdr:to>
      <xdr:col>9</xdr:col>
      <xdr:colOff>781050</xdr:colOff>
      <xdr:row>310</xdr:row>
      <xdr:rowOff>294216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9383D13-6565-43D9-AAA8-413D36AC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77400150"/>
          <a:ext cx="5029200" cy="418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8333F04-441D-4BBC-AAA6-5FFDE87E9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54</xdr:row>
      <xdr:rowOff>0</xdr:rowOff>
    </xdr:from>
    <xdr:to>
      <xdr:col>2</xdr:col>
      <xdr:colOff>1190624</xdr:colOff>
      <xdr:row>55</xdr:row>
      <xdr:rowOff>16754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BE3185D2-4400-41F2-8459-36CB0A60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57638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1200149</xdr:colOff>
      <xdr:row>109</xdr:row>
      <xdr:rowOff>16754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DF17FBF1-7095-48BC-A1D4-B9AA00404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26898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233</xdr:row>
      <xdr:rowOff>0</xdr:rowOff>
    </xdr:from>
    <xdr:to>
      <xdr:col>2</xdr:col>
      <xdr:colOff>1200149</xdr:colOff>
      <xdr:row>234</xdr:row>
      <xdr:rowOff>16754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5002F4ED-DD46-4DE1-9292-844990103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13873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286</xdr:row>
      <xdr:rowOff>0</xdr:rowOff>
    </xdr:from>
    <xdr:to>
      <xdr:col>2</xdr:col>
      <xdr:colOff>1200149</xdr:colOff>
      <xdr:row>287</xdr:row>
      <xdr:rowOff>16754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3522CEE1-8CBC-415F-90BC-D1E7666A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8675250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4">
    <tabColor theme="5" tint="0.39997558519241921"/>
  </sheetPr>
  <dimension ref="B1:T325"/>
  <sheetViews>
    <sheetView showGridLines="0" tabSelected="1" showRuler="0" zoomScale="90" zoomScaleNormal="90" workbookViewId="0">
      <selection activeCell="R9" sqref="R9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93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94</v>
      </c>
      <c r="D2" s="6"/>
      <c r="E2" s="6"/>
      <c r="F2" s="6"/>
      <c r="G2" s="6"/>
      <c r="H2" s="7"/>
      <c r="I2" s="8" t="s">
        <v>113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504315</v>
      </c>
      <c r="G9" s="36">
        <v>6.9610641916970417E-2</v>
      </c>
      <c r="H9" s="37"/>
      <c r="I9" s="38" t="s">
        <v>7</v>
      </c>
      <c r="J9" s="39" t="s">
        <v>8</v>
      </c>
      <c r="K9" s="40">
        <v>2262844</v>
      </c>
      <c r="L9" s="41">
        <v>2.3483394273163594E-2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339422</v>
      </c>
      <c r="G10" s="47">
        <v>5.334665706695807E-2</v>
      </c>
      <c r="H10" s="48"/>
      <c r="I10" s="43"/>
      <c r="J10" s="45" t="s">
        <v>10</v>
      </c>
      <c r="K10" s="46">
        <v>1523648</v>
      </c>
      <c r="L10" s="49">
        <v>6.5859406122434905E-3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164893</v>
      </c>
      <c r="G11" s="36">
        <v>0.10472189840682833</v>
      </c>
      <c r="H11" s="48"/>
      <c r="I11" s="53"/>
      <c r="J11" s="54" t="s">
        <v>11</v>
      </c>
      <c r="K11" s="55">
        <v>739196</v>
      </c>
      <c r="L11" s="56">
        <v>6.0166799331655252E-2</v>
      </c>
      <c r="M11" s="42"/>
    </row>
    <row r="12" spans="2:13" ht="29.25" customHeight="1" thickBot="1" x14ac:dyDescent="0.25">
      <c r="C12" s="57" t="s">
        <v>12</v>
      </c>
      <c r="D12" s="58"/>
      <c r="E12" s="59" t="s">
        <v>10</v>
      </c>
      <c r="F12" s="60">
        <v>21622</v>
      </c>
      <c r="G12" s="61">
        <v>-8.8448566610455304E-2</v>
      </c>
      <c r="H12" s="62"/>
      <c r="I12" s="63" t="s">
        <v>12</v>
      </c>
      <c r="J12" s="59" t="s">
        <v>10</v>
      </c>
      <c r="K12" s="60">
        <v>106184</v>
      </c>
      <c r="L12" s="56">
        <v>-7.4777536827936864E-3</v>
      </c>
      <c r="M12" s="42"/>
    </row>
    <row r="13" spans="2:13" ht="24.75" customHeight="1" x14ac:dyDescent="0.2">
      <c r="C13" s="64" t="s">
        <v>13</v>
      </c>
      <c r="D13" s="65"/>
      <c r="E13" s="66" t="s">
        <v>8</v>
      </c>
      <c r="F13" s="67">
        <v>6296</v>
      </c>
      <c r="G13" s="68">
        <v>0.48771266540642721</v>
      </c>
      <c r="H13" s="62"/>
      <c r="I13" s="64" t="s">
        <v>13</v>
      </c>
      <c r="J13" s="66" t="s">
        <v>8</v>
      </c>
      <c r="K13" s="67">
        <v>30747</v>
      </c>
      <c r="L13" s="41">
        <v>0.47368673312883436</v>
      </c>
      <c r="M13" s="42"/>
    </row>
    <row r="14" spans="2:13" ht="24.75" customHeight="1" x14ac:dyDescent="0.2">
      <c r="C14" s="69"/>
      <c r="D14" s="70"/>
      <c r="E14" s="71" t="s">
        <v>10</v>
      </c>
      <c r="F14" s="72">
        <v>5015</v>
      </c>
      <c r="G14" s="47">
        <v>0.69025952140208968</v>
      </c>
      <c r="H14" s="62"/>
      <c r="I14" s="69"/>
      <c r="J14" s="71" t="s">
        <v>10</v>
      </c>
      <c r="K14" s="72">
        <v>24726</v>
      </c>
      <c r="L14" s="49">
        <v>0.55187347015627952</v>
      </c>
      <c r="M14" s="42"/>
    </row>
    <row r="15" spans="2:13" ht="24.75" customHeight="1" thickBot="1" x14ac:dyDescent="0.25">
      <c r="C15" s="73"/>
      <c r="D15" s="74"/>
      <c r="E15" s="75" t="s">
        <v>11</v>
      </c>
      <c r="F15" s="76">
        <v>1281</v>
      </c>
      <c r="G15" s="61">
        <v>1.2648221343873445E-2</v>
      </c>
      <c r="H15" s="62"/>
      <c r="I15" s="73"/>
      <c r="J15" s="75" t="s">
        <v>11</v>
      </c>
      <c r="K15" s="76">
        <v>6021</v>
      </c>
      <c r="L15" s="56">
        <v>0.22105049685662137</v>
      </c>
      <c r="M15" s="42"/>
    </row>
    <row r="16" spans="2:13" ht="24.75" customHeight="1" x14ac:dyDescent="0.2">
      <c r="C16" s="77" t="s">
        <v>14</v>
      </c>
      <c r="D16" s="78"/>
      <c r="E16" s="79" t="s">
        <v>8</v>
      </c>
      <c r="F16" s="80">
        <v>95699</v>
      </c>
      <c r="G16" s="68">
        <v>9.9748330824302789E-2</v>
      </c>
      <c r="H16" s="62"/>
      <c r="I16" s="77" t="s">
        <v>14</v>
      </c>
      <c r="J16" s="79" t="s">
        <v>8</v>
      </c>
      <c r="K16" s="80">
        <v>406224</v>
      </c>
      <c r="L16" s="41">
        <v>2.1831490774629314E-2</v>
      </c>
      <c r="M16" s="42"/>
    </row>
    <row r="17" spans="3:13" ht="24.75" customHeight="1" x14ac:dyDescent="0.2">
      <c r="C17" s="81"/>
      <c r="D17" s="82"/>
      <c r="E17" s="83" t="s">
        <v>10</v>
      </c>
      <c r="F17" s="84">
        <v>69874</v>
      </c>
      <c r="G17" s="47">
        <v>5.8632810132719149E-2</v>
      </c>
      <c r="H17" s="62"/>
      <c r="I17" s="81"/>
      <c r="J17" s="83" t="s">
        <v>10</v>
      </c>
      <c r="K17" s="84">
        <v>302368</v>
      </c>
      <c r="L17" s="49">
        <v>1.2598541221542803E-2</v>
      </c>
      <c r="M17" s="42"/>
    </row>
    <row r="18" spans="3:13" ht="24.75" customHeight="1" thickBot="1" x14ac:dyDescent="0.25">
      <c r="C18" s="85"/>
      <c r="D18" s="86"/>
      <c r="E18" s="59" t="s">
        <v>11</v>
      </c>
      <c r="F18" s="60">
        <v>25825</v>
      </c>
      <c r="G18" s="61">
        <v>0.22888413038305977</v>
      </c>
      <c r="H18" s="62"/>
      <c r="I18" s="85"/>
      <c r="J18" s="59" t="s">
        <v>11</v>
      </c>
      <c r="K18" s="60">
        <v>103856</v>
      </c>
      <c r="L18" s="56">
        <v>4.9697288228100156E-2</v>
      </c>
      <c r="M18" s="42"/>
    </row>
    <row r="19" spans="3:13" ht="24.75" customHeight="1" x14ac:dyDescent="0.2">
      <c r="C19" s="87" t="s">
        <v>15</v>
      </c>
      <c r="D19" s="88"/>
      <c r="E19" s="89" t="s">
        <v>8</v>
      </c>
      <c r="F19" s="90">
        <v>380698</v>
      </c>
      <c r="G19" s="68">
        <v>6.7807687021594676E-2</v>
      </c>
      <c r="H19" s="62"/>
      <c r="I19" s="87" t="s">
        <v>15</v>
      </c>
      <c r="J19" s="89" t="s">
        <v>8</v>
      </c>
      <c r="K19" s="90">
        <v>1719689</v>
      </c>
      <c r="L19" s="41">
        <v>2.0265423774466385E-2</v>
      </c>
      <c r="M19" s="42"/>
    </row>
    <row r="20" spans="3:13" ht="24.75" customHeight="1" x14ac:dyDescent="0.2">
      <c r="C20" s="91"/>
      <c r="D20" s="92"/>
      <c r="E20" s="93" t="s">
        <v>10</v>
      </c>
      <c r="F20" s="94">
        <v>242911</v>
      </c>
      <c r="G20" s="47">
        <v>5.8246674885968019E-2</v>
      </c>
      <c r="H20" s="62"/>
      <c r="I20" s="91"/>
      <c r="J20" s="93" t="s">
        <v>10</v>
      </c>
      <c r="K20" s="94">
        <v>1090370</v>
      </c>
      <c r="L20" s="49">
        <v>-1.6352975215995214E-3</v>
      </c>
      <c r="M20" s="42"/>
    </row>
    <row r="21" spans="3:13" ht="24.75" customHeight="1" thickBot="1" x14ac:dyDescent="0.25">
      <c r="C21" s="95"/>
      <c r="D21" s="96"/>
      <c r="E21" s="97" t="s">
        <v>11</v>
      </c>
      <c r="F21" s="98">
        <v>137787</v>
      </c>
      <c r="G21" s="61">
        <v>8.5090800270904543E-2</v>
      </c>
      <c r="H21" s="62"/>
      <c r="I21" s="95"/>
      <c r="J21" s="97" t="s">
        <v>11</v>
      </c>
      <c r="K21" s="98">
        <v>629319</v>
      </c>
      <c r="L21" s="56">
        <v>6.0575521381925457E-2</v>
      </c>
      <c r="M21" s="42"/>
    </row>
    <row r="22" spans="3:13" ht="5.25" customHeight="1" thickBot="1" x14ac:dyDescent="0.25"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</row>
    <row r="23" spans="3:13" ht="20.100000000000001" customHeight="1" thickBot="1" x14ac:dyDescent="0.25">
      <c r="C23" s="27" t="s">
        <v>16</v>
      </c>
      <c r="D23" s="28"/>
      <c r="E23" s="28"/>
      <c r="F23" s="28"/>
      <c r="G23" s="28"/>
      <c r="H23" s="28"/>
      <c r="I23" s="28"/>
      <c r="J23" s="28"/>
      <c r="K23" s="28"/>
      <c r="L23" s="28"/>
      <c r="M23" s="29"/>
    </row>
    <row r="24" spans="3:13" ht="5.25" customHeight="1" thickBot="1" x14ac:dyDescent="0.2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00"/>
    </row>
    <row r="25" spans="3:13" ht="24.95" customHeight="1" x14ac:dyDescent="0.2">
      <c r="C25" s="38" t="s">
        <v>7</v>
      </c>
      <c r="D25" s="101"/>
      <c r="E25" s="39" t="s">
        <v>8</v>
      </c>
      <c r="F25" s="35">
        <v>3530084</v>
      </c>
      <c r="G25" s="36">
        <v>9.4009305139788335E-3</v>
      </c>
      <c r="H25" s="37"/>
      <c r="I25" s="38" t="s">
        <v>7</v>
      </c>
      <c r="J25" s="39" t="s">
        <v>8</v>
      </c>
      <c r="K25" s="40">
        <v>16992353</v>
      </c>
      <c r="L25" s="41">
        <v>-8.9151456631751946E-3</v>
      </c>
      <c r="M25" s="42" t="s">
        <v>9</v>
      </c>
    </row>
    <row r="26" spans="3:13" ht="24.95" customHeight="1" x14ac:dyDescent="0.2">
      <c r="C26" s="43"/>
      <c r="D26" s="44"/>
      <c r="E26" s="45" t="s">
        <v>10</v>
      </c>
      <c r="F26" s="46">
        <v>2206062</v>
      </c>
      <c r="G26" s="47">
        <v>-2.2723909986807622E-2</v>
      </c>
      <c r="H26" s="48"/>
      <c r="I26" s="43"/>
      <c r="J26" s="45" t="s">
        <v>10</v>
      </c>
      <c r="K26" s="46">
        <v>10693137</v>
      </c>
      <c r="L26" s="49">
        <v>-2.8846336359979574E-2</v>
      </c>
      <c r="M26" s="42"/>
    </row>
    <row r="27" spans="3:13" ht="24.95" customHeight="1" thickBot="1" x14ac:dyDescent="0.25">
      <c r="C27" s="53"/>
      <c r="D27" s="102"/>
      <c r="E27" s="54" t="s">
        <v>11</v>
      </c>
      <c r="F27" s="35">
        <v>1324022</v>
      </c>
      <c r="G27" s="36">
        <v>6.7889718828663792E-2</v>
      </c>
      <c r="H27" s="48"/>
      <c r="I27" s="53"/>
      <c r="J27" s="54" t="s">
        <v>11</v>
      </c>
      <c r="K27" s="55">
        <v>6299216</v>
      </c>
      <c r="L27" s="56">
        <v>2.6859466410017685E-2</v>
      </c>
      <c r="M27" s="42"/>
    </row>
    <row r="28" spans="3:13" ht="24.95" customHeight="1" thickBot="1" x14ac:dyDescent="0.25">
      <c r="C28" s="57" t="s">
        <v>12</v>
      </c>
      <c r="D28" s="58"/>
      <c r="E28" s="59" t="s">
        <v>10</v>
      </c>
      <c r="F28" s="60">
        <v>49977</v>
      </c>
      <c r="G28" s="61">
        <v>-9.1393353210675543E-2</v>
      </c>
      <c r="H28" s="62"/>
      <c r="I28" s="63" t="s">
        <v>12</v>
      </c>
      <c r="J28" s="59" t="s">
        <v>10</v>
      </c>
      <c r="K28" s="60">
        <v>249348</v>
      </c>
      <c r="L28" s="56">
        <v>-3.8005547860909927E-2</v>
      </c>
      <c r="M28" s="42"/>
    </row>
    <row r="29" spans="3:13" ht="24.95" customHeight="1" x14ac:dyDescent="0.2">
      <c r="C29" s="64" t="s">
        <v>13</v>
      </c>
      <c r="D29" s="65"/>
      <c r="E29" s="66" t="s">
        <v>8</v>
      </c>
      <c r="F29" s="67">
        <v>23667</v>
      </c>
      <c r="G29" s="68">
        <v>0.2863898249809762</v>
      </c>
      <c r="H29" s="62"/>
      <c r="I29" s="64" t="s">
        <v>13</v>
      </c>
      <c r="J29" s="66" t="s">
        <v>8</v>
      </c>
      <c r="K29" s="67">
        <v>107320</v>
      </c>
      <c r="L29" s="41">
        <v>0.29071054024149712</v>
      </c>
      <c r="M29" s="42"/>
    </row>
    <row r="30" spans="3:13" ht="24.95" customHeight="1" x14ac:dyDescent="0.2">
      <c r="C30" s="69"/>
      <c r="D30" s="70"/>
      <c r="E30" s="71" t="s">
        <v>10</v>
      </c>
      <c r="F30" s="72">
        <v>14937</v>
      </c>
      <c r="G30" s="47">
        <v>0.41475658268611482</v>
      </c>
      <c r="H30" s="62"/>
      <c r="I30" s="69"/>
      <c r="J30" s="71" t="s">
        <v>10</v>
      </c>
      <c r="K30" s="72">
        <v>66950</v>
      </c>
      <c r="L30" s="49">
        <v>0.29790822557819441</v>
      </c>
      <c r="M30" s="42"/>
    </row>
    <row r="31" spans="3:13" ht="24.95" customHeight="1" thickBot="1" x14ac:dyDescent="0.25">
      <c r="C31" s="73"/>
      <c r="D31" s="74"/>
      <c r="E31" s="75" t="s">
        <v>11</v>
      </c>
      <c r="F31" s="76">
        <v>8730</v>
      </c>
      <c r="G31" s="61">
        <v>0.11352040816326525</v>
      </c>
      <c r="H31" s="62"/>
      <c r="I31" s="73"/>
      <c r="J31" s="75" t="s">
        <v>11</v>
      </c>
      <c r="K31" s="76">
        <v>40370</v>
      </c>
      <c r="L31" s="56">
        <v>0.27894820212260418</v>
      </c>
      <c r="M31" s="42"/>
    </row>
    <row r="32" spans="3:13" ht="24.95" customHeight="1" x14ac:dyDescent="0.2">
      <c r="C32" s="77" t="s">
        <v>14</v>
      </c>
      <c r="D32" s="78"/>
      <c r="E32" s="79" t="s">
        <v>8</v>
      </c>
      <c r="F32" s="80">
        <v>655629</v>
      </c>
      <c r="G32" s="68">
        <v>5.6918917786114021E-2</v>
      </c>
      <c r="H32" s="62"/>
      <c r="I32" s="77" t="s">
        <v>14</v>
      </c>
      <c r="J32" s="79" t="s">
        <v>8</v>
      </c>
      <c r="K32" s="80">
        <v>3159058</v>
      </c>
      <c r="L32" s="41">
        <v>3.6695865795801197E-2</v>
      </c>
      <c r="M32" s="42"/>
    </row>
    <row r="33" spans="3:13" ht="24.95" customHeight="1" x14ac:dyDescent="0.2">
      <c r="C33" s="81"/>
      <c r="D33" s="82"/>
      <c r="E33" s="83" t="s">
        <v>10</v>
      </c>
      <c r="F33" s="84">
        <v>448141</v>
      </c>
      <c r="G33" s="47">
        <v>-9.9307169557878439E-3</v>
      </c>
      <c r="H33" s="62"/>
      <c r="I33" s="81"/>
      <c r="J33" s="83" t="s">
        <v>10</v>
      </c>
      <c r="K33" s="84">
        <v>2199895</v>
      </c>
      <c r="L33" s="49">
        <v>1.6128577809371603E-2</v>
      </c>
      <c r="M33" s="42"/>
    </row>
    <row r="34" spans="3:13" ht="24.95" customHeight="1" thickBot="1" x14ac:dyDescent="0.25">
      <c r="C34" s="85"/>
      <c r="D34" s="86"/>
      <c r="E34" s="59" t="s">
        <v>11</v>
      </c>
      <c r="F34" s="60">
        <v>207488</v>
      </c>
      <c r="G34" s="61">
        <v>0.23736768345409542</v>
      </c>
      <c r="H34" s="62"/>
      <c r="I34" s="85"/>
      <c r="J34" s="59" t="s">
        <v>11</v>
      </c>
      <c r="K34" s="60">
        <v>959163</v>
      </c>
      <c r="L34" s="56">
        <v>8.7165914809693268E-2</v>
      </c>
      <c r="M34" s="42"/>
    </row>
    <row r="35" spans="3:13" ht="24.95" customHeight="1" x14ac:dyDescent="0.2">
      <c r="C35" s="87" t="s">
        <v>15</v>
      </c>
      <c r="D35" s="88"/>
      <c r="E35" s="89" t="s">
        <v>8</v>
      </c>
      <c r="F35" s="90">
        <v>2800811</v>
      </c>
      <c r="G35" s="68">
        <v>-9.5345648485956058E-4</v>
      </c>
      <c r="H35" s="62"/>
      <c r="I35" s="87" t="s">
        <v>15</v>
      </c>
      <c r="J35" s="89" t="s">
        <v>8</v>
      </c>
      <c r="K35" s="90">
        <v>13476627</v>
      </c>
      <c r="L35" s="41">
        <v>-2.0282181371528041E-2</v>
      </c>
      <c r="M35" s="42"/>
    </row>
    <row r="36" spans="3:13" ht="24.95" customHeight="1" x14ac:dyDescent="0.2">
      <c r="C36" s="91"/>
      <c r="D36" s="92"/>
      <c r="E36" s="93" t="s">
        <v>10</v>
      </c>
      <c r="F36" s="94">
        <v>1693007</v>
      </c>
      <c r="G36" s="47">
        <v>-2.6537523862094292E-2</v>
      </c>
      <c r="H36" s="62"/>
      <c r="I36" s="91"/>
      <c r="J36" s="93" t="s">
        <v>10</v>
      </c>
      <c r="K36" s="94">
        <v>8176944</v>
      </c>
      <c r="L36" s="49">
        <v>-4.1951269350033793E-2</v>
      </c>
      <c r="M36" s="42"/>
    </row>
    <row r="37" spans="3:13" ht="24.95" customHeight="1" thickBot="1" x14ac:dyDescent="0.25">
      <c r="C37" s="95"/>
      <c r="D37" s="96"/>
      <c r="E37" s="97" t="s">
        <v>11</v>
      </c>
      <c r="F37" s="98">
        <v>1107804</v>
      </c>
      <c r="G37" s="61">
        <v>4.0852221691890733E-2</v>
      </c>
      <c r="H37" s="62"/>
      <c r="I37" s="95"/>
      <c r="J37" s="97" t="s">
        <v>11</v>
      </c>
      <c r="K37" s="98">
        <v>5299683</v>
      </c>
      <c r="L37" s="56">
        <v>1.5143786479123289E-2</v>
      </c>
      <c r="M37" s="42"/>
    </row>
    <row r="38" spans="3:13" ht="5.25" customHeight="1" thickBot="1" x14ac:dyDescent="0.25">
      <c r="C38" s="99"/>
      <c r="D38" s="99"/>
      <c r="F38" s="99"/>
      <c r="G38" s="99"/>
      <c r="H38" s="99"/>
      <c r="I38" s="99"/>
      <c r="J38" s="99"/>
      <c r="K38" s="99"/>
      <c r="L38" s="99"/>
      <c r="M38" s="99"/>
    </row>
    <row r="39" spans="3:13" ht="20.100000000000001" customHeight="1" thickBot="1" x14ac:dyDescent="0.25">
      <c r="C39" s="27" t="s">
        <v>17</v>
      </c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0" spans="3:13" ht="5.25" customHeight="1" thickBot="1" x14ac:dyDescent="0.2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100"/>
    </row>
    <row r="41" spans="3:13" ht="24.75" customHeight="1" x14ac:dyDescent="0.2">
      <c r="C41" s="38" t="s">
        <v>7</v>
      </c>
      <c r="D41" s="101"/>
      <c r="E41" s="39" t="s">
        <v>8</v>
      </c>
      <c r="F41" s="103">
        <v>6.999760070590801</v>
      </c>
      <c r="G41" s="104">
        <v>-0.41752837846687552</v>
      </c>
      <c r="H41" s="37"/>
      <c r="I41" s="38" t="s">
        <v>7</v>
      </c>
      <c r="J41" s="39" t="s">
        <v>8</v>
      </c>
      <c r="K41" s="103">
        <v>7.5092905211318151</v>
      </c>
      <c r="L41" s="105">
        <v>-0.24547852565586314</v>
      </c>
      <c r="M41" s="42" t="s">
        <v>9</v>
      </c>
    </row>
    <row r="42" spans="3:13" ht="24.75" customHeight="1" x14ac:dyDescent="0.2">
      <c r="C42" s="43"/>
      <c r="D42" s="44"/>
      <c r="E42" s="45" t="s">
        <v>10</v>
      </c>
      <c r="F42" s="106">
        <v>6.499466740517704</v>
      </c>
      <c r="G42" s="107">
        <v>-0.50591447550056845</v>
      </c>
      <c r="H42" s="48"/>
      <c r="I42" s="43"/>
      <c r="J42" s="45" t="s">
        <v>10</v>
      </c>
      <c r="K42" s="106">
        <v>7.0181150764481037</v>
      </c>
      <c r="L42" s="108">
        <v>-0.25605401752756762</v>
      </c>
      <c r="M42" s="42"/>
    </row>
    <row r="43" spans="3:13" ht="24.75" customHeight="1" thickBot="1" x14ac:dyDescent="0.25">
      <c r="C43" s="53"/>
      <c r="D43" s="102"/>
      <c r="E43" s="54" t="s">
        <v>11</v>
      </c>
      <c r="F43" s="109">
        <v>8.0295828203744239</v>
      </c>
      <c r="G43" s="110">
        <v>-0.27694529796782064</v>
      </c>
      <c r="H43" s="48"/>
      <c r="I43" s="53"/>
      <c r="J43" s="54" t="s">
        <v>11</v>
      </c>
      <c r="K43" s="109">
        <v>8.5217127798310592</v>
      </c>
      <c r="L43" s="111">
        <v>-0.27641126551885442</v>
      </c>
      <c r="M43" s="42"/>
    </row>
    <row r="44" spans="3:13" ht="24.75" customHeight="1" thickBot="1" x14ac:dyDescent="0.25">
      <c r="C44" s="57" t="s">
        <v>12</v>
      </c>
      <c r="D44" s="58"/>
      <c r="E44" s="59" t="s">
        <v>10</v>
      </c>
      <c r="F44" s="112">
        <v>2.3113958005734898</v>
      </c>
      <c r="G44" s="110">
        <v>-7.4912146035761573E-3</v>
      </c>
      <c r="H44" s="62"/>
      <c r="I44" s="63" t="s">
        <v>12</v>
      </c>
      <c r="J44" s="59" t="s">
        <v>10</v>
      </c>
      <c r="K44" s="112">
        <v>2.3482633918481128</v>
      </c>
      <c r="L44" s="111">
        <v>-7.4519454184938994E-2</v>
      </c>
      <c r="M44" s="42"/>
    </row>
    <row r="45" spans="3:13" ht="24.75" customHeight="1" x14ac:dyDescent="0.2">
      <c r="C45" s="64" t="s">
        <v>13</v>
      </c>
      <c r="D45" s="65"/>
      <c r="E45" s="66" t="s">
        <v>8</v>
      </c>
      <c r="F45" s="113">
        <v>3.7590533672172808</v>
      </c>
      <c r="G45" s="104">
        <v>-0.58830012994718084</v>
      </c>
      <c r="H45" s="62"/>
      <c r="I45" s="64" t="s">
        <v>13</v>
      </c>
      <c r="J45" s="66" t="s">
        <v>8</v>
      </c>
      <c r="K45" s="113">
        <v>3.4904218297720102</v>
      </c>
      <c r="L45" s="105">
        <v>-0.49481590028933953</v>
      </c>
      <c r="M45" s="42"/>
    </row>
    <row r="46" spans="3:13" ht="24.75" customHeight="1" x14ac:dyDescent="0.2">
      <c r="C46" s="69"/>
      <c r="D46" s="70"/>
      <c r="E46" s="71" t="s">
        <v>10</v>
      </c>
      <c r="F46" s="114">
        <v>2.9784646061814555</v>
      </c>
      <c r="G46" s="107">
        <v>-0.58001196948419986</v>
      </c>
      <c r="H46" s="62"/>
      <c r="I46" s="69"/>
      <c r="J46" s="71" t="s">
        <v>10</v>
      </c>
      <c r="K46" s="114">
        <v>2.7076761303890642</v>
      </c>
      <c r="L46" s="108">
        <v>-0.52981837786424668</v>
      </c>
      <c r="M46" s="42"/>
    </row>
    <row r="47" spans="3:13" ht="24.75" customHeight="1" thickBot="1" x14ac:dyDescent="0.25">
      <c r="C47" s="73"/>
      <c r="D47" s="74"/>
      <c r="E47" s="75" t="s">
        <v>11</v>
      </c>
      <c r="F47" s="115">
        <v>6.8149882903981265</v>
      </c>
      <c r="G47" s="110">
        <v>0.61735983190010302</v>
      </c>
      <c r="H47" s="62"/>
      <c r="I47" s="73"/>
      <c r="J47" s="75" t="s">
        <v>11</v>
      </c>
      <c r="K47" s="115">
        <v>6.704866301278857</v>
      </c>
      <c r="L47" s="111">
        <v>0.30352783038045938</v>
      </c>
      <c r="M47" s="42"/>
    </row>
    <row r="48" spans="3:13" ht="24.75" customHeight="1" x14ac:dyDescent="0.2">
      <c r="C48" s="77" t="s">
        <v>14</v>
      </c>
      <c r="D48" s="78"/>
      <c r="E48" s="79" t="s">
        <v>8</v>
      </c>
      <c r="F48" s="116">
        <v>6.8509493307140099</v>
      </c>
      <c r="G48" s="104">
        <v>-0.2776202920120614</v>
      </c>
      <c r="H48" s="62"/>
      <c r="I48" s="77" t="s">
        <v>14</v>
      </c>
      <c r="J48" s="79" t="s">
        <v>8</v>
      </c>
      <c r="K48" s="116">
        <v>7.7766404742211197</v>
      </c>
      <c r="L48" s="105">
        <v>0.11150319416477394</v>
      </c>
      <c r="M48" s="42"/>
    </row>
    <row r="49" spans="2:13" ht="24.75" customHeight="1" x14ac:dyDescent="0.2">
      <c r="C49" s="81"/>
      <c r="D49" s="82"/>
      <c r="E49" s="83" t="s">
        <v>10</v>
      </c>
      <c r="F49" s="117">
        <v>6.4135586913587312</v>
      </c>
      <c r="G49" s="107">
        <v>-0.44414690224165643</v>
      </c>
      <c r="H49" s="62"/>
      <c r="I49" s="81"/>
      <c r="J49" s="83" t="s">
        <v>10</v>
      </c>
      <c r="K49" s="117">
        <v>7.2755549529050692</v>
      </c>
      <c r="L49" s="108">
        <v>2.5275320211821217E-2</v>
      </c>
      <c r="M49" s="42"/>
    </row>
    <row r="50" spans="2:13" ht="24.75" customHeight="1" thickBot="1" x14ac:dyDescent="0.25">
      <c r="C50" s="85"/>
      <c r="D50" s="86"/>
      <c r="E50" s="59" t="s">
        <v>11</v>
      </c>
      <c r="F50" s="112">
        <v>8.0343852855759916</v>
      </c>
      <c r="G50" s="110">
        <v>5.5084785932879576E-2</v>
      </c>
      <c r="H50" s="62"/>
      <c r="I50" s="85"/>
      <c r="J50" s="59" t="s">
        <v>11</v>
      </c>
      <c r="K50" s="112">
        <v>9.2355087813896155</v>
      </c>
      <c r="L50" s="111">
        <v>0.31829716615194314</v>
      </c>
      <c r="M50" s="42"/>
    </row>
    <row r="51" spans="2:13" ht="24.75" customHeight="1" x14ac:dyDescent="0.2">
      <c r="C51" s="87" t="s">
        <v>15</v>
      </c>
      <c r="D51" s="88"/>
      <c r="E51" s="89" t="s">
        <v>8</v>
      </c>
      <c r="F51" s="118">
        <v>7.3570415394879927</v>
      </c>
      <c r="G51" s="104">
        <v>-0.5063613826236244</v>
      </c>
      <c r="H51" s="62"/>
      <c r="I51" s="87" t="s">
        <v>15</v>
      </c>
      <c r="J51" s="89" t="s">
        <v>8</v>
      </c>
      <c r="K51" s="118">
        <v>7.8366652342371204</v>
      </c>
      <c r="L51" s="105">
        <v>-0.32433625431455937</v>
      </c>
      <c r="M51" s="42"/>
    </row>
    <row r="52" spans="2:13" ht="24.75" customHeight="1" x14ac:dyDescent="0.2">
      <c r="C52" s="91"/>
      <c r="D52" s="92"/>
      <c r="E52" s="93" t="s">
        <v>10</v>
      </c>
      <c r="F52" s="119">
        <v>6.9696596695909205</v>
      </c>
      <c r="G52" s="107">
        <v>-0.60702597698202254</v>
      </c>
      <c r="H52" s="62"/>
      <c r="I52" s="91"/>
      <c r="J52" s="93" t="s">
        <v>10</v>
      </c>
      <c r="K52" s="119">
        <v>7.4992378733824294</v>
      </c>
      <c r="L52" s="108">
        <v>-0.31557795878806605</v>
      </c>
      <c r="M52" s="42"/>
    </row>
    <row r="53" spans="2:13" ht="24.75" customHeight="1" thickBot="1" x14ac:dyDescent="0.25">
      <c r="C53" s="120"/>
      <c r="D53" s="121"/>
      <c r="E53" s="122" t="s">
        <v>11</v>
      </c>
      <c r="F53" s="123">
        <v>8.0399747436260309</v>
      </c>
      <c r="G53" s="124">
        <v>-0.34171714971318323</v>
      </c>
      <c r="H53" s="125"/>
      <c r="I53" s="120"/>
      <c r="J53" s="122" t="s">
        <v>11</v>
      </c>
      <c r="K53" s="123">
        <v>8.4212982605006363</v>
      </c>
      <c r="L53" s="126">
        <v>-0.37688669842078859</v>
      </c>
      <c r="M53" s="127"/>
    </row>
    <row r="54" spans="2:13" ht="13.5" thickBot="1" x14ac:dyDescent="0.25">
      <c r="C54" s="128" t="s">
        <v>95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30"/>
    </row>
    <row r="55" spans="2:13" ht="50.25" customHeight="1" thickBot="1" x14ac:dyDescent="0.25">
      <c r="C55" s="131"/>
      <c r="D55" s="131"/>
      <c r="E55" s="132" t="s">
        <v>93</v>
      </c>
      <c r="F55" s="132"/>
      <c r="G55" s="132"/>
      <c r="H55" s="132"/>
      <c r="I55" s="132"/>
      <c r="J55" s="132"/>
      <c r="K55" s="132"/>
      <c r="L55" s="131"/>
      <c r="M55" s="131"/>
    </row>
    <row r="56" spans="2:13" ht="15" customHeight="1" x14ac:dyDescent="0.2">
      <c r="B56" s="5"/>
      <c r="C56" s="6" t="str">
        <f>C2</f>
        <v>marzo 2018</v>
      </c>
      <c r="D56" s="6"/>
      <c r="E56" s="6"/>
      <c r="F56" s="6"/>
      <c r="G56" s="6"/>
      <c r="H56" s="7"/>
      <c r="I56" s="8" t="str">
        <f>I2</f>
        <v>Invierno 17/18 (nov-mar)</v>
      </c>
      <c r="J56" s="8"/>
      <c r="K56" s="8"/>
      <c r="L56" s="8"/>
      <c r="M56" s="8"/>
    </row>
    <row r="57" spans="2:13" ht="16.5" customHeight="1" thickBot="1" x14ac:dyDescent="0.25">
      <c r="B57" s="5"/>
      <c r="C57" s="9"/>
      <c r="D57" s="9"/>
      <c r="E57" s="9"/>
      <c r="F57" s="9"/>
      <c r="G57" s="9"/>
      <c r="H57" s="10"/>
      <c r="I57" s="11"/>
      <c r="J57" s="11"/>
      <c r="K57" s="11"/>
      <c r="L57" s="11"/>
      <c r="M57" s="11"/>
    </row>
    <row r="58" spans="2:13" ht="81.75" customHeight="1" x14ac:dyDescent="0.2">
      <c r="C58" s="20" t="str">
        <f t="shared" ref="C58:G58" si="0">C5</f>
        <v>Ámbito</v>
      </c>
      <c r="D58" s="21">
        <f t="shared" si="0"/>
        <v>0</v>
      </c>
      <c r="E58" s="22" t="str">
        <f t="shared" si="0"/>
        <v>Variable</v>
      </c>
      <c r="F58" s="22" t="str">
        <f t="shared" si="0"/>
        <v>Valor absoluto
mensual</v>
      </c>
      <c r="G58" s="22" t="str">
        <f t="shared" si="0"/>
        <v>Variación respecto al período anterior</v>
      </c>
      <c r="H58" s="24"/>
      <c r="I58" s="22" t="str">
        <f>I5</f>
        <v>Ámbito</v>
      </c>
      <c r="J58" s="22" t="str">
        <f t="shared" ref="J58:M58" si="1">J5</f>
        <v>Variable</v>
      </c>
      <c r="K58" s="22" t="str">
        <f t="shared" si="1"/>
        <v>Valor absoluto
acumulado</v>
      </c>
      <c r="L58" s="22" t="str">
        <f t="shared" si="1"/>
        <v>Variación respecto al período anterior</v>
      </c>
      <c r="M58" s="23" t="str">
        <f t="shared" si="1"/>
        <v>Fuente</v>
      </c>
    </row>
    <row r="59" spans="2:13" ht="5.25" customHeight="1" thickBot="1" x14ac:dyDescent="0.25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2:13" ht="20.100000000000001" customHeight="1" thickBot="1" x14ac:dyDescent="0.25">
      <c r="C60" s="27" t="s">
        <v>18</v>
      </c>
      <c r="D60" s="28"/>
      <c r="E60" s="28"/>
      <c r="F60" s="28"/>
      <c r="G60" s="28"/>
      <c r="H60" s="28"/>
      <c r="I60" s="28"/>
      <c r="J60" s="28"/>
      <c r="K60" s="28"/>
      <c r="L60" s="28"/>
      <c r="M60" s="29"/>
    </row>
    <row r="61" spans="2:13" ht="5.25" customHeight="1" thickBot="1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100"/>
    </row>
    <row r="62" spans="2:13" ht="24.75" customHeight="1" x14ac:dyDescent="0.2">
      <c r="C62" s="38" t="s">
        <v>7</v>
      </c>
      <c r="D62" s="101"/>
      <c r="E62" s="39" t="s">
        <v>8</v>
      </c>
      <c r="F62" s="133">
        <v>0.69280555236091912</v>
      </c>
      <c r="G62" s="68">
        <v>-2.3122750344605314E-2</v>
      </c>
      <c r="H62" s="37"/>
      <c r="I62" s="38" t="s">
        <v>7</v>
      </c>
      <c r="J62" s="39" t="s">
        <v>8</v>
      </c>
      <c r="K62" s="133">
        <v>0.69065439078919</v>
      </c>
      <c r="L62" s="41">
        <v>-3.4332292962157895E-2</v>
      </c>
      <c r="M62" s="42" t="s">
        <v>9</v>
      </c>
    </row>
    <row r="63" spans="2:13" ht="24.75" customHeight="1" x14ac:dyDescent="0.2">
      <c r="C63" s="43"/>
      <c r="D63" s="44"/>
      <c r="E63" s="45" t="s">
        <v>10</v>
      </c>
      <c r="F63" s="134">
        <v>0.75276392403508341</v>
      </c>
      <c r="G63" s="47">
        <v>-4.0897424481213918E-2</v>
      </c>
      <c r="H63" s="48"/>
      <c r="I63" s="43"/>
      <c r="J63" s="45" t="s">
        <v>10</v>
      </c>
      <c r="K63" s="134">
        <v>0.75264834788308133</v>
      </c>
      <c r="L63" s="49">
        <v>-4.3305897643649782E-2</v>
      </c>
      <c r="M63" s="42"/>
    </row>
    <row r="64" spans="2:13" ht="24.75" customHeight="1" thickBot="1" x14ac:dyDescent="0.25">
      <c r="C64" s="53"/>
      <c r="D64" s="102"/>
      <c r="E64" s="54" t="s">
        <v>11</v>
      </c>
      <c r="F64" s="135">
        <v>0.61163378342795638</v>
      </c>
      <c r="G64" s="61">
        <v>1.378412201904311E-2</v>
      </c>
      <c r="H64" s="48"/>
      <c r="I64" s="53"/>
      <c r="J64" s="54" t="s">
        <v>11</v>
      </c>
      <c r="K64" s="135">
        <v>0.60593173262156674</v>
      </c>
      <c r="L64" s="56">
        <v>-1.4570436036601686E-2</v>
      </c>
      <c r="M64" s="42"/>
    </row>
    <row r="65" spans="3:13" ht="24.75" customHeight="1" thickBot="1" x14ac:dyDescent="0.25">
      <c r="C65" s="57" t="s">
        <v>12</v>
      </c>
      <c r="D65" s="58"/>
      <c r="E65" s="59" t="s">
        <v>10</v>
      </c>
      <c r="F65" s="136">
        <v>0.63545971238572352</v>
      </c>
      <c r="G65" s="61">
        <v>-9.1393353210675654E-2</v>
      </c>
      <c r="H65" s="62"/>
      <c r="I65" s="63" t="s">
        <v>12</v>
      </c>
      <c r="J65" s="59" t="s">
        <v>10</v>
      </c>
      <c r="K65" s="136">
        <v>0.65089131189520921</v>
      </c>
      <c r="L65" s="56">
        <v>-3.8005547860909816E-2</v>
      </c>
      <c r="M65" s="42"/>
    </row>
    <row r="66" spans="3:13" ht="24.75" customHeight="1" x14ac:dyDescent="0.2">
      <c r="C66" s="64" t="s">
        <v>13</v>
      </c>
      <c r="D66" s="65"/>
      <c r="E66" s="66" t="s">
        <v>8</v>
      </c>
      <c r="F66" s="137">
        <v>0.48596538058766758</v>
      </c>
      <c r="G66" s="68">
        <v>-0.11402050246377082</v>
      </c>
      <c r="H66" s="62"/>
      <c r="I66" s="64" t="s">
        <v>13</v>
      </c>
      <c r="J66" s="66" t="s">
        <v>8</v>
      </c>
      <c r="K66" s="137">
        <v>0.47093308993891736</v>
      </c>
      <c r="L66" s="41">
        <v>-0.10538684808868737</v>
      </c>
      <c r="M66" s="42"/>
    </row>
    <row r="67" spans="3:13" ht="24.75" customHeight="1" x14ac:dyDescent="0.2">
      <c r="C67" s="69"/>
      <c r="D67" s="70"/>
      <c r="E67" s="71" t="s">
        <v>10</v>
      </c>
      <c r="F67" s="138">
        <v>0.58475571562793616</v>
      </c>
      <c r="G67" s="47">
        <v>-7.6100669993030001E-3</v>
      </c>
      <c r="H67" s="62"/>
      <c r="I67" s="69"/>
      <c r="J67" s="71" t="s">
        <v>10</v>
      </c>
      <c r="K67" s="138">
        <v>0.53807947019867552</v>
      </c>
      <c r="L67" s="49">
        <v>-8.9574084485198546E-2</v>
      </c>
      <c r="M67" s="42"/>
    </row>
    <row r="68" spans="3:13" ht="24.75" customHeight="1" thickBot="1" x14ac:dyDescent="0.25">
      <c r="C68" s="73"/>
      <c r="D68" s="74"/>
      <c r="E68" s="75" t="s">
        <v>11</v>
      </c>
      <c r="F68" s="139">
        <v>0.37699183832102606</v>
      </c>
      <c r="G68" s="61">
        <v>-0.24870912220309804</v>
      </c>
      <c r="H68" s="62"/>
      <c r="I68" s="73"/>
      <c r="J68" s="75" t="s">
        <v>11</v>
      </c>
      <c r="K68" s="139">
        <v>0.39018402536147839</v>
      </c>
      <c r="L68" s="56">
        <v>-0.12636603857365791</v>
      </c>
      <c r="M68" s="42"/>
    </row>
    <row r="69" spans="3:13" ht="24.75" customHeight="1" x14ac:dyDescent="0.2">
      <c r="C69" s="77" t="s">
        <v>14</v>
      </c>
      <c r="D69" s="78"/>
      <c r="E69" s="79" t="s">
        <v>8</v>
      </c>
      <c r="F69" s="140">
        <v>0.71670753263903086</v>
      </c>
      <c r="G69" s="68">
        <v>1.331193349364268E-3</v>
      </c>
      <c r="H69" s="62"/>
      <c r="I69" s="77" t="s">
        <v>14</v>
      </c>
      <c r="J69" s="79" t="s">
        <v>8</v>
      </c>
      <c r="K69" s="140">
        <v>0.71800036365289333</v>
      </c>
      <c r="L69" s="41">
        <v>-1.7933656723545632E-2</v>
      </c>
      <c r="M69" s="42"/>
    </row>
    <row r="70" spans="3:13" ht="24.75" customHeight="1" x14ac:dyDescent="0.2">
      <c r="C70" s="81"/>
      <c r="D70" s="82"/>
      <c r="E70" s="83" t="s">
        <v>10</v>
      </c>
      <c r="F70" s="141">
        <v>0.73318259828181676</v>
      </c>
      <c r="G70" s="47">
        <v>-3.5790922908405798E-2</v>
      </c>
      <c r="H70" s="62"/>
      <c r="I70" s="81"/>
      <c r="J70" s="83" t="s">
        <v>10</v>
      </c>
      <c r="K70" s="141">
        <v>0.74058170756668251</v>
      </c>
      <c r="L70" s="49">
        <v>-2.4223804941759686E-2</v>
      </c>
      <c r="M70" s="42"/>
    </row>
    <row r="71" spans="3:13" ht="24.75" customHeight="1" thickBot="1" x14ac:dyDescent="0.25">
      <c r="C71" s="85"/>
      <c r="D71" s="86"/>
      <c r="E71" s="59" t="s">
        <v>11</v>
      </c>
      <c r="F71" s="136">
        <v>0.68353362850516552</v>
      </c>
      <c r="G71" s="61">
        <v>0.10632700864385281</v>
      </c>
      <c r="H71" s="62"/>
      <c r="I71" s="85"/>
      <c r="J71" s="59" t="s">
        <v>11</v>
      </c>
      <c r="K71" s="136">
        <v>0.67106997531665757</v>
      </c>
      <c r="L71" s="56">
        <v>5.4049114899434869E-4</v>
      </c>
      <c r="M71" s="42"/>
    </row>
    <row r="72" spans="3:13" ht="24.75" customHeight="1" x14ac:dyDescent="0.2">
      <c r="C72" s="87" t="s">
        <v>15</v>
      </c>
      <c r="D72" s="88"/>
      <c r="E72" s="89" t="s">
        <v>8</v>
      </c>
      <c r="F72" s="142">
        <v>0.69468038825357814</v>
      </c>
      <c r="G72" s="68">
        <v>-2.3276029917135954E-2</v>
      </c>
      <c r="H72" s="62"/>
      <c r="I72" s="87" t="s">
        <v>15</v>
      </c>
      <c r="J72" s="89" t="s">
        <v>8</v>
      </c>
      <c r="K72" s="142">
        <v>0.69091299935700301</v>
      </c>
      <c r="L72" s="41">
        <v>-3.4831182852940512E-2</v>
      </c>
      <c r="M72" s="42"/>
    </row>
    <row r="73" spans="3:13" ht="24.75" customHeight="1" x14ac:dyDescent="0.2">
      <c r="C73" s="91"/>
      <c r="D73" s="92"/>
      <c r="E73" s="93" t="s">
        <v>10</v>
      </c>
      <c r="F73" s="143">
        <v>0.76426892765341969</v>
      </c>
      <c r="G73" s="47">
        <v>-4.0119517322721454E-2</v>
      </c>
      <c r="H73" s="62"/>
      <c r="I73" s="91"/>
      <c r="J73" s="93" t="s">
        <v>10</v>
      </c>
      <c r="K73" s="143">
        <v>0.76211055273571793</v>
      </c>
      <c r="L73" s="49">
        <v>-4.6989504371009794E-2</v>
      </c>
      <c r="M73" s="42"/>
    </row>
    <row r="74" spans="3:13" ht="24.75" customHeight="1" thickBot="1" x14ac:dyDescent="0.25">
      <c r="C74" s="95"/>
      <c r="D74" s="96"/>
      <c r="E74" s="97" t="s">
        <v>11</v>
      </c>
      <c r="F74" s="144">
        <v>0.60982274578883633</v>
      </c>
      <c r="G74" s="61">
        <v>6.9445955620304201E-3</v>
      </c>
      <c r="H74" s="62"/>
      <c r="I74" s="95"/>
      <c r="J74" s="97" t="s">
        <v>11</v>
      </c>
      <c r="K74" s="144">
        <v>0.60387037978768243</v>
      </c>
      <c r="L74" s="56">
        <v>-1.1834778295720549E-2</v>
      </c>
      <c r="M74" s="42"/>
    </row>
    <row r="75" spans="3:13" ht="5.25" customHeight="1" thickBot="1" x14ac:dyDescent="0.25"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</row>
    <row r="76" spans="3:13" ht="20.100000000000001" customHeight="1" thickBot="1" x14ac:dyDescent="0.25">
      <c r="C76" s="27" t="s">
        <v>19</v>
      </c>
      <c r="D76" s="28"/>
      <c r="E76" s="28"/>
      <c r="F76" s="28"/>
      <c r="G76" s="28"/>
      <c r="H76" s="28"/>
      <c r="I76" s="28"/>
      <c r="J76" s="28"/>
      <c r="K76" s="28"/>
      <c r="L76" s="28"/>
      <c r="M76" s="29"/>
    </row>
    <row r="77" spans="3:13" ht="5.25" customHeight="1" thickBot="1" x14ac:dyDescent="0.25">
      <c r="C77" s="145"/>
      <c r="D77" s="30"/>
      <c r="E77" s="30"/>
      <c r="F77" s="30"/>
      <c r="G77" s="30"/>
      <c r="H77" s="30"/>
      <c r="I77" s="30"/>
      <c r="J77" s="30"/>
      <c r="K77" s="30"/>
      <c r="L77" s="30"/>
      <c r="M77" s="100"/>
    </row>
    <row r="78" spans="3:13" ht="33.75" customHeight="1" x14ac:dyDescent="0.2">
      <c r="C78" s="77" t="s">
        <v>7</v>
      </c>
      <c r="D78" s="78"/>
      <c r="E78" s="79" t="s">
        <v>20</v>
      </c>
      <c r="F78" s="80">
        <v>60142</v>
      </c>
      <c r="G78" s="68">
        <v>0.11448372989400335</v>
      </c>
      <c r="H78" s="146"/>
      <c r="I78" s="77" t="s">
        <v>7</v>
      </c>
      <c r="J78" s="79" t="s">
        <v>20</v>
      </c>
      <c r="K78" s="80">
        <v>261387</v>
      </c>
      <c r="L78" s="41">
        <v>6.0032281088797435E-2</v>
      </c>
      <c r="M78" s="42" t="s">
        <v>9</v>
      </c>
    </row>
    <row r="79" spans="3:13" ht="33.75" customHeight="1" x14ac:dyDescent="0.2">
      <c r="C79" s="81"/>
      <c r="D79" s="82"/>
      <c r="E79" s="93" t="s">
        <v>21</v>
      </c>
      <c r="F79" s="94">
        <v>197335</v>
      </c>
      <c r="G79" s="47">
        <v>7.6815200427812202E-2</v>
      </c>
      <c r="H79" s="62"/>
      <c r="I79" s="81"/>
      <c r="J79" s="93" t="s">
        <v>21</v>
      </c>
      <c r="K79" s="94">
        <v>891234</v>
      </c>
      <c r="L79" s="49">
        <v>2.7122277284775897E-2</v>
      </c>
      <c r="M79" s="42"/>
    </row>
    <row r="80" spans="3:13" ht="33.75" customHeight="1" x14ac:dyDescent="0.2">
      <c r="C80" s="81"/>
      <c r="D80" s="82"/>
      <c r="E80" s="83" t="s">
        <v>22</v>
      </c>
      <c r="F80" s="84">
        <v>60098</v>
      </c>
      <c r="G80" s="47">
        <v>-1.6898136788208951E-2</v>
      </c>
      <c r="H80" s="62"/>
      <c r="I80" s="81"/>
      <c r="J80" s="83" t="s">
        <v>22</v>
      </c>
      <c r="K80" s="84">
        <v>270832</v>
      </c>
      <c r="L80" s="49">
        <v>-7.8034416435464937E-2</v>
      </c>
      <c r="M80" s="42"/>
    </row>
    <row r="81" spans="3:15" ht="33.75" customHeight="1" x14ac:dyDescent="0.2">
      <c r="C81" s="81"/>
      <c r="D81" s="82"/>
      <c r="E81" s="93" t="s">
        <v>23</v>
      </c>
      <c r="F81" s="94">
        <v>16417</v>
      </c>
      <c r="G81" s="47">
        <v>-0.11517732025439253</v>
      </c>
      <c r="H81" s="62"/>
      <c r="I81" s="81"/>
      <c r="J81" s="93" t="s">
        <v>23</v>
      </c>
      <c r="K81" s="94">
        <v>74883</v>
      </c>
      <c r="L81" s="49">
        <v>-6.0250489433261389E-2</v>
      </c>
      <c r="M81" s="42"/>
    </row>
    <row r="82" spans="3:15" ht="33.75" customHeight="1" thickBot="1" x14ac:dyDescent="0.25">
      <c r="C82" s="85"/>
      <c r="D82" s="86"/>
      <c r="E82" s="59" t="s">
        <v>24</v>
      </c>
      <c r="F82" s="60">
        <v>5430</v>
      </c>
      <c r="G82" s="61">
        <v>1.9718309859154903E-2</v>
      </c>
      <c r="H82" s="147"/>
      <c r="I82" s="85"/>
      <c r="J82" s="59" t="s">
        <v>24</v>
      </c>
      <c r="K82" s="60">
        <v>25312</v>
      </c>
      <c r="L82" s="56">
        <v>-2.4811218985976269E-2</v>
      </c>
      <c r="M82" s="42"/>
    </row>
    <row r="83" spans="3:15" ht="5.25" customHeight="1" thickBot="1" x14ac:dyDescent="0.25"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</row>
    <row r="84" spans="3:15" ht="20.100000000000001" customHeight="1" thickBot="1" x14ac:dyDescent="0.25">
      <c r="C84" s="27" t="s">
        <v>25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5" ht="5.25" customHeight="1" thickBot="1" x14ac:dyDescent="0.25">
      <c r="C85" s="145"/>
      <c r="D85" s="30"/>
      <c r="E85" s="30"/>
      <c r="F85" s="30"/>
      <c r="G85" s="30"/>
      <c r="H85" s="30"/>
      <c r="I85" s="30"/>
      <c r="J85" s="30"/>
      <c r="K85" s="30"/>
      <c r="L85" s="30"/>
      <c r="M85" s="100"/>
    </row>
    <row r="86" spans="3:15" s="148" customFormat="1" ht="33.75" customHeight="1" x14ac:dyDescent="0.2">
      <c r="C86" s="77" t="s">
        <v>7</v>
      </c>
      <c r="D86" s="78"/>
      <c r="E86" s="79" t="s">
        <v>20</v>
      </c>
      <c r="F86" s="80">
        <v>362324</v>
      </c>
      <c r="G86" s="68">
        <v>-2.4665735274720268E-2</v>
      </c>
      <c r="H86" s="146"/>
      <c r="I86" s="77" t="s">
        <v>7</v>
      </c>
      <c r="J86" s="79" t="s">
        <v>20</v>
      </c>
      <c r="K86" s="80">
        <v>1714312</v>
      </c>
      <c r="L86" s="41">
        <v>-5.6373696296644349E-3</v>
      </c>
      <c r="M86" s="42" t="s">
        <v>9</v>
      </c>
    </row>
    <row r="87" spans="3:15" s="148" customFormat="1" ht="33.75" customHeight="1" x14ac:dyDescent="0.2">
      <c r="C87" s="81"/>
      <c r="D87" s="82"/>
      <c r="E87" s="93" t="s">
        <v>21</v>
      </c>
      <c r="F87" s="94">
        <v>1373970</v>
      </c>
      <c r="G87" s="47">
        <v>-1.6499405878226514E-2</v>
      </c>
      <c r="H87" s="62"/>
      <c r="I87" s="81"/>
      <c r="J87" s="93" t="s">
        <v>21</v>
      </c>
      <c r="K87" s="94">
        <v>6723397</v>
      </c>
      <c r="L87" s="49">
        <v>-1.8429600534802359E-2</v>
      </c>
      <c r="M87" s="42" t="s">
        <v>26</v>
      </c>
    </row>
    <row r="88" spans="3:15" s="148" customFormat="1" ht="33.75" customHeight="1" x14ac:dyDescent="0.2">
      <c r="C88" s="81"/>
      <c r="D88" s="82"/>
      <c r="E88" s="83" t="s">
        <v>22</v>
      </c>
      <c r="F88" s="84">
        <v>389153</v>
      </c>
      <c r="G88" s="47">
        <v>-2.3016612229834754E-2</v>
      </c>
      <c r="H88" s="62"/>
      <c r="I88" s="81"/>
      <c r="J88" s="83" t="s">
        <v>22</v>
      </c>
      <c r="K88" s="84">
        <v>1867009</v>
      </c>
      <c r="L88" s="49">
        <v>-7.6455922871827342E-2</v>
      </c>
      <c r="M88" s="42" t="s">
        <v>26</v>
      </c>
    </row>
    <row r="89" spans="3:15" s="148" customFormat="1" ht="33.75" customHeight="1" x14ac:dyDescent="0.2">
      <c r="C89" s="81"/>
      <c r="D89" s="82"/>
      <c r="E89" s="93" t="s">
        <v>23</v>
      </c>
      <c r="F89" s="94">
        <v>59802</v>
      </c>
      <c r="G89" s="47">
        <v>-0.12919008649561692</v>
      </c>
      <c r="H89" s="62"/>
      <c r="I89" s="81"/>
      <c r="J89" s="93" t="s">
        <v>23</v>
      </c>
      <c r="K89" s="94">
        <v>286193</v>
      </c>
      <c r="L89" s="49">
        <v>-7.4030814626917851E-2</v>
      </c>
      <c r="M89" s="42" t="s">
        <v>26</v>
      </c>
    </row>
    <row r="90" spans="3:15" s="148" customFormat="1" ht="33.75" customHeight="1" thickBot="1" x14ac:dyDescent="0.25">
      <c r="C90" s="85"/>
      <c r="D90" s="86"/>
      <c r="E90" s="59" t="s">
        <v>24</v>
      </c>
      <c r="F90" s="60">
        <v>20813</v>
      </c>
      <c r="G90" s="61">
        <v>-4.7721449487554857E-2</v>
      </c>
      <c r="H90" s="147"/>
      <c r="I90" s="85"/>
      <c r="J90" s="59" t="s">
        <v>24</v>
      </c>
      <c r="K90" s="60">
        <v>102226</v>
      </c>
      <c r="L90" s="56">
        <v>-3.9671579817565195E-2</v>
      </c>
      <c r="M90" s="42" t="s">
        <v>26</v>
      </c>
    </row>
    <row r="91" spans="3:15" ht="5.25" customHeight="1" thickBot="1" x14ac:dyDescent="0.25"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</row>
    <row r="92" spans="3:15" ht="20.100000000000001" customHeight="1" thickBot="1" x14ac:dyDescent="0.25">
      <c r="C92" s="27" t="s">
        <v>27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5" ht="5.25" customHeight="1" thickBot="1" x14ac:dyDescent="0.25">
      <c r="C93" s="145"/>
      <c r="D93" s="30"/>
      <c r="E93" s="30"/>
      <c r="F93" s="30"/>
      <c r="G93" s="30"/>
      <c r="H93" s="30"/>
      <c r="I93" s="30"/>
      <c r="J93" s="30"/>
      <c r="K93" s="30"/>
      <c r="L93" s="30"/>
      <c r="M93" s="100"/>
    </row>
    <row r="94" spans="3:15" ht="33.75" customHeight="1" x14ac:dyDescent="0.2">
      <c r="C94" s="77" t="s">
        <v>7</v>
      </c>
      <c r="D94" s="78"/>
      <c r="E94" s="79" t="s">
        <v>20</v>
      </c>
      <c r="F94" s="149">
        <v>6.0244754082005922</v>
      </c>
      <c r="G94" s="104">
        <v>-0.85950279949342612</v>
      </c>
      <c r="H94" s="146"/>
      <c r="I94" s="77" t="s">
        <v>7</v>
      </c>
      <c r="J94" s="79" t="s">
        <v>20</v>
      </c>
      <c r="K94" s="149">
        <v>6.5585205079059019</v>
      </c>
      <c r="L94" s="105">
        <v>-0.43313750721267841</v>
      </c>
      <c r="M94" s="42" t="s">
        <v>9</v>
      </c>
    </row>
    <row r="95" spans="3:15" ht="33.75" customHeight="1" x14ac:dyDescent="0.2">
      <c r="C95" s="81"/>
      <c r="D95" s="82"/>
      <c r="E95" s="71" t="s">
        <v>21</v>
      </c>
      <c r="F95" s="150">
        <v>6.9626270048394865</v>
      </c>
      <c r="G95" s="107">
        <v>-0.66061454532476294</v>
      </c>
      <c r="H95" s="62"/>
      <c r="I95" s="81"/>
      <c r="J95" s="71" t="s">
        <v>21</v>
      </c>
      <c r="K95" s="150">
        <v>7.5439188810121696</v>
      </c>
      <c r="L95" s="108">
        <v>-0.35009172173071423</v>
      </c>
      <c r="M95" s="42" t="s">
        <v>26</v>
      </c>
    </row>
    <row r="96" spans="3:15" ht="33.75" customHeight="1" x14ac:dyDescent="0.2">
      <c r="C96" s="81"/>
      <c r="D96" s="82"/>
      <c r="E96" s="83" t="s">
        <v>22</v>
      </c>
      <c r="F96" s="151">
        <v>6.4753069985690042</v>
      </c>
      <c r="G96" s="107">
        <v>-4.0552385376948052E-2</v>
      </c>
      <c r="H96" s="62"/>
      <c r="I96" s="81"/>
      <c r="J96" s="83" t="s">
        <v>22</v>
      </c>
      <c r="K96" s="151">
        <v>6.8936056300584863</v>
      </c>
      <c r="L96" s="108">
        <v>1.1782341944241104E-2</v>
      </c>
      <c r="M96" s="42" t="s">
        <v>26</v>
      </c>
      <c r="O96" s="152"/>
    </row>
    <row r="97" spans="3:19" ht="33.75" customHeight="1" x14ac:dyDescent="0.2">
      <c r="C97" s="81"/>
      <c r="D97" s="82"/>
      <c r="E97" s="71" t="s">
        <v>23</v>
      </c>
      <c r="F97" s="150">
        <v>3.6426874581226776</v>
      </c>
      <c r="G97" s="107">
        <v>-5.8616842836684224E-2</v>
      </c>
      <c r="H97" s="62"/>
      <c r="I97" s="81"/>
      <c r="J97" s="71" t="s">
        <v>23</v>
      </c>
      <c r="K97" s="150">
        <v>3.8218687819665345</v>
      </c>
      <c r="L97" s="108">
        <v>-5.6877264918662185E-2</v>
      </c>
      <c r="M97" s="42" t="s">
        <v>26</v>
      </c>
    </row>
    <row r="98" spans="3:19" ht="33.75" customHeight="1" thickBot="1" x14ac:dyDescent="0.25">
      <c r="C98" s="85"/>
      <c r="D98" s="86"/>
      <c r="E98" s="59" t="s">
        <v>24</v>
      </c>
      <c r="F98" s="153">
        <v>3.8329650092081033</v>
      </c>
      <c r="G98" s="110">
        <v>-0.27144813633180309</v>
      </c>
      <c r="H98" s="147"/>
      <c r="I98" s="85"/>
      <c r="J98" s="59" t="s">
        <v>24</v>
      </c>
      <c r="K98" s="153">
        <v>4.0386378002528449</v>
      </c>
      <c r="L98" s="111">
        <v>-6.2494885831297253E-2</v>
      </c>
      <c r="M98" s="42" t="s">
        <v>26</v>
      </c>
    </row>
    <row r="99" spans="3:19" ht="5.25" customHeight="1" thickBot="1" x14ac:dyDescent="0.25"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</row>
    <row r="100" spans="3:19" ht="20.100000000000001" customHeight="1" thickBot="1" x14ac:dyDescent="0.25">
      <c r="C100" s="27" t="s">
        <v>28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9" ht="5.25" customHeight="1" thickBot="1" x14ac:dyDescent="0.25"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154"/>
    </row>
    <row r="102" spans="3:19" ht="33.75" customHeight="1" x14ac:dyDescent="0.2">
      <c r="C102" s="77" t="s">
        <v>7</v>
      </c>
      <c r="D102" s="78"/>
      <c r="E102" s="79" t="s">
        <v>20</v>
      </c>
      <c r="F102" s="140">
        <v>0.75003984904972953</v>
      </c>
      <c r="G102" s="68">
        <v>-6.2595053404959633E-2</v>
      </c>
      <c r="H102" s="146"/>
      <c r="I102" s="77" t="s">
        <v>7</v>
      </c>
      <c r="J102" s="79" t="s">
        <v>20</v>
      </c>
      <c r="K102" s="140">
        <v>0.74018238677896619</v>
      </c>
      <c r="L102" s="41">
        <v>-6.3046841034360757E-2</v>
      </c>
      <c r="M102" s="42" t="s">
        <v>9</v>
      </c>
    </row>
    <row r="103" spans="3:19" ht="33.75" customHeight="1" x14ac:dyDescent="0.2">
      <c r="C103" s="81"/>
      <c r="D103" s="82"/>
      <c r="E103" s="71" t="s">
        <v>21</v>
      </c>
      <c r="F103" s="138">
        <v>0.77443366188299712</v>
      </c>
      <c r="G103" s="47">
        <v>-3.6296241237180227E-2</v>
      </c>
      <c r="H103" s="62"/>
      <c r="I103" s="81"/>
      <c r="J103" s="71" t="s">
        <v>21</v>
      </c>
      <c r="K103" s="138">
        <v>0.78076817803296827</v>
      </c>
      <c r="L103" s="49">
        <v>-3.740955308470828E-2</v>
      </c>
      <c r="M103" s="42" t="s">
        <v>26</v>
      </c>
    </row>
    <row r="104" spans="3:19" ht="33.75" customHeight="1" x14ac:dyDescent="0.2">
      <c r="C104" s="81"/>
      <c r="D104" s="82"/>
      <c r="E104" s="83" t="s">
        <v>22</v>
      </c>
      <c r="F104" s="141">
        <v>0.71893491670838794</v>
      </c>
      <c r="G104" s="47">
        <v>-2.3016612229834643E-2</v>
      </c>
      <c r="H104" s="62"/>
      <c r="I104" s="81"/>
      <c r="J104" s="83" t="s">
        <v>22</v>
      </c>
      <c r="K104" s="141">
        <v>0.70810938739161755</v>
      </c>
      <c r="L104" s="49">
        <v>-4.5388458472715665E-2</v>
      </c>
      <c r="M104" s="42" t="s">
        <v>26</v>
      </c>
    </row>
    <row r="105" spans="3:19" ht="33.75" customHeight="1" x14ac:dyDescent="0.2">
      <c r="C105" s="81"/>
      <c r="D105" s="82"/>
      <c r="E105" s="71" t="s">
        <v>23</v>
      </c>
      <c r="F105" s="138">
        <v>0.61299547956579226</v>
      </c>
      <c r="G105" s="47">
        <v>-0.12919008649561703</v>
      </c>
      <c r="H105" s="62"/>
      <c r="I105" s="81"/>
      <c r="J105" s="71" t="s">
        <v>23</v>
      </c>
      <c r="K105" s="138">
        <v>0.60226179879081732</v>
      </c>
      <c r="L105" s="49">
        <v>-7.403081462691774E-2</v>
      </c>
      <c r="M105" s="42" t="s">
        <v>26</v>
      </c>
    </row>
    <row r="106" spans="3:19" ht="33.75" customHeight="1" thickBot="1" x14ac:dyDescent="0.25">
      <c r="C106" s="85"/>
      <c r="D106" s="86"/>
      <c r="E106" s="59" t="s">
        <v>24</v>
      </c>
      <c r="F106" s="136">
        <v>0.60268141541669085</v>
      </c>
      <c r="G106" s="61">
        <v>-4.7721449487554746E-2</v>
      </c>
      <c r="H106" s="147"/>
      <c r="I106" s="85"/>
      <c r="J106" s="59" t="s">
        <v>24</v>
      </c>
      <c r="K106" s="136">
        <v>0.60771398337831573</v>
      </c>
      <c r="L106" s="56">
        <v>-3.9671579817565084E-2</v>
      </c>
      <c r="M106" s="42" t="s">
        <v>26</v>
      </c>
    </row>
    <row r="107" spans="3:19" ht="5.25" customHeight="1" thickBot="1" x14ac:dyDescent="0.25">
      <c r="C107" s="155"/>
      <c r="D107" s="155"/>
      <c r="E107" s="156"/>
      <c r="F107" s="99"/>
      <c r="G107" s="157"/>
      <c r="H107" s="158"/>
      <c r="I107" s="99"/>
      <c r="J107" s="157"/>
      <c r="K107" s="156"/>
      <c r="L107" s="155"/>
      <c r="M107" s="159"/>
    </row>
    <row r="108" spans="3:19" ht="17.25" customHeight="1" thickBot="1" x14ac:dyDescent="0.25">
      <c r="C108" s="160"/>
      <c r="D108" s="161"/>
      <c r="E108" s="161"/>
      <c r="F108" s="161"/>
      <c r="G108" s="161"/>
      <c r="H108" s="161"/>
      <c r="I108" s="161"/>
      <c r="J108" s="161"/>
      <c r="K108" s="161"/>
      <c r="L108" s="161"/>
      <c r="M108" s="162"/>
    </row>
    <row r="109" spans="3:19" ht="50.25" customHeight="1" thickBot="1" x14ac:dyDescent="0.25">
      <c r="C109" s="2"/>
      <c r="D109" s="2"/>
      <c r="E109" s="3" t="str">
        <f>$E$1</f>
        <v>INDICADORES TURÍSTICOS DE TENERIFE definitivo</v>
      </c>
      <c r="F109" s="3"/>
      <c r="G109" s="3"/>
      <c r="H109" s="3"/>
      <c r="I109" s="3"/>
      <c r="J109" s="3"/>
      <c r="K109" s="3"/>
      <c r="L109" s="2"/>
      <c r="M109" s="2"/>
    </row>
    <row r="110" spans="3:19" s="1" customFormat="1" ht="9" customHeight="1" thickBot="1" x14ac:dyDescent="0.25">
      <c r="C110" s="163"/>
      <c r="D110" s="164"/>
      <c r="E110" s="165"/>
      <c r="F110" s="165"/>
      <c r="G110" s="165"/>
      <c r="H110" s="165"/>
      <c r="I110" s="165"/>
      <c r="J110" s="165"/>
      <c r="K110" s="165"/>
      <c r="L110" s="164"/>
      <c r="M110" s="166"/>
      <c r="O110" s="4"/>
      <c r="P110" s="4"/>
      <c r="Q110" s="4"/>
      <c r="R110" s="4"/>
      <c r="S110" s="4"/>
    </row>
    <row r="111" spans="3:19" ht="33" customHeight="1" thickBot="1" x14ac:dyDescent="0.25">
      <c r="C111" s="167" t="s">
        <v>29</v>
      </c>
      <c r="D111" s="168"/>
      <c r="E111" s="168"/>
      <c r="F111" s="168"/>
      <c r="G111" s="168"/>
      <c r="H111" s="168"/>
      <c r="I111" s="168"/>
      <c r="J111" s="168"/>
      <c r="K111" s="168"/>
      <c r="L111" s="168"/>
      <c r="M111" s="169"/>
    </row>
    <row r="112" spans="3:19" ht="20.100000000000001" customHeight="1" x14ac:dyDescent="0.2">
      <c r="C112" s="170"/>
      <c r="D112" s="171"/>
      <c r="E112" s="171"/>
      <c r="F112" s="171"/>
      <c r="G112" s="172" t="str">
        <f>C2</f>
        <v>marzo 2018</v>
      </c>
      <c r="H112" s="173"/>
      <c r="I112" s="173"/>
      <c r="J112" s="171"/>
      <c r="K112" s="171"/>
      <c r="L112" s="171"/>
      <c r="M112" s="174"/>
    </row>
    <row r="113" spans="3:13" ht="5.25" customHeight="1" thickBot="1" x14ac:dyDescent="0.25">
      <c r="C113" s="175"/>
      <c r="D113" s="171"/>
      <c r="E113" s="171"/>
      <c r="F113" s="171"/>
      <c r="G113" s="176"/>
      <c r="H113" s="176"/>
      <c r="I113" s="176"/>
      <c r="J113" s="171"/>
      <c r="K113" s="171"/>
      <c r="L113" s="171"/>
      <c r="M113" s="177"/>
    </row>
    <row r="114" spans="3:13" ht="33" customHeight="1" thickTop="1" thickBot="1" x14ac:dyDescent="0.25">
      <c r="C114" s="178"/>
      <c r="D114" s="179" t="s">
        <v>7</v>
      </c>
      <c r="E114" s="180"/>
      <c r="F114" s="179" t="s">
        <v>30</v>
      </c>
      <c r="G114" s="180"/>
      <c r="H114" s="179" t="s">
        <v>31</v>
      </c>
      <c r="I114" s="180"/>
      <c r="J114" s="179" t="s">
        <v>32</v>
      </c>
      <c r="K114" s="180"/>
      <c r="L114" s="179" t="s">
        <v>33</v>
      </c>
      <c r="M114" s="180"/>
    </row>
    <row r="115" spans="3:13" ht="31.5" customHeight="1" thickBot="1" x14ac:dyDescent="0.25">
      <c r="C115" s="181"/>
      <c r="D115" s="182" t="s">
        <v>34</v>
      </c>
      <c r="E115" s="183" t="s">
        <v>35</v>
      </c>
      <c r="F115" s="182" t="s">
        <v>34</v>
      </c>
      <c r="G115" s="183" t="s">
        <v>35</v>
      </c>
      <c r="H115" s="182" t="s">
        <v>34</v>
      </c>
      <c r="I115" s="183" t="s">
        <v>35</v>
      </c>
      <c r="J115" s="182" t="s">
        <v>34</v>
      </c>
      <c r="K115" s="183" t="s">
        <v>35</v>
      </c>
      <c r="L115" s="182" t="s">
        <v>34</v>
      </c>
      <c r="M115" s="183" t="s">
        <v>35</v>
      </c>
    </row>
    <row r="116" spans="3:13" ht="24" customHeight="1" thickBot="1" x14ac:dyDescent="0.25">
      <c r="C116" s="184" t="s">
        <v>36</v>
      </c>
      <c r="D116" s="185">
        <v>96746</v>
      </c>
      <c r="E116" s="186">
        <v>0.34153308558433637</v>
      </c>
      <c r="F116" s="185">
        <v>13806</v>
      </c>
      <c r="G116" s="186">
        <v>-0.14529808704265457</v>
      </c>
      <c r="H116" s="185">
        <v>3042</v>
      </c>
      <c r="I116" s="186">
        <v>1.103734439834025</v>
      </c>
      <c r="J116" s="185">
        <v>37053</v>
      </c>
      <c r="K116" s="186">
        <v>0.26116405718175639</v>
      </c>
      <c r="L116" s="185">
        <v>42845</v>
      </c>
      <c r="M116" s="186">
        <v>0.70445956160241874</v>
      </c>
    </row>
    <row r="117" spans="3:13" ht="27" hidden="1" customHeight="1" x14ac:dyDescent="0.2">
      <c r="C117" s="187" t="s">
        <v>37</v>
      </c>
      <c r="D117" s="188">
        <v>23202.464850687826</v>
      </c>
      <c r="E117" s="189">
        <v>0.37595247406268162</v>
      </c>
      <c r="F117" s="188" t="s">
        <v>38</v>
      </c>
      <c r="G117" s="189" t="s">
        <v>38</v>
      </c>
      <c r="H117" s="188" t="s">
        <v>38</v>
      </c>
      <c r="I117" s="189" t="s">
        <v>38</v>
      </c>
      <c r="J117" s="188" t="s">
        <v>38</v>
      </c>
      <c r="K117" s="189" t="s">
        <v>38</v>
      </c>
      <c r="L117" s="188" t="s">
        <v>38</v>
      </c>
      <c r="M117" s="189" t="s">
        <v>38</v>
      </c>
    </row>
    <row r="118" spans="3:13" ht="28.5" hidden="1" customHeight="1" x14ac:dyDescent="0.2">
      <c r="C118" s="190" t="s">
        <v>39</v>
      </c>
      <c r="D118" s="191">
        <v>13234.506661096995</v>
      </c>
      <c r="E118" s="192">
        <v>0.42043822787119955</v>
      </c>
      <c r="F118" s="191" t="s">
        <v>38</v>
      </c>
      <c r="G118" s="192" t="s">
        <v>38</v>
      </c>
      <c r="H118" s="191" t="s">
        <v>38</v>
      </c>
      <c r="I118" s="192" t="s">
        <v>38</v>
      </c>
      <c r="J118" s="191" t="s">
        <v>38</v>
      </c>
      <c r="K118" s="192" t="s">
        <v>38</v>
      </c>
      <c r="L118" s="191" t="s">
        <v>38</v>
      </c>
      <c r="M118" s="192" t="s">
        <v>38</v>
      </c>
    </row>
    <row r="119" spans="3:13" ht="27.75" hidden="1" customHeight="1" x14ac:dyDescent="0.2">
      <c r="C119" s="190" t="s">
        <v>40</v>
      </c>
      <c r="D119" s="191">
        <v>60309.028488215183</v>
      </c>
      <c r="E119" s="192">
        <v>0.31289357242627269</v>
      </c>
      <c r="F119" s="191" t="s">
        <v>38</v>
      </c>
      <c r="G119" s="192" t="s">
        <v>38</v>
      </c>
      <c r="H119" s="191" t="s">
        <v>38</v>
      </c>
      <c r="I119" s="192" t="s">
        <v>38</v>
      </c>
      <c r="J119" s="191" t="s">
        <v>38</v>
      </c>
      <c r="K119" s="192" t="s">
        <v>38</v>
      </c>
      <c r="L119" s="191" t="s">
        <v>38</v>
      </c>
      <c r="M119" s="192" t="s">
        <v>38</v>
      </c>
    </row>
    <row r="120" spans="3:13" ht="24" customHeight="1" thickBot="1" x14ac:dyDescent="0.25">
      <c r="C120" s="193" t="s">
        <v>41</v>
      </c>
      <c r="D120" s="194">
        <v>12264</v>
      </c>
      <c r="E120" s="192">
        <v>4.6862996158770764E-2</v>
      </c>
      <c r="F120" s="194">
        <v>152</v>
      </c>
      <c r="G120" s="192">
        <v>-0.10059171597633132</v>
      </c>
      <c r="H120" s="194">
        <v>151</v>
      </c>
      <c r="I120" s="192">
        <v>0.24793388429752072</v>
      </c>
      <c r="J120" s="194">
        <v>1253</v>
      </c>
      <c r="K120" s="192">
        <v>0.31204188481675388</v>
      </c>
      <c r="L120" s="194">
        <v>10708</v>
      </c>
      <c r="M120" s="192">
        <v>2.2731614135625522E-2</v>
      </c>
    </row>
    <row r="121" spans="3:13" ht="24" customHeight="1" thickBot="1" x14ac:dyDescent="0.25">
      <c r="C121" s="195" t="s">
        <v>42</v>
      </c>
      <c r="D121" s="191">
        <v>14139</v>
      </c>
      <c r="E121" s="192">
        <v>6.1805346951036455E-2</v>
      </c>
      <c r="F121" s="191">
        <v>164</v>
      </c>
      <c r="G121" s="192">
        <v>0.14685314685314688</v>
      </c>
      <c r="H121" s="191">
        <v>87</v>
      </c>
      <c r="I121" s="192">
        <v>0.5535714285714286</v>
      </c>
      <c r="J121" s="191">
        <v>696</v>
      </c>
      <c r="K121" s="192">
        <v>-0.18213866039952997</v>
      </c>
      <c r="L121" s="191">
        <v>13192</v>
      </c>
      <c r="M121" s="192">
        <v>7.5493233327898146E-2</v>
      </c>
    </row>
    <row r="122" spans="3:13" ht="24" customHeight="1" thickBot="1" x14ac:dyDescent="0.25">
      <c r="C122" s="193" t="s">
        <v>43</v>
      </c>
      <c r="D122" s="194">
        <v>62787</v>
      </c>
      <c r="E122" s="192">
        <v>5.2660698118901506E-2</v>
      </c>
      <c r="F122" s="194">
        <v>1410</v>
      </c>
      <c r="G122" s="192">
        <v>0.39603960396039595</v>
      </c>
      <c r="H122" s="194">
        <v>1296</v>
      </c>
      <c r="I122" s="192">
        <v>5.430566330488773E-3</v>
      </c>
      <c r="J122" s="194">
        <v>24700</v>
      </c>
      <c r="K122" s="192">
        <v>6.1543751074436992E-2</v>
      </c>
      <c r="L122" s="194">
        <v>35381</v>
      </c>
      <c r="M122" s="192">
        <v>3.8205346401009477E-2</v>
      </c>
    </row>
    <row r="123" spans="3:13" ht="24" customHeight="1" thickBot="1" x14ac:dyDescent="0.25">
      <c r="C123" s="195" t="s">
        <v>44</v>
      </c>
      <c r="D123" s="191">
        <v>16968</v>
      </c>
      <c r="E123" s="192">
        <v>0.10887465690759379</v>
      </c>
      <c r="F123" s="191">
        <v>539</v>
      </c>
      <c r="G123" s="192">
        <v>-2.7075812274368283E-2</v>
      </c>
      <c r="H123" s="191">
        <v>476</v>
      </c>
      <c r="I123" s="192">
        <v>0.20812182741116758</v>
      </c>
      <c r="J123" s="191">
        <v>3061</v>
      </c>
      <c r="K123" s="192">
        <v>5.0085763293310492E-2</v>
      </c>
      <c r="L123" s="191">
        <v>12892</v>
      </c>
      <c r="M123" s="192">
        <v>0.12702159279657321</v>
      </c>
    </row>
    <row r="124" spans="3:13" ht="24" customHeight="1" thickBot="1" x14ac:dyDescent="0.25">
      <c r="C124" s="193" t="s">
        <v>45</v>
      </c>
      <c r="D124" s="194">
        <v>169054</v>
      </c>
      <c r="E124" s="192">
        <v>-2.8670910804164507E-2</v>
      </c>
      <c r="F124" s="194">
        <v>1077</v>
      </c>
      <c r="G124" s="192">
        <v>-0.16251944012441677</v>
      </c>
      <c r="H124" s="194">
        <v>349</v>
      </c>
      <c r="I124" s="192">
        <v>0.10443037974683533</v>
      </c>
      <c r="J124" s="194">
        <v>8872</v>
      </c>
      <c r="K124" s="192">
        <v>-0.2079278635836086</v>
      </c>
      <c r="L124" s="194">
        <v>158756</v>
      </c>
      <c r="M124" s="192">
        <v>-1.5411712901805319E-2</v>
      </c>
    </row>
    <row r="125" spans="3:13" ht="24" customHeight="1" thickBot="1" x14ac:dyDescent="0.25">
      <c r="C125" s="195" t="s">
        <v>46</v>
      </c>
      <c r="D125" s="191">
        <v>9358</v>
      </c>
      <c r="E125" s="192">
        <v>0.29719988910451889</v>
      </c>
      <c r="F125" s="191">
        <v>101</v>
      </c>
      <c r="G125" s="192">
        <v>-0.16528925619834711</v>
      </c>
      <c r="H125" s="191">
        <v>43</v>
      </c>
      <c r="I125" s="192">
        <v>1.263157894736842</v>
      </c>
      <c r="J125" s="191">
        <v>819</v>
      </c>
      <c r="K125" s="192">
        <v>0.80396475770925102</v>
      </c>
      <c r="L125" s="191">
        <v>8395</v>
      </c>
      <c r="M125" s="192">
        <v>0.26812688821752273</v>
      </c>
    </row>
    <row r="126" spans="3:13" ht="24" customHeight="1" thickBot="1" x14ac:dyDescent="0.25">
      <c r="C126" s="193" t="s">
        <v>47</v>
      </c>
      <c r="D126" s="194">
        <v>11811</v>
      </c>
      <c r="E126" s="192">
        <v>-2.3400033074251647E-2</v>
      </c>
      <c r="F126" s="194">
        <v>734</v>
      </c>
      <c r="G126" s="192">
        <v>1.6620498614958512E-2</v>
      </c>
      <c r="H126" s="194">
        <v>148</v>
      </c>
      <c r="I126" s="192">
        <v>0.30973451327433632</v>
      </c>
      <c r="J126" s="194">
        <v>1256</v>
      </c>
      <c r="K126" s="192">
        <v>-1.2578616352201255E-2</v>
      </c>
      <c r="L126" s="194">
        <v>9673</v>
      </c>
      <c r="M126" s="192">
        <v>-3.1440873135075598E-2</v>
      </c>
    </row>
    <row r="127" spans="3:13" ht="24" customHeight="1" thickBot="1" x14ac:dyDescent="0.25">
      <c r="C127" s="195" t="s">
        <v>48</v>
      </c>
      <c r="D127" s="191">
        <v>62127</v>
      </c>
      <c r="E127" s="192">
        <v>4.147318659581245E-2</v>
      </c>
      <c r="F127" s="191">
        <v>1175</v>
      </c>
      <c r="G127" s="192">
        <v>-5.0888529886914391E-2</v>
      </c>
      <c r="H127" s="191">
        <v>137</v>
      </c>
      <c r="I127" s="192">
        <v>1.5370370370370372</v>
      </c>
      <c r="J127" s="191">
        <v>9426</v>
      </c>
      <c r="K127" s="192">
        <v>0.10245614035087725</v>
      </c>
      <c r="L127" s="191">
        <v>51389</v>
      </c>
      <c r="M127" s="192">
        <v>3.1679749452932171E-2</v>
      </c>
    </row>
    <row r="128" spans="3:13" ht="24" customHeight="1" thickBot="1" x14ac:dyDescent="0.25">
      <c r="C128" s="196" t="s">
        <v>49</v>
      </c>
      <c r="D128" s="194">
        <v>21606</v>
      </c>
      <c r="E128" s="192">
        <v>9.7205346294046979E-3</v>
      </c>
      <c r="F128" s="194">
        <v>431</v>
      </c>
      <c r="G128" s="192">
        <v>-4.008908685968815E-2</v>
      </c>
      <c r="H128" s="194">
        <v>80</v>
      </c>
      <c r="I128" s="192">
        <v>6.2727272727272725</v>
      </c>
      <c r="J128" s="194">
        <v>2339</v>
      </c>
      <c r="K128" s="192">
        <v>2.9942756494936162E-2</v>
      </c>
      <c r="L128" s="194">
        <v>18756</v>
      </c>
      <c r="M128" s="192">
        <v>4.7677720040713023E-3</v>
      </c>
    </row>
    <row r="129" spans="3:13" ht="24" customHeight="1" thickBot="1" x14ac:dyDescent="0.25">
      <c r="C129" s="190" t="s">
        <v>50</v>
      </c>
      <c r="D129" s="191">
        <v>10203</v>
      </c>
      <c r="E129" s="192">
        <v>-4.1611873003945199E-2</v>
      </c>
      <c r="F129" s="191">
        <v>305</v>
      </c>
      <c r="G129" s="192">
        <v>-0.19312169312169314</v>
      </c>
      <c r="H129" s="191">
        <v>8</v>
      </c>
      <c r="I129" s="192">
        <v>0.14285714285714279</v>
      </c>
      <c r="J129" s="191">
        <v>837</v>
      </c>
      <c r="K129" s="192">
        <v>-0.1553985872855701</v>
      </c>
      <c r="L129" s="191">
        <v>9053</v>
      </c>
      <c r="M129" s="192">
        <v>-2.3408845738942863E-2</v>
      </c>
    </row>
    <row r="130" spans="3:13" ht="24" customHeight="1" thickBot="1" x14ac:dyDescent="0.25">
      <c r="C130" s="196" t="s">
        <v>51</v>
      </c>
      <c r="D130" s="194">
        <v>13018</v>
      </c>
      <c r="E130" s="192">
        <v>-3.4129692832764458E-2</v>
      </c>
      <c r="F130" s="194">
        <v>220</v>
      </c>
      <c r="G130" s="192">
        <v>0.70542635658914721</v>
      </c>
      <c r="H130" s="194">
        <v>20</v>
      </c>
      <c r="I130" s="192">
        <v>-0.33333333333333337</v>
      </c>
      <c r="J130" s="194">
        <v>1369</v>
      </c>
      <c r="K130" s="192">
        <v>-8.1824279007377654E-2</v>
      </c>
      <c r="L130" s="194">
        <v>11409</v>
      </c>
      <c r="M130" s="192">
        <v>-3.5424416638484946E-2</v>
      </c>
    </row>
    <row r="131" spans="3:13" ht="24" customHeight="1" thickBot="1" x14ac:dyDescent="0.25">
      <c r="C131" s="190" t="s">
        <v>52</v>
      </c>
      <c r="D131" s="191">
        <v>17300</v>
      </c>
      <c r="E131" s="192">
        <v>0.22425872195881391</v>
      </c>
      <c r="F131" s="191">
        <v>219</v>
      </c>
      <c r="G131" s="192">
        <v>-0.22340425531914898</v>
      </c>
      <c r="H131" s="191">
        <v>29</v>
      </c>
      <c r="I131" s="192">
        <v>3.833333333333333</v>
      </c>
      <c r="J131" s="191">
        <v>4881</v>
      </c>
      <c r="K131" s="192">
        <v>0.28548854358704245</v>
      </c>
      <c r="L131" s="191">
        <v>12171</v>
      </c>
      <c r="M131" s="192">
        <v>0.21152697591081027</v>
      </c>
    </row>
    <row r="132" spans="3:13" ht="24" customHeight="1" thickBot="1" x14ac:dyDescent="0.25">
      <c r="C132" s="193" t="s">
        <v>53</v>
      </c>
      <c r="D132" s="194">
        <v>4209</v>
      </c>
      <c r="E132" s="192">
        <v>-6.8428504011326385E-3</v>
      </c>
      <c r="F132" s="194">
        <v>154</v>
      </c>
      <c r="G132" s="192">
        <v>0.46666666666666656</v>
      </c>
      <c r="H132" s="194">
        <v>68</v>
      </c>
      <c r="I132" s="192">
        <v>-0.13924050632911389</v>
      </c>
      <c r="J132" s="194">
        <v>730</v>
      </c>
      <c r="K132" s="192">
        <v>-2.0134228187919434E-2</v>
      </c>
      <c r="L132" s="194">
        <v>3257</v>
      </c>
      <c r="M132" s="192">
        <v>-1.5714717437292247E-2</v>
      </c>
    </row>
    <row r="133" spans="3:13" ht="24" customHeight="1" thickBot="1" x14ac:dyDescent="0.25">
      <c r="C133" s="195" t="s">
        <v>54</v>
      </c>
      <c r="D133" s="191">
        <v>2766</v>
      </c>
      <c r="E133" s="192">
        <v>-2.8109627547434957E-2</v>
      </c>
      <c r="F133" s="191">
        <v>98</v>
      </c>
      <c r="G133" s="192">
        <v>0.6333333333333333</v>
      </c>
      <c r="H133" s="191">
        <v>54</v>
      </c>
      <c r="I133" s="192">
        <v>0.22727272727272729</v>
      </c>
      <c r="J133" s="191">
        <v>686</v>
      </c>
      <c r="K133" s="192">
        <v>0.15294117647058814</v>
      </c>
      <c r="L133" s="191">
        <v>1928</v>
      </c>
      <c r="M133" s="192">
        <v>-0.10200279459711226</v>
      </c>
    </row>
    <row r="134" spans="3:13" ht="24" customHeight="1" thickBot="1" x14ac:dyDescent="0.25">
      <c r="C134" s="193" t="s">
        <v>55</v>
      </c>
      <c r="D134" s="194">
        <v>4950</v>
      </c>
      <c r="E134" s="192">
        <v>-0.14047577704462577</v>
      </c>
      <c r="F134" s="194">
        <v>133</v>
      </c>
      <c r="G134" s="192">
        <v>0.13675213675213671</v>
      </c>
      <c r="H134" s="194">
        <v>62</v>
      </c>
      <c r="I134" s="192">
        <v>0.9375</v>
      </c>
      <c r="J134" s="194">
        <v>607</v>
      </c>
      <c r="K134" s="192">
        <v>-7.3282442748091592E-2</v>
      </c>
      <c r="L134" s="194">
        <v>4148</v>
      </c>
      <c r="M134" s="192">
        <v>-0.16286579212916241</v>
      </c>
    </row>
    <row r="135" spans="3:13" ht="24" customHeight="1" thickBot="1" x14ac:dyDescent="0.25">
      <c r="C135" s="195" t="s">
        <v>56</v>
      </c>
      <c r="D135" s="191">
        <v>12732</v>
      </c>
      <c r="E135" s="192">
        <v>9.8912480580010342E-2</v>
      </c>
      <c r="F135" s="191">
        <v>224</v>
      </c>
      <c r="G135" s="192">
        <v>-0.18545454545454543</v>
      </c>
      <c r="H135" s="191">
        <v>41</v>
      </c>
      <c r="I135" s="192">
        <v>7.8947368421052655E-2</v>
      </c>
      <c r="J135" s="191">
        <v>1166</v>
      </c>
      <c r="K135" s="192">
        <v>-0.19530710835058662</v>
      </c>
      <c r="L135" s="191">
        <v>11301</v>
      </c>
      <c r="M135" s="192">
        <v>0.1503460912052117</v>
      </c>
    </row>
    <row r="136" spans="3:13" ht="24" customHeight="1" thickBot="1" x14ac:dyDescent="0.25">
      <c r="C136" s="193" t="s">
        <v>57</v>
      </c>
      <c r="D136" s="194">
        <v>12926</v>
      </c>
      <c r="E136" s="192">
        <v>3.0954960532425524E-4</v>
      </c>
      <c r="F136" s="194">
        <v>504</v>
      </c>
      <c r="G136" s="192">
        <v>-0.17647058823529416</v>
      </c>
      <c r="H136" s="194">
        <v>71</v>
      </c>
      <c r="I136" s="192">
        <v>0.44897959183673475</v>
      </c>
      <c r="J136" s="194">
        <v>3188</v>
      </c>
      <c r="K136" s="192">
        <v>1.270648030495547E-2</v>
      </c>
      <c r="L136" s="194">
        <v>9163</v>
      </c>
      <c r="M136" s="192">
        <v>5.4866673982223446E-3</v>
      </c>
    </row>
    <row r="137" spans="3:13" ht="24" customHeight="1" thickBot="1" x14ac:dyDescent="0.25">
      <c r="C137" s="195" t="s">
        <v>58</v>
      </c>
      <c r="D137" s="191">
        <v>2664</v>
      </c>
      <c r="E137" s="192">
        <v>0.2925764192139737</v>
      </c>
      <c r="F137" s="191">
        <v>290</v>
      </c>
      <c r="G137" s="192">
        <v>-3.9735099337748325E-2</v>
      </c>
      <c r="H137" s="191">
        <v>105</v>
      </c>
      <c r="I137" s="192">
        <v>0.45833333333333326</v>
      </c>
      <c r="J137" s="191">
        <v>492</v>
      </c>
      <c r="K137" s="192">
        <v>0.11818181818181817</v>
      </c>
      <c r="L137" s="191">
        <v>1777</v>
      </c>
      <c r="M137" s="192">
        <v>0.42502004811547711</v>
      </c>
    </row>
    <row r="138" spans="3:13" ht="24" customHeight="1" thickBot="1" x14ac:dyDescent="0.25">
      <c r="C138" s="193" t="s">
        <v>59</v>
      </c>
      <c r="D138" s="194">
        <v>1773</v>
      </c>
      <c r="E138" s="192">
        <v>0.19959404600811914</v>
      </c>
      <c r="F138" s="194">
        <v>496</v>
      </c>
      <c r="G138" s="192">
        <v>0.61038961038961048</v>
      </c>
      <c r="H138" s="194">
        <v>75</v>
      </c>
      <c r="I138" s="192">
        <v>0.5625</v>
      </c>
      <c r="J138" s="194">
        <v>417</v>
      </c>
      <c r="K138" s="192">
        <v>0.42808219178082196</v>
      </c>
      <c r="L138" s="194">
        <v>785</v>
      </c>
      <c r="M138" s="192">
        <v>-5.4216867469879526E-2</v>
      </c>
    </row>
    <row r="139" spans="3:13" ht="24" customHeight="1" thickBot="1" x14ac:dyDescent="0.25">
      <c r="C139" s="195" t="s">
        <v>60</v>
      </c>
      <c r="D139" s="197">
        <v>7041</v>
      </c>
      <c r="E139" s="198">
        <v>0.2792514534883721</v>
      </c>
      <c r="F139" s="197">
        <v>565</v>
      </c>
      <c r="G139" s="198">
        <v>3.669724770642202E-2</v>
      </c>
      <c r="H139" s="197">
        <v>91</v>
      </c>
      <c r="I139" s="198">
        <v>0.467741935483871</v>
      </c>
      <c r="J139" s="197">
        <v>1277</v>
      </c>
      <c r="K139" s="198">
        <v>0.50412249705535928</v>
      </c>
      <c r="L139" s="197">
        <v>5108</v>
      </c>
      <c r="M139" s="198">
        <v>0.26185770750988135</v>
      </c>
    </row>
    <row r="140" spans="3:13" ht="30.75" customHeight="1" thickTop="1" thickBot="1" x14ac:dyDescent="0.25">
      <c r="C140" s="199" t="s">
        <v>61</v>
      </c>
      <c r="D140" s="200">
        <v>407569</v>
      </c>
      <c r="E140" s="201">
        <v>2.0509392104722801E-2</v>
      </c>
      <c r="F140" s="200">
        <v>7816</v>
      </c>
      <c r="G140" s="201">
        <v>3.2906039381525032E-2</v>
      </c>
      <c r="H140" s="200">
        <v>3254</v>
      </c>
      <c r="I140" s="201">
        <v>0.16798277099784631</v>
      </c>
      <c r="J140" s="200">
        <v>58646</v>
      </c>
      <c r="K140" s="201">
        <v>1.7470809694824618E-2</v>
      </c>
      <c r="L140" s="200">
        <v>337853</v>
      </c>
      <c r="M140" s="201">
        <v>1.951500666896E-2</v>
      </c>
    </row>
    <row r="141" spans="3:13" ht="24" customHeight="1" thickBot="1" x14ac:dyDescent="0.25">
      <c r="C141" s="202" t="s">
        <v>8</v>
      </c>
      <c r="D141" s="203">
        <v>504315</v>
      </c>
      <c r="E141" s="204">
        <v>6.9610641916970417E-2</v>
      </c>
      <c r="F141" s="203">
        <v>21622</v>
      </c>
      <c r="G141" s="204">
        <v>-8.8448566610455304E-2</v>
      </c>
      <c r="H141" s="203">
        <v>6296</v>
      </c>
      <c r="I141" s="204">
        <v>0.48771266540642721</v>
      </c>
      <c r="J141" s="203">
        <v>95699</v>
      </c>
      <c r="K141" s="204">
        <v>9.9748330824302789E-2</v>
      </c>
      <c r="L141" s="203">
        <v>380698</v>
      </c>
      <c r="M141" s="204">
        <v>6.7807687021594676E-2</v>
      </c>
    </row>
    <row r="142" spans="3:13" ht="13.5" thickBot="1" x14ac:dyDescent="0.25">
      <c r="C142" s="18"/>
      <c r="D142" s="5"/>
      <c r="E142" s="5"/>
      <c r="F142" s="5"/>
      <c r="G142" s="5"/>
      <c r="H142" s="5"/>
      <c r="I142" s="5"/>
      <c r="J142" s="5"/>
      <c r="K142" s="5"/>
      <c r="L142" s="5"/>
      <c r="M142" s="205"/>
    </row>
    <row r="143" spans="3:13" ht="35.25" customHeight="1" thickBot="1" x14ac:dyDescent="0.25">
      <c r="C143" s="167" t="s">
        <v>29</v>
      </c>
      <c r="D143" s="168"/>
      <c r="E143" s="168"/>
      <c r="F143" s="168"/>
      <c r="G143" s="168"/>
      <c r="H143" s="168"/>
      <c r="I143" s="168"/>
      <c r="J143" s="168"/>
      <c r="K143" s="168"/>
      <c r="L143" s="168"/>
      <c r="M143" s="169"/>
    </row>
    <row r="144" spans="3:13" ht="20.100000000000001" customHeight="1" x14ac:dyDescent="0.2">
      <c r="C144" s="170"/>
      <c r="D144" s="171"/>
      <c r="E144" s="171"/>
      <c r="F144" s="171"/>
      <c r="G144" s="172" t="str">
        <f>I2</f>
        <v>Invierno 17/18 (nov-mar)</v>
      </c>
      <c r="H144" s="173"/>
      <c r="I144" s="173"/>
      <c r="J144" s="171"/>
      <c r="K144" s="171"/>
      <c r="L144" s="171"/>
      <c r="M144" s="174"/>
    </row>
    <row r="145" spans="3:13" ht="5.25" customHeight="1" thickBot="1" x14ac:dyDescent="0.25">
      <c r="C145" s="175"/>
      <c r="D145" s="171"/>
      <c r="E145" s="171"/>
      <c r="F145" s="171"/>
      <c r="G145" s="176"/>
      <c r="H145" s="176"/>
      <c r="I145" s="176"/>
      <c r="J145" s="171"/>
      <c r="K145" s="171"/>
      <c r="L145" s="171"/>
      <c r="M145" s="177"/>
    </row>
    <row r="146" spans="3:13" ht="32.25" customHeight="1" thickTop="1" thickBot="1" x14ac:dyDescent="0.25">
      <c r="C146" s="178"/>
      <c r="D146" s="179" t="s">
        <v>7</v>
      </c>
      <c r="E146" s="180"/>
      <c r="F146" s="179" t="s">
        <v>30</v>
      </c>
      <c r="G146" s="180"/>
      <c r="H146" s="179" t="s">
        <v>31</v>
      </c>
      <c r="I146" s="180"/>
      <c r="J146" s="179" t="s">
        <v>32</v>
      </c>
      <c r="K146" s="180"/>
      <c r="L146" s="179" t="s">
        <v>33</v>
      </c>
      <c r="M146" s="180"/>
    </row>
    <row r="147" spans="3:13" ht="31.5" customHeight="1" thickBot="1" x14ac:dyDescent="0.25">
      <c r="C147" s="181"/>
      <c r="D147" s="182" t="s">
        <v>62</v>
      </c>
      <c r="E147" s="183" t="s">
        <v>35</v>
      </c>
      <c r="F147" s="182" t="s">
        <v>62</v>
      </c>
      <c r="G147" s="183" t="s">
        <v>35</v>
      </c>
      <c r="H147" s="182" t="s">
        <v>62</v>
      </c>
      <c r="I147" s="183" t="s">
        <v>35</v>
      </c>
      <c r="J147" s="182" t="s">
        <v>62</v>
      </c>
      <c r="K147" s="183" t="s">
        <v>35</v>
      </c>
      <c r="L147" s="182" t="s">
        <v>62</v>
      </c>
      <c r="M147" s="183" t="s">
        <v>35</v>
      </c>
    </row>
    <row r="148" spans="3:13" ht="24" customHeight="1" thickBot="1" x14ac:dyDescent="0.25">
      <c r="C148" s="184" t="s">
        <v>36</v>
      </c>
      <c r="D148" s="185">
        <v>371775</v>
      </c>
      <c r="E148" s="186">
        <v>0.1157445199394973</v>
      </c>
      <c r="F148" s="185">
        <v>66707</v>
      </c>
      <c r="G148" s="186">
        <v>-4.6716016920086867E-2</v>
      </c>
      <c r="H148" s="185">
        <v>14846</v>
      </c>
      <c r="I148" s="186">
        <v>0.69687964338781572</v>
      </c>
      <c r="J148" s="185">
        <v>136302</v>
      </c>
      <c r="K148" s="186">
        <v>4.5918445648337247E-2</v>
      </c>
      <c r="L148" s="185">
        <v>153920</v>
      </c>
      <c r="M148" s="186">
        <v>0.23964080054765846</v>
      </c>
    </row>
    <row r="149" spans="3:13" ht="24" hidden="1" customHeight="1" x14ac:dyDescent="0.2">
      <c r="C149" s="187" t="s">
        <v>37</v>
      </c>
      <c r="D149" s="188">
        <v>85339.249134043101</v>
      </c>
      <c r="E149" s="189">
        <v>8.0684137460837357E-2</v>
      </c>
      <c r="F149" s="188" t="s">
        <v>38</v>
      </c>
      <c r="G149" s="189" t="s">
        <v>38</v>
      </c>
      <c r="H149" s="188" t="s">
        <v>38</v>
      </c>
      <c r="I149" s="189" t="s">
        <v>38</v>
      </c>
      <c r="J149" s="188" t="s">
        <v>38</v>
      </c>
      <c r="K149" s="189" t="s">
        <v>38</v>
      </c>
      <c r="L149" s="188" t="s">
        <v>38</v>
      </c>
      <c r="M149" s="189" t="s">
        <v>38</v>
      </c>
    </row>
    <row r="150" spans="3:13" ht="24" hidden="1" customHeight="1" x14ac:dyDescent="0.2">
      <c r="C150" s="190" t="s">
        <v>39</v>
      </c>
      <c r="D150" s="191">
        <v>50768.155830501797</v>
      </c>
      <c r="E150" s="192">
        <v>0.21839538499480815</v>
      </c>
      <c r="F150" s="191" t="s">
        <v>38</v>
      </c>
      <c r="G150" s="192" t="s">
        <v>38</v>
      </c>
      <c r="H150" s="191" t="s">
        <v>38</v>
      </c>
      <c r="I150" s="192" t="s">
        <v>38</v>
      </c>
      <c r="J150" s="191" t="s">
        <v>38</v>
      </c>
      <c r="K150" s="192" t="s">
        <v>38</v>
      </c>
      <c r="L150" s="191" t="s">
        <v>38</v>
      </c>
      <c r="M150" s="192" t="s">
        <v>38</v>
      </c>
    </row>
    <row r="151" spans="3:13" ht="24" hidden="1" customHeight="1" x14ac:dyDescent="0.2">
      <c r="C151" s="190" t="s">
        <v>40</v>
      </c>
      <c r="D151" s="191">
        <v>235667.59503539314</v>
      </c>
      <c r="E151" s="192">
        <v>0.10864754256526354</v>
      </c>
      <c r="F151" s="191" t="s">
        <v>38</v>
      </c>
      <c r="G151" s="192" t="s">
        <v>38</v>
      </c>
      <c r="H151" s="191" t="s">
        <v>38</v>
      </c>
      <c r="I151" s="192" t="s">
        <v>38</v>
      </c>
      <c r="J151" s="191" t="s">
        <v>38</v>
      </c>
      <c r="K151" s="192" t="s">
        <v>38</v>
      </c>
      <c r="L151" s="191" t="s">
        <v>38</v>
      </c>
      <c r="M151" s="192" t="s">
        <v>38</v>
      </c>
    </row>
    <row r="152" spans="3:13" ht="24" customHeight="1" thickBot="1" x14ac:dyDescent="0.25">
      <c r="C152" s="193" t="s">
        <v>41</v>
      </c>
      <c r="D152" s="194">
        <v>61243</v>
      </c>
      <c r="E152" s="192">
        <v>3.1704317649635216E-2</v>
      </c>
      <c r="F152" s="194">
        <v>887</v>
      </c>
      <c r="G152" s="192">
        <v>-0.18097876269621427</v>
      </c>
      <c r="H152" s="194">
        <v>604</v>
      </c>
      <c r="I152" s="192">
        <v>0.16827852998065773</v>
      </c>
      <c r="J152" s="194">
        <v>5226</v>
      </c>
      <c r="K152" s="192">
        <v>9.4221105527638294E-2</v>
      </c>
      <c r="L152" s="194">
        <v>54526</v>
      </c>
      <c r="M152" s="192">
        <v>2.9083702934792788E-2</v>
      </c>
    </row>
    <row r="153" spans="3:13" ht="24" customHeight="1" thickBot="1" x14ac:dyDescent="0.25">
      <c r="C153" s="195" t="s">
        <v>42</v>
      </c>
      <c r="D153" s="191">
        <v>68665</v>
      </c>
      <c r="E153" s="192">
        <v>3.1222779563271574E-2</v>
      </c>
      <c r="F153" s="191">
        <v>789</v>
      </c>
      <c r="G153" s="192">
        <v>-1.4981273408239737E-2</v>
      </c>
      <c r="H153" s="191">
        <v>366</v>
      </c>
      <c r="I153" s="192">
        <v>0.27083333333333326</v>
      </c>
      <c r="J153" s="191">
        <v>3769</v>
      </c>
      <c r="K153" s="192">
        <v>1.9751082251082241E-2</v>
      </c>
      <c r="L153" s="191">
        <v>63741</v>
      </c>
      <c r="M153" s="192">
        <v>3.1391077814274748E-2</v>
      </c>
    </row>
    <row r="154" spans="3:13" ht="24" customHeight="1" thickBot="1" x14ac:dyDescent="0.25">
      <c r="C154" s="193" t="s">
        <v>43</v>
      </c>
      <c r="D154" s="194">
        <v>282937</v>
      </c>
      <c r="E154" s="192">
        <v>2.9374633908529013E-2</v>
      </c>
      <c r="F154" s="194">
        <v>6364</v>
      </c>
      <c r="G154" s="192">
        <v>0.30356411306841458</v>
      </c>
      <c r="H154" s="194">
        <v>5790</v>
      </c>
      <c r="I154" s="192">
        <v>0.19307644755821141</v>
      </c>
      <c r="J154" s="194">
        <v>113041</v>
      </c>
      <c r="K154" s="192">
        <v>4.9464781409857661E-2</v>
      </c>
      <c r="L154" s="194">
        <v>157742</v>
      </c>
      <c r="M154" s="192">
        <v>2.0773115649714846E-3</v>
      </c>
    </row>
    <row r="155" spans="3:13" ht="24" customHeight="1" thickBot="1" x14ac:dyDescent="0.25">
      <c r="C155" s="195" t="s">
        <v>44</v>
      </c>
      <c r="D155" s="191">
        <v>71546</v>
      </c>
      <c r="E155" s="192">
        <v>3.9051948240556467E-2</v>
      </c>
      <c r="F155" s="191">
        <v>2741</v>
      </c>
      <c r="G155" s="192">
        <v>5.8715596330274344E-3</v>
      </c>
      <c r="H155" s="191">
        <v>2336</v>
      </c>
      <c r="I155" s="192">
        <v>0.32052006783493492</v>
      </c>
      <c r="J155" s="191">
        <v>12682</v>
      </c>
      <c r="K155" s="192">
        <v>0.11138375251949872</v>
      </c>
      <c r="L155" s="191">
        <v>53787</v>
      </c>
      <c r="M155" s="192">
        <v>1.5768998338117513E-2</v>
      </c>
    </row>
    <row r="156" spans="3:13" ht="24" customHeight="1" thickBot="1" x14ac:dyDescent="0.25">
      <c r="C156" s="193" t="s">
        <v>45</v>
      </c>
      <c r="D156" s="194">
        <v>754093</v>
      </c>
      <c r="E156" s="192">
        <v>-2.1086874965112634E-2</v>
      </c>
      <c r="F156" s="194">
        <v>5525</v>
      </c>
      <c r="G156" s="192">
        <v>-5.2640603566529443E-2</v>
      </c>
      <c r="H156" s="194">
        <v>1850</v>
      </c>
      <c r="I156" s="192">
        <v>0.37956748695003739</v>
      </c>
      <c r="J156" s="194">
        <v>41032</v>
      </c>
      <c r="K156" s="192">
        <v>-6.5458023960278777E-2</v>
      </c>
      <c r="L156" s="194">
        <v>705686</v>
      </c>
      <c r="M156" s="192">
        <v>-1.8869446012418356E-2</v>
      </c>
    </row>
    <row r="157" spans="3:13" ht="24" customHeight="1" thickBot="1" x14ac:dyDescent="0.25">
      <c r="C157" s="195" t="s">
        <v>46</v>
      </c>
      <c r="D157" s="191">
        <v>39081</v>
      </c>
      <c r="E157" s="192">
        <v>0.17261761881901094</v>
      </c>
      <c r="F157" s="191">
        <v>533</v>
      </c>
      <c r="G157" s="192">
        <v>-8.2616179001721135E-2</v>
      </c>
      <c r="H157" s="191">
        <v>205</v>
      </c>
      <c r="I157" s="192">
        <v>0.83035714285714279</v>
      </c>
      <c r="J157" s="191">
        <v>2872</v>
      </c>
      <c r="K157" s="192">
        <v>0.29954751131221724</v>
      </c>
      <c r="L157" s="191">
        <v>35471</v>
      </c>
      <c r="M157" s="192">
        <v>0.1658504519309778</v>
      </c>
    </row>
    <row r="158" spans="3:13" ht="24" customHeight="1" thickBot="1" x14ac:dyDescent="0.25">
      <c r="C158" s="193" t="s">
        <v>47</v>
      </c>
      <c r="D158" s="194">
        <v>62902</v>
      </c>
      <c r="E158" s="192">
        <v>-3.2187586546450486E-2</v>
      </c>
      <c r="F158" s="194">
        <v>3369</v>
      </c>
      <c r="G158" s="192">
        <v>-8.6744375169422572E-2</v>
      </c>
      <c r="H158" s="194">
        <v>893</v>
      </c>
      <c r="I158" s="192">
        <v>0.38664596273291929</v>
      </c>
      <c r="J158" s="194">
        <v>6231</v>
      </c>
      <c r="K158" s="192">
        <v>-1.4705882352941124E-2</v>
      </c>
      <c r="L158" s="194">
        <v>52409</v>
      </c>
      <c r="M158" s="192">
        <v>-3.5482268067799083E-2</v>
      </c>
    </row>
    <row r="159" spans="3:13" ht="24" customHeight="1" thickBot="1" x14ac:dyDescent="0.25">
      <c r="C159" s="195" t="s">
        <v>48</v>
      </c>
      <c r="D159" s="191">
        <v>313787</v>
      </c>
      <c r="E159" s="192">
        <v>-6.6762478790487467E-3</v>
      </c>
      <c r="F159" s="191">
        <v>6208</v>
      </c>
      <c r="G159" s="192">
        <v>4.0040207739989953E-2</v>
      </c>
      <c r="H159" s="191">
        <v>673</v>
      </c>
      <c r="I159" s="192">
        <v>0.5365296803652968</v>
      </c>
      <c r="J159" s="191">
        <v>46099</v>
      </c>
      <c r="K159" s="192">
        <v>-4.245684730905841E-2</v>
      </c>
      <c r="L159" s="191">
        <v>260807</v>
      </c>
      <c r="M159" s="192">
        <v>-2.0624000367328588E-3</v>
      </c>
    </row>
    <row r="160" spans="3:13" ht="24" customHeight="1" thickBot="1" x14ac:dyDescent="0.25">
      <c r="C160" s="196" t="s">
        <v>49</v>
      </c>
      <c r="D160" s="194">
        <v>116516</v>
      </c>
      <c r="E160" s="192">
        <v>-7.5805325111152344E-3</v>
      </c>
      <c r="F160" s="194">
        <v>2293</v>
      </c>
      <c r="G160" s="192">
        <v>2.047174009790842E-2</v>
      </c>
      <c r="H160" s="194">
        <v>334</v>
      </c>
      <c r="I160" s="192">
        <v>0.80540540540540539</v>
      </c>
      <c r="J160" s="194">
        <v>12083</v>
      </c>
      <c r="K160" s="192">
        <v>-9.3956208758248394E-2</v>
      </c>
      <c r="L160" s="194">
        <v>101806</v>
      </c>
      <c r="M160" s="192">
        <v>1.6529250870738199E-3</v>
      </c>
    </row>
    <row r="161" spans="3:13" ht="24" customHeight="1" thickBot="1" x14ac:dyDescent="0.25">
      <c r="C161" s="190" t="s">
        <v>50</v>
      </c>
      <c r="D161" s="191">
        <v>51066</v>
      </c>
      <c r="E161" s="192">
        <v>-0.11262098806193199</v>
      </c>
      <c r="F161" s="191">
        <v>1552</v>
      </c>
      <c r="G161" s="192">
        <v>3.8127090301003363E-2</v>
      </c>
      <c r="H161" s="191">
        <v>93</v>
      </c>
      <c r="I161" s="192">
        <v>0.32857142857142851</v>
      </c>
      <c r="J161" s="191">
        <v>3923</v>
      </c>
      <c r="K161" s="192">
        <v>-0.2761992619926199</v>
      </c>
      <c r="L161" s="191">
        <v>45498</v>
      </c>
      <c r="M161" s="192">
        <v>-0.10015426604960243</v>
      </c>
    </row>
    <row r="162" spans="3:13" ht="24" customHeight="1" thickBot="1" x14ac:dyDescent="0.25">
      <c r="C162" s="196" t="s">
        <v>51</v>
      </c>
      <c r="D162" s="194">
        <v>59584</v>
      </c>
      <c r="E162" s="192">
        <v>-8.3351281499030816E-2</v>
      </c>
      <c r="F162" s="194">
        <v>1057</v>
      </c>
      <c r="G162" s="192">
        <v>0.31631382316313816</v>
      </c>
      <c r="H162" s="194">
        <v>145</v>
      </c>
      <c r="I162" s="192">
        <v>0.1328125</v>
      </c>
      <c r="J162" s="194">
        <v>7161</v>
      </c>
      <c r="K162" s="192">
        <v>-8.5674157303370801E-2</v>
      </c>
      <c r="L162" s="194">
        <v>51221</v>
      </c>
      <c r="M162" s="192">
        <v>-8.9226337594907501E-2</v>
      </c>
    </row>
    <row r="163" spans="3:13" ht="24" customHeight="1" thickBot="1" x14ac:dyDescent="0.25">
      <c r="C163" s="190" t="s">
        <v>52</v>
      </c>
      <c r="D163" s="191">
        <v>86621</v>
      </c>
      <c r="E163" s="192">
        <v>0.14063549334351677</v>
      </c>
      <c r="F163" s="191">
        <v>1306</v>
      </c>
      <c r="G163" s="192">
        <v>-8.2865168539325795E-2</v>
      </c>
      <c r="H163" s="191">
        <v>101</v>
      </c>
      <c r="I163" s="192">
        <v>0.83636363636363642</v>
      </c>
      <c r="J163" s="191">
        <v>22932</v>
      </c>
      <c r="K163" s="192">
        <v>6.3883089770354839E-2</v>
      </c>
      <c r="L163" s="191">
        <v>62282</v>
      </c>
      <c r="M163" s="192">
        <v>0.17719772430869263</v>
      </c>
    </row>
    <row r="164" spans="3:13" ht="24" customHeight="1" thickBot="1" x14ac:dyDescent="0.25">
      <c r="C164" s="193" t="s">
        <v>53</v>
      </c>
      <c r="D164" s="194">
        <v>21639</v>
      </c>
      <c r="E164" s="192">
        <v>1.5737097894006347E-3</v>
      </c>
      <c r="F164" s="194">
        <v>775</v>
      </c>
      <c r="G164" s="192">
        <v>8.3916083916083961E-2</v>
      </c>
      <c r="H164" s="194">
        <v>422</v>
      </c>
      <c r="I164" s="192">
        <v>-1.8604651162790753E-2</v>
      </c>
      <c r="J164" s="194">
        <v>3961</v>
      </c>
      <c r="K164" s="192">
        <v>-6.1819043107531946E-2</v>
      </c>
      <c r="L164" s="194">
        <v>16481</v>
      </c>
      <c r="M164" s="192">
        <v>1.4964897154821966E-2</v>
      </c>
    </row>
    <row r="165" spans="3:13" ht="24" customHeight="1" thickBot="1" x14ac:dyDescent="0.25">
      <c r="C165" s="195" t="s">
        <v>54</v>
      </c>
      <c r="D165" s="191">
        <v>15570</v>
      </c>
      <c r="E165" s="192">
        <v>-8.0330773774365039E-2</v>
      </c>
      <c r="F165" s="191">
        <v>423</v>
      </c>
      <c r="G165" s="192">
        <v>9.8701298701298734E-2</v>
      </c>
      <c r="H165" s="191">
        <v>307</v>
      </c>
      <c r="I165" s="192">
        <v>0.22799999999999998</v>
      </c>
      <c r="J165" s="191">
        <v>3503</v>
      </c>
      <c r="K165" s="192">
        <v>-4.9389416553595633E-2</v>
      </c>
      <c r="L165" s="191">
        <v>11337</v>
      </c>
      <c r="M165" s="192">
        <v>-0.10095162569389371</v>
      </c>
    </row>
    <row r="166" spans="3:13" ht="24" customHeight="1" thickBot="1" x14ac:dyDescent="0.25">
      <c r="C166" s="193" t="s">
        <v>55</v>
      </c>
      <c r="D166" s="194">
        <v>29776</v>
      </c>
      <c r="E166" s="192">
        <v>-6.8772478498827172E-2</v>
      </c>
      <c r="F166" s="194">
        <v>1089</v>
      </c>
      <c r="G166" s="192">
        <v>0.12152420185375901</v>
      </c>
      <c r="H166" s="194">
        <v>267</v>
      </c>
      <c r="I166" s="192">
        <v>0.92086330935251803</v>
      </c>
      <c r="J166" s="194">
        <v>3159</v>
      </c>
      <c r="K166" s="192">
        <v>2.1668822768434737E-2</v>
      </c>
      <c r="L166" s="194">
        <v>25261</v>
      </c>
      <c r="M166" s="192">
        <v>-9.0447556979800559E-2</v>
      </c>
    </row>
    <row r="167" spans="3:13" ht="24" customHeight="1" thickBot="1" x14ac:dyDescent="0.25">
      <c r="C167" s="195" t="s">
        <v>56</v>
      </c>
      <c r="D167" s="191">
        <v>61801</v>
      </c>
      <c r="E167" s="192">
        <v>0.14560857153449747</v>
      </c>
      <c r="F167" s="191">
        <v>1277</v>
      </c>
      <c r="G167" s="192">
        <v>7.0977917981072114E-3</v>
      </c>
      <c r="H167" s="191">
        <v>359</v>
      </c>
      <c r="I167" s="192">
        <v>0.72596153846153855</v>
      </c>
      <c r="J167" s="191">
        <v>5825</v>
      </c>
      <c r="K167" s="192">
        <v>-0.12747153984421811</v>
      </c>
      <c r="L167" s="191">
        <v>54340</v>
      </c>
      <c r="M167" s="192">
        <v>0.18661833427959995</v>
      </c>
    </row>
    <row r="168" spans="3:13" ht="24" customHeight="1" thickBot="1" x14ac:dyDescent="0.25">
      <c r="C168" s="193" t="s">
        <v>57</v>
      </c>
      <c r="D168" s="194">
        <v>58798</v>
      </c>
      <c r="E168" s="192">
        <v>6.8075836481851226E-4</v>
      </c>
      <c r="F168" s="194">
        <v>2781</v>
      </c>
      <c r="G168" s="192">
        <v>-0.10058214747736094</v>
      </c>
      <c r="H168" s="194">
        <v>324</v>
      </c>
      <c r="I168" s="192">
        <v>0.31174089068825905</v>
      </c>
      <c r="J168" s="194">
        <v>13549</v>
      </c>
      <c r="K168" s="192">
        <v>-4.892601431980903E-2</v>
      </c>
      <c r="L168" s="194">
        <v>42144</v>
      </c>
      <c r="M168" s="192">
        <v>2.3583416316518058E-2</v>
      </c>
    </row>
    <row r="169" spans="3:13" ht="24" customHeight="1" thickBot="1" x14ac:dyDescent="0.25">
      <c r="C169" s="195" t="s">
        <v>58</v>
      </c>
      <c r="D169" s="191">
        <v>9404</v>
      </c>
      <c r="E169" s="192">
        <v>0.17008834142092821</v>
      </c>
      <c r="F169" s="191">
        <v>1393</v>
      </c>
      <c r="G169" s="192">
        <v>0.2768102658111824</v>
      </c>
      <c r="H169" s="191">
        <v>421</v>
      </c>
      <c r="I169" s="192">
        <v>0.36688311688311681</v>
      </c>
      <c r="J169" s="191">
        <v>1519</v>
      </c>
      <c r="K169" s="192">
        <v>0.13104988830975439</v>
      </c>
      <c r="L169" s="191">
        <v>6071</v>
      </c>
      <c r="M169" s="192">
        <v>0.14655335221907451</v>
      </c>
    </row>
    <row r="170" spans="3:13" ht="24" customHeight="1" thickBot="1" x14ac:dyDescent="0.25">
      <c r="C170" s="193" t="s">
        <v>59</v>
      </c>
      <c r="D170" s="194">
        <v>8364</v>
      </c>
      <c r="E170" s="192">
        <v>0.19485714285714284</v>
      </c>
      <c r="F170" s="194">
        <v>2271</v>
      </c>
      <c r="G170" s="192">
        <v>0.40271772699197039</v>
      </c>
      <c r="H170" s="194">
        <v>476</v>
      </c>
      <c r="I170" s="192">
        <v>1.1735159817351599</v>
      </c>
      <c r="J170" s="194">
        <v>1696</v>
      </c>
      <c r="K170" s="192">
        <v>0.25816023738872396</v>
      </c>
      <c r="L170" s="194">
        <v>3921</v>
      </c>
      <c r="M170" s="192">
        <v>2.8054535920293722E-2</v>
      </c>
    </row>
    <row r="171" spans="3:13" ht="24" customHeight="1" thickBot="1" x14ac:dyDescent="0.25">
      <c r="C171" s="195" t="s">
        <v>60</v>
      </c>
      <c r="D171" s="197">
        <v>31463</v>
      </c>
      <c r="E171" s="198">
        <v>0.2464049439448559</v>
      </c>
      <c r="F171" s="197">
        <v>3052</v>
      </c>
      <c r="G171" s="198">
        <v>0.3240780911062906</v>
      </c>
      <c r="H171" s="197">
        <v>608</v>
      </c>
      <c r="I171" s="198">
        <v>0.72727272727272729</v>
      </c>
      <c r="J171" s="197">
        <v>5758</v>
      </c>
      <c r="K171" s="198">
        <v>0.29801623083859341</v>
      </c>
      <c r="L171" s="197">
        <v>22045</v>
      </c>
      <c r="M171" s="198">
        <v>0.21460055096418729</v>
      </c>
    </row>
    <row r="172" spans="3:13" ht="30.75" customHeight="1" thickTop="1" thickBot="1" x14ac:dyDescent="0.25">
      <c r="C172" s="199" t="s">
        <v>61</v>
      </c>
      <c r="D172" s="200">
        <v>1891069</v>
      </c>
      <c r="E172" s="201">
        <v>7.1112990462880443E-3</v>
      </c>
      <c r="F172" s="200">
        <v>39477</v>
      </c>
      <c r="G172" s="201">
        <v>6.6715304798962372E-2</v>
      </c>
      <c r="H172" s="200">
        <v>15901</v>
      </c>
      <c r="I172" s="201">
        <v>0.31250515889393315</v>
      </c>
      <c r="J172" s="200">
        <v>269922</v>
      </c>
      <c r="K172" s="201">
        <v>1.0085058770259003E-2</v>
      </c>
      <c r="L172" s="200">
        <v>1565769</v>
      </c>
      <c r="M172" s="201">
        <v>2.8199666189734351E-3</v>
      </c>
    </row>
    <row r="173" spans="3:13" ht="24" customHeight="1" thickBot="1" x14ac:dyDescent="0.25">
      <c r="C173" s="202" t="s">
        <v>8</v>
      </c>
      <c r="D173" s="203">
        <v>2262844</v>
      </c>
      <c r="E173" s="204">
        <v>2.3483394273163594E-2</v>
      </c>
      <c r="F173" s="203">
        <v>106184</v>
      </c>
      <c r="G173" s="204">
        <v>-7.4777536827936864E-3</v>
      </c>
      <c r="H173" s="203">
        <v>30747</v>
      </c>
      <c r="I173" s="204">
        <v>0.47368673312883436</v>
      </c>
      <c r="J173" s="203">
        <v>406224</v>
      </c>
      <c r="K173" s="204">
        <v>2.1831490774629314E-2</v>
      </c>
      <c r="L173" s="203">
        <v>1719689</v>
      </c>
      <c r="M173" s="204">
        <v>2.0265423774466385E-2</v>
      </c>
    </row>
    <row r="174" spans="3:13" ht="18" customHeight="1" x14ac:dyDescent="0.2">
      <c r="C174" s="4"/>
    </row>
    <row r="175" spans="3:13" ht="17.25" hidden="1" customHeight="1" x14ac:dyDescent="0.2">
      <c r="C175" s="160"/>
      <c r="D175" s="161"/>
      <c r="E175" s="161"/>
      <c r="F175" s="161"/>
      <c r="G175" s="161"/>
      <c r="H175" s="161"/>
      <c r="I175" s="161"/>
      <c r="J175" s="161"/>
      <c r="K175" s="161"/>
      <c r="L175" s="161"/>
      <c r="M175" s="162"/>
    </row>
    <row r="176" spans="3:13" ht="21.75" hidden="1" customHeight="1" x14ac:dyDescent="0.2">
      <c r="C176" s="163"/>
      <c r="D176" s="164"/>
      <c r="E176" s="206" t="str">
        <f>$E$1</f>
        <v>INDICADORES TURÍSTICOS DE TENERIFE definitivo</v>
      </c>
      <c r="F176" s="207"/>
      <c r="G176" s="207"/>
      <c r="H176" s="207"/>
      <c r="I176" s="207"/>
      <c r="J176" s="207"/>
      <c r="K176" s="208"/>
      <c r="L176" s="164"/>
      <c r="M176" s="166"/>
    </row>
    <row r="177" spans="3:18" s="1" customFormat="1" ht="21.75" hidden="1" customHeight="1" x14ac:dyDescent="0.2">
      <c r="C177" s="163"/>
      <c r="D177" s="164"/>
      <c r="E177" s="165"/>
      <c r="F177" s="165"/>
      <c r="G177" s="165"/>
      <c r="H177" s="165"/>
      <c r="I177" s="165"/>
      <c r="J177" s="165"/>
      <c r="K177" s="165"/>
      <c r="L177" s="164"/>
      <c r="M177" s="166"/>
    </row>
    <row r="178" spans="3:18" ht="33" hidden="1" customHeight="1" x14ac:dyDescent="0.2">
      <c r="C178" s="209" t="s">
        <v>29</v>
      </c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1"/>
    </row>
    <row r="179" spans="3:18" ht="20.100000000000001" hidden="1" customHeight="1" x14ac:dyDescent="0.2">
      <c r="C179" s="212">
        <f>E3</f>
        <v>0</v>
      </c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1"/>
    </row>
    <row r="180" spans="3:18" ht="17.25" hidden="1" customHeight="1" x14ac:dyDescent="0.2">
      <c r="C180" s="214"/>
      <c r="D180" s="215" t="s">
        <v>24</v>
      </c>
      <c r="E180" s="216"/>
      <c r="F180" s="215" t="s">
        <v>23</v>
      </c>
      <c r="G180" s="216"/>
      <c r="H180" s="215" t="s">
        <v>22</v>
      </c>
      <c r="I180" s="216"/>
      <c r="J180" s="215" t="s">
        <v>21</v>
      </c>
      <c r="K180" s="216"/>
      <c r="L180" s="215" t="s">
        <v>20</v>
      </c>
      <c r="M180" s="216"/>
      <c r="N180" s="215" t="s">
        <v>63</v>
      </c>
      <c r="O180" s="216"/>
      <c r="P180" s="215" t="s">
        <v>64</v>
      </c>
      <c r="Q180" s="216"/>
    </row>
    <row r="181" spans="3:18" ht="28.5" hidden="1" customHeight="1" x14ac:dyDescent="0.2">
      <c r="C181" s="214"/>
      <c r="D181" s="217" t="s">
        <v>35</v>
      </c>
      <c r="E181" s="217" t="s">
        <v>34</v>
      </c>
      <c r="F181" s="217" t="s">
        <v>35</v>
      </c>
      <c r="G181" s="217" t="s">
        <v>34</v>
      </c>
      <c r="H181" s="217" t="s">
        <v>35</v>
      </c>
      <c r="I181" s="217" t="s">
        <v>34</v>
      </c>
      <c r="J181" s="217" t="s">
        <v>35</v>
      </c>
      <c r="K181" s="217" t="s">
        <v>34</v>
      </c>
      <c r="L181" s="217" t="s">
        <v>35</v>
      </c>
      <c r="M181" s="217" t="s">
        <v>34</v>
      </c>
      <c r="N181" s="217" t="s">
        <v>35</v>
      </c>
      <c r="O181" s="217" t="s">
        <v>34</v>
      </c>
      <c r="P181" s="217" t="s">
        <v>35</v>
      </c>
      <c r="Q181" s="217" t="s">
        <v>34</v>
      </c>
    </row>
    <row r="182" spans="3:18" ht="24" hidden="1" customHeight="1" x14ac:dyDescent="0.2">
      <c r="C182" s="218" t="s">
        <v>36</v>
      </c>
      <c r="D182" s="219" t="e">
        <f>VLOOKUP("españa",#REF!,6,FALSE)/VLOOKUP("españa",#REF!,6,FALSE)-1</f>
        <v>#REF!</v>
      </c>
      <c r="E182" s="220" t="e">
        <f>VLOOKUP("españa",#REF!,6,FALSE)</f>
        <v>#REF!</v>
      </c>
      <c r="F182" s="219" t="e">
        <f>VLOOKUP("españa",#REF!,5,FALSE)/VLOOKUP("españa",#REF!,5,FALSE)-1</f>
        <v>#REF!</v>
      </c>
      <c r="G182" s="220" t="e">
        <f>VLOOKUP("españa",#REF!,5,FALSE)</f>
        <v>#REF!</v>
      </c>
      <c r="H182" s="219" t="e">
        <f>VLOOKUP("españa",#REF!,4,FALSE)/VLOOKUP("españa",#REF!,4,FALSE)-1</f>
        <v>#REF!</v>
      </c>
      <c r="I182" s="220" t="e">
        <f>VLOOKUP("españa",#REF!,4,FALSE)</f>
        <v>#REF!</v>
      </c>
      <c r="J182" s="219" t="e">
        <f>VLOOKUP("españa",#REF!,3,FALSE)/VLOOKUP("españa",#REF!,3,FALSE)-1</f>
        <v>#REF!</v>
      </c>
      <c r="K182" s="220" t="e">
        <f>VLOOKUP("españa",#REF!,3,FALSE)</f>
        <v>#REF!</v>
      </c>
      <c r="L182" s="219" t="e">
        <f>VLOOKUP("españa",#REF!,2,FALSE)/VLOOKUP("españa",#REF!,2,FALSE)-1</f>
        <v>#REF!</v>
      </c>
      <c r="M182" s="220" t="e">
        <f>VLOOKUP("españa",#REF!,2,FALSE)</f>
        <v>#REF!</v>
      </c>
      <c r="N182" s="219" t="e">
        <f>VLOOKUP("españa",#REF!,7,FALSE)/VLOOKUP("españa",#REF!,7,FALSE)-1</f>
        <v>#REF!</v>
      </c>
      <c r="O182" s="220" t="e">
        <f>VLOOKUP("españa",#REF!,7,FALSE)</f>
        <v>#REF!</v>
      </c>
      <c r="P182" s="219" t="e">
        <f>VLOOKUP("españa",#REF!,8,FALSE)/VLOOKUP("españa",#REF!,8,FALSE)-1</f>
        <v>#REF!</v>
      </c>
      <c r="Q182" s="220" t="e">
        <f>VLOOKUP("españa",#REF!,8,FALSE)</f>
        <v>#REF!</v>
      </c>
    </row>
    <row r="183" spans="3:18" ht="24" hidden="1" customHeight="1" x14ac:dyDescent="0.2">
      <c r="C183" s="218" t="s">
        <v>41</v>
      </c>
      <c r="D183" s="219" t="e">
        <f>VLOOKUP("holanda",#REF!,6,FALSE)/VLOOKUP("holanda",#REF!,6,FALSE)-1</f>
        <v>#REF!</v>
      </c>
      <c r="E183" s="220" t="e">
        <f>VLOOKUP("holanda",#REF!,6,FALSE)</f>
        <v>#REF!</v>
      </c>
      <c r="F183" s="219" t="e">
        <f>VLOOKUP("holanda",#REF!,5,FALSE)/VLOOKUP("holanda",#REF!,5,FALSE)-1</f>
        <v>#REF!</v>
      </c>
      <c r="G183" s="220" t="e">
        <f>VLOOKUP("holanda",#REF!,5,FALSE)</f>
        <v>#REF!</v>
      </c>
      <c r="H183" s="219" t="e">
        <f>VLOOKUP("holanda",#REF!,4,FALSE)/VLOOKUP("holanda",#REF!,4,FALSE)-1</f>
        <v>#REF!</v>
      </c>
      <c r="I183" s="220" t="e">
        <f>VLOOKUP("holanda",#REF!,4,FALSE)</f>
        <v>#REF!</v>
      </c>
      <c r="J183" s="219" t="e">
        <f>VLOOKUP("holanda",#REF!,3,FALSE)/VLOOKUP("holanda",#REF!,3,FALSE)-1</f>
        <v>#REF!</v>
      </c>
      <c r="K183" s="220" t="e">
        <f>VLOOKUP("holanda",#REF!,3,FALSE)</f>
        <v>#REF!</v>
      </c>
      <c r="L183" s="219" t="e">
        <f>VLOOKUP("holanda",#REF!,2,FALSE)/VLOOKUP("holanda",#REF!,2,FALSE)-1</f>
        <v>#REF!</v>
      </c>
      <c r="M183" s="220" t="e">
        <f>VLOOKUP("holanda",#REF!,2,FALSE)</f>
        <v>#REF!</v>
      </c>
      <c r="N183" s="219" t="e">
        <f>VLOOKUP("holanda",#REF!,7,FALSE)/VLOOKUP("holanda",#REF!,7,FALSE)-1</f>
        <v>#REF!</v>
      </c>
      <c r="O183" s="220" t="e">
        <f>VLOOKUP("holanda",#REF!,7,FALSE)</f>
        <v>#REF!</v>
      </c>
      <c r="P183" s="219" t="e">
        <f>VLOOKUP("holanda",#REF!,8,FALSE)/VLOOKUP("holanda",#REF!,8,FALSE)-1</f>
        <v>#REF!</v>
      </c>
      <c r="Q183" s="220" t="e">
        <f>VLOOKUP("holanda",#REF!,8,FALSE)</f>
        <v>#REF!</v>
      </c>
    </row>
    <row r="184" spans="3:18" ht="24" hidden="1" customHeight="1" x14ac:dyDescent="0.2">
      <c r="C184" s="218" t="s">
        <v>42</v>
      </c>
      <c r="D184" s="219" t="e">
        <f>VLOOKUP("belgica",#REF!,6,FALSE)/VLOOKUP("belgica",#REF!,6,FALSE)-1</f>
        <v>#REF!</v>
      </c>
      <c r="E184" s="220" t="e">
        <f>VLOOKUP("belgica",#REF!,6,FALSE)</f>
        <v>#REF!</v>
      </c>
      <c r="F184" s="219" t="e">
        <f>VLOOKUP("belgica",#REF!,5,FALSE)/VLOOKUP("belgica",#REF!,5,FALSE)-1</f>
        <v>#REF!</v>
      </c>
      <c r="G184" s="220" t="e">
        <f>VLOOKUP("belgica",#REF!,5,FALSE)</f>
        <v>#REF!</v>
      </c>
      <c r="H184" s="219" t="e">
        <f>VLOOKUP("belgica",#REF!,4,FALSE)/VLOOKUP("belgica",#REF!,4,FALSE)-1</f>
        <v>#REF!</v>
      </c>
      <c r="I184" s="220" t="e">
        <f>VLOOKUP("belgica",#REF!,4,FALSE)</f>
        <v>#REF!</v>
      </c>
      <c r="J184" s="219" t="e">
        <f>VLOOKUP("belgica",#REF!,3,FALSE)/VLOOKUP("belgica",#REF!,3,FALSE)-1</f>
        <v>#REF!</v>
      </c>
      <c r="K184" s="220" t="e">
        <f>VLOOKUP("belgica",#REF!,3,FALSE)</f>
        <v>#REF!</v>
      </c>
      <c r="L184" s="219" t="e">
        <f>VLOOKUP("belgica",#REF!,2,FALSE)/VLOOKUP("belgica",#REF!,2,FALSE)-1</f>
        <v>#REF!</v>
      </c>
      <c r="M184" s="220" t="e">
        <f>VLOOKUP("belgica",#REF!,2,FALSE)</f>
        <v>#REF!</v>
      </c>
      <c r="N184" s="219" t="e">
        <f>VLOOKUP("belgica",#REF!,7,FALSE)/VLOOKUP("belgica",#REF!,7,FALSE)-1</f>
        <v>#REF!</v>
      </c>
      <c r="O184" s="220" t="e">
        <f>VLOOKUP("belgica",#REF!,7,FALSE)</f>
        <v>#REF!</v>
      </c>
      <c r="P184" s="219" t="e">
        <f>VLOOKUP("belgica",#REF!,8,FALSE)/VLOOKUP("belgica",#REF!,8,FALSE)-1</f>
        <v>#REF!</v>
      </c>
      <c r="Q184" s="220" t="e">
        <f>VLOOKUP("belgica",#REF!,8,FALSE)</f>
        <v>#REF!</v>
      </c>
    </row>
    <row r="185" spans="3:18" ht="24" hidden="1" customHeight="1" x14ac:dyDescent="0.2">
      <c r="C185" s="218" t="s">
        <v>43</v>
      </c>
      <c r="D185" s="219" t="e">
        <f>VLOOKUP("alemania",#REF!,6,FALSE)/VLOOKUP("alemania",#REF!,6,FALSE)-1</f>
        <v>#REF!</v>
      </c>
      <c r="E185" s="220" t="e">
        <f>VLOOKUP("alemania",#REF!,6,FALSE)</f>
        <v>#REF!</v>
      </c>
      <c r="F185" s="219" t="e">
        <f>VLOOKUP("alemania",#REF!,5,FALSE)/VLOOKUP("alemania",#REF!,5,FALSE)-1</f>
        <v>#REF!</v>
      </c>
      <c r="G185" s="220" t="e">
        <f>VLOOKUP("alemania",#REF!,5,FALSE)</f>
        <v>#REF!</v>
      </c>
      <c r="H185" s="219" t="e">
        <f>VLOOKUP("alemania",#REF!,4,FALSE)/VLOOKUP("alemania",#REF!,4,FALSE)-1</f>
        <v>#REF!</v>
      </c>
      <c r="I185" s="220" t="e">
        <f>VLOOKUP("alemania",#REF!,4,FALSE)</f>
        <v>#REF!</v>
      </c>
      <c r="J185" s="219" t="e">
        <f>VLOOKUP("alemania",#REF!,3,FALSE)/VLOOKUP("alemania",#REF!,3,FALSE)-1</f>
        <v>#REF!</v>
      </c>
      <c r="K185" s="220" t="e">
        <f>VLOOKUP("alemania",#REF!,3,FALSE)</f>
        <v>#REF!</v>
      </c>
      <c r="L185" s="219" t="e">
        <f>VLOOKUP("alemania",#REF!,2,FALSE)/VLOOKUP("alemania",#REF!,2,FALSE)-1</f>
        <v>#REF!</v>
      </c>
      <c r="M185" s="220" t="e">
        <f>VLOOKUP("alemania",#REF!,2,FALSE)</f>
        <v>#REF!</v>
      </c>
      <c r="N185" s="219" t="e">
        <f>VLOOKUP("alemania",#REF!,7,FALSE)/VLOOKUP("alemania",#REF!,7,FALSE)-1</f>
        <v>#REF!</v>
      </c>
      <c r="O185" s="220" t="e">
        <f>VLOOKUP("alemania",#REF!,7,FALSE)</f>
        <v>#REF!</v>
      </c>
      <c r="P185" s="219" t="e">
        <f>VLOOKUP("alemania",#REF!,8,FALSE)/VLOOKUP("alemania",#REF!,8,FALSE)-1</f>
        <v>#REF!</v>
      </c>
      <c r="Q185" s="220" t="e">
        <f>VLOOKUP("alemania",#REF!,8,FALSE)</f>
        <v>#REF!</v>
      </c>
    </row>
    <row r="186" spans="3:18" ht="24" hidden="1" customHeight="1" x14ac:dyDescent="0.2">
      <c r="C186" s="218" t="s">
        <v>44</v>
      </c>
      <c r="D186" s="219" t="e">
        <f>VLOOKUP("francia",#REF!,6,FALSE)/VLOOKUP("francia",#REF!,6,FALSE)-1</f>
        <v>#REF!</v>
      </c>
      <c r="E186" s="220" t="e">
        <f>VLOOKUP("francia",#REF!,6,FALSE)</f>
        <v>#REF!</v>
      </c>
      <c r="F186" s="219" t="e">
        <f>VLOOKUP("francia",#REF!,5,FALSE)/VLOOKUP("francia",#REF!,5,FALSE)-1</f>
        <v>#REF!</v>
      </c>
      <c r="G186" s="220" t="e">
        <f>VLOOKUP("francia",#REF!,5,FALSE)</f>
        <v>#REF!</v>
      </c>
      <c r="H186" s="219" t="e">
        <f>VLOOKUP("francia",#REF!,4,FALSE)/VLOOKUP("francia",#REF!,4,FALSE)-1</f>
        <v>#REF!</v>
      </c>
      <c r="I186" s="220" t="e">
        <f>VLOOKUP("francia",#REF!,4,FALSE)</f>
        <v>#REF!</v>
      </c>
      <c r="J186" s="219" t="e">
        <f>VLOOKUP("francia",#REF!,3,FALSE)/VLOOKUP("francia",#REF!,3,FALSE)-1</f>
        <v>#REF!</v>
      </c>
      <c r="K186" s="220" t="e">
        <f>VLOOKUP("francia",#REF!,3,FALSE)</f>
        <v>#REF!</v>
      </c>
      <c r="L186" s="219" t="e">
        <f>VLOOKUP("francia",#REF!,2,FALSE)/VLOOKUP("francia",#REF!,2,FALSE)-1</f>
        <v>#REF!</v>
      </c>
      <c r="M186" s="220" t="e">
        <f>VLOOKUP("francia",#REF!,2,FALSE)</f>
        <v>#REF!</v>
      </c>
      <c r="N186" s="219" t="e">
        <f>VLOOKUP("francia",#REF!,7,FALSE)/VLOOKUP("francia",#REF!,7,FALSE)-1</f>
        <v>#REF!</v>
      </c>
      <c r="O186" s="220" t="e">
        <f>VLOOKUP("francia",#REF!,7,FALSE)</f>
        <v>#REF!</v>
      </c>
      <c r="P186" s="219" t="e">
        <f>VLOOKUP("francia",#REF!,8,FALSE)/VLOOKUP("francia",#REF!,8,FALSE)-1</f>
        <v>#REF!</v>
      </c>
      <c r="Q186" s="220" t="e">
        <f>VLOOKUP("francia",#REF!,8,FALSE)</f>
        <v>#REF!</v>
      </c>
    </row>
    <row r="187" spans="3:18" ht="24" hidden="1" customHeight="1" x14ac:dyDescent="0.2">
      <c r="C187" s="218" t="s">
        <v>45</v>
      </c>
      <c r="D187" s="219" t="e">
        <f>VLOOKUP("reino unido",#REF!,6,FALSE)/VLOOKUP("reino unido",#REF!,6,FALSE)-1</f>
        <v>#REF!</v>
      </c>
      <c r="E187" s="220" t="e">
        <f>VLOOKUP("reino unido",#REF!,6,FALSE)</f>
        <v>#REF!</v>
      </c>
      <c r="F187" s="219" t="e">
        <f>VLOOKUP("reino unido",#REF!,5,FALSE)/VLOOKUP("reino unido",#REF!,5,FALSE)-1</f>
        <v>#REF!</v>
      </c>
      <c r="G187" s="220" t="e">
        <f>VLOOKUP("reino unido",#REF!,5,FALSE)</f>
        <v>#REF!</v>
      </c>
      <c r="H187" s="219" t="e">
        <f>VLOOKUP("reino unido",#REF!,4,FALSE)/VLOOKUP("reino unido",#REF!,4,FALSE)-1</f>
        <v>#REF!</v>
      </c>
      <c r="I187" s="220" t="e">
        <f>VLOOKUP("reino unido",#REF!,4,FALSE)</f>
        <v>#REF!</v>
      </c>
      <c r="J187" s="219" t="e">
        <f>VLOOKUP("reino unido",#REF!,3,FALSE)/VLOOKUP("reino unido",#REF!,3,FALSE)-1</f>
        <v>#REF!</v>
      </c>
      <c r="K187" s="220" t="e">
        <f>VLOOKUP("reino unido",#REF!,3,FALSE)</f>
        <v>#REF!</v>
      </c>
      <c r="L187" s="219" t="e">
        <f>VLOOKUP("reino unido",#REF!,2,FALSE)/VLOOKUP("reino unido",#REF!,2,FALSE)-1</f>
        <v>#REF!</v>
      </c>
      <c r="M187" s="220" t="e">
        <f>VLOOKUP("reino unido",#REF!,2,FALSE)</f>
        <v>#REF!</v>
      </c>
      <c r="N187" s="219" t="e">
        <f>VLOOKUP("reino unido",#REF!,7,FALSE)/VLOOKUP("reino unido",#REF!,7,FALSE)-1</f>
        <v>#REF!</v>
      </c>
      <c r="O187" s="220" t="e">
        <f>VLOOKUP("reino unido",#REF!,7,FALSE)</f>
        <v>#REF!</v>
      </c>
      <c r="P187" s="219" t="e">
        <f>VLOOKUP("reino unido",#REF!,8,FALSE)/VLOOKUP("reino unido",#REF!,8,FALSE)-1</f>
        <v>#REF!</v>
      </c>
      <c r="Q187" s="220" t="e">
        <f>VLOOKUP("reino unido",#REF!,8,FALSE)</f>
        <v>#REF!</v>
      </c>
    </row>
    <row r="188" spans="3:18" ht="24" hidden="1" customHeight="1" x14ac:dyDescent="0.2">
      <c r="C188" s="218" t="s">
        <v>46</v>
      </c>
      <c r="D188" s="219" t="e">
        <f>VLOOKUP("irlanda",#REF!,6,FALSE)/VLOOKUP("irlanda",#REF!,6,FALSE)-1</f>
        <v>#REF!</v>
      </c>
      <c r="E188" s="220" t="e">
        <f>VLOOKUP("irlanda",#REF!,6,FALSE)</f>
        <v>#REF!</v>
      </c>
      <c r="F188" s="219" t="e">
        <f>VLOOKUP("irlanda",#REF!,5,FALSE)/VLOOKUP("irlanda",#REF!,5,FALSE)-1</f>
        <v>#REF!</v>
      </c>
      <c r="G188" s="220" t="e">
        <f>VLOOKUP("irlanda",#REF!,5,FALSE)</f>
        <v>#REF!</v>
      </c>
      <c r="H188" s="219" t="e">
        <f>VLOOKUP("irlanda",#REF!,4,FALSE)/VLOOKUP("irlanda",#REF!,4,FALSE)-1</f>
        <v>#REF!</v>
      </c>
      <c r="I188" s="220" t="e">
        <f>VLOOKUP("irlanda",#REF!,4,FALSE)</f>
        <v>#REF!</v>
      </c>
      <c r="J188" s="219" t="e">
        <f>VLOOKUP("irlanda",#REF!,3,FALSE)/VLOOKUP("irlanda",#REF!,3,FALSE)-1</f>
        <v>#REF!</v>
      </c>
      <c r="K188" s="220" t="e">
        <f>VLOOKUP("irlanda",#REF!,3,FALSE)</f>
        <v>#REF!</v>
      </c>
      <c r="L188" s="219" t="e">
        <f>VLOOKUP("irlanda",#REF!,2,FALSE)/VLOOKUP("irlanda",#REF!,2,FALSE)-1</f>
        <v>#REF!</v>
      </c>
      <c r="M188" s="220" t="e">
        <f>VLOOKUP("irlanda",#REF!,2,FALSE)</f>
        <v>#REF!</v>
      </c>
      <c r="N188" s="219" t="e">
        <f>VLOOKUP("irlanda",#REF!,7,FALSE)/VLOOKUP("irlanda",#REF!,7,FALSE)-1</f>
        <v>#REF!</v>
      </c>
      <c r="O188" s="220" t="e">
        <f>VLOOKUP("irlanda",#REF!,7,FALSE)</f>
        <v>#REF!</v>
      </c>
      <c r="P188" s="219" t="e">
        <f>VLOOKUP("irlanda",#REF!,8,FALSE)/VLOOKUP("irlanda",#REF!,8,FALSE)-1</f>
        <v>#REF!</v>
      </c>
      <c r="Q188" s="220" t="e">
        <f>VLOOKUP("irlanda",#REF!,8,FALSE)</f>
        <v>#REF!</v>
      </c>
    </row>
    <row r="189" spans="3:18" ht="24" hidden="1" customHeight="1" x14ac:dyDescent="0.2">
      <c r="C189" s="218" t="s">
        <v>47</v>
      </c>
      <c r="D189" s="219" t="e">
        <f>VLOOKUP("italia",#REF!,6,FALSE)/VLOOKUP("italia",#REF!,6,FALSE)-1</f>
        <v>#REF!</v>
      </c>
      <c r="E189" s="220" t="e">
        <f>VLOOKUP("italia",#REF!,6,FALSE)</f>
        <v>#REF!</v>
      </c>
      <c r="F189" s="219" t="e">
        <f>VLOOKUP("italia",#REF!,5,FALSE)/VLOOKUP("italia",#REF!,5,FALSE)-1</f>
        <v>#REF!</v>
      </c>
      <c r="G189" s="220" t="e">
        <f>VLOOKUP("italia",#REF!,5,FALSE)</f>
        <v>#REF!</v>
      </c>
      <c r="H189" s="219" t="e">
        <f>VLOOKUP("italia",#REF!,4,FALSE)/VLOOKUP("italia",#REF!,4,FALSE)-1</f>
        <v>#REF!</v>
      </c>
      <c r="I189" s="220" t="e">
        <f>VLOOKUP("italia",#REF!,4,FALSE)</f>
        <v>#REF!</v>
      </c>
      <c r="J189" s="219" t="e">
        <f>VLOOKUP("italia",#REF!,3,FALSE)/VLOOKUP("italia",#REF!,3,FALSE)-1</f>
        <v>#REF!</v>
      </c>
      <c r="K189" s="220" t="e">
        <f>VLOOKUP("italia",#REF!,3,FALSE)</f>
        <v>#REF!</v>
      </c>
      <c r="L189" s="219" t="e">
        <f>VLOOKUP("italia",#REF!,2,FALSE)/VLOOKUP("italia",#REF!,2,FALSE)-1</f>
        <v>#REF!</v>
      </c>
      <c r="M189" s="220" t="e">
        <f>VLOOKUP("italia",#REF!,2,FALSE)</f>
        <v>#REF!</v>
      </c>
      <c r="N189" s="219" t="e">
        <f>VLOOKUP("italia",#REF!,7,FALSE)/VLOOKUP("italia",#REF!,7,FALSE)-1</f>
        <v>#REF!</v>
      </c>
      <c r="O189" s="220" t="e">
        <f>VLOOKUP("italia",#REF!,7,FALSE)</f>
        <v>#REF!</v>
      </c>
      <c r="P189" s="219" t="e">
        <f>VLOOKUP("italia",#REF!,8,FALSE)/VLOOKUP("italia",#REF!,8,FALSE)-1</f>
        <v>#REF!</v>
      </c>
      <c r="Q189" s="220" t="e">
        <f>VLOOKUP("italia",#REF!,8,FALSE)</f>
        <v>#REF!</v>
      </c>
    </row>
    <row r="190" spans="3:18" ht="24" hidden="1" customHeight="1" x14ac:dyDescent="0.2">
      <c r="C190" s="218" t="s">
        <v>48</v>
      </c>
      <c r="D190" s="219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0" s="220" t="e">
        <f>(VLOOKUP("suecia",#REF!,6,FALSE)+VLOOKUP("noruega",#REF!,6,FALSE)+VLOOKUP("dinamarca",#REF!,6,FALSE)+VLOOKUP("finlandia",#REF!,6,FALSE))</f>
        <v>#REF!</v>
      </c>
      <c r="F190" s="219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0" s="220" t="e">
        <f>(VLOOKUP("suecia",#REF!,5,FALSE)+VLOOKUP("noruega",#REF!,5,FALSE)+VLOOKUP("dinamarca",#REF!,5,FALSE)+VLOOKUP("finlandia",#REF!,5,FALSE))</f>
        <v>#REF!</v>
      </c>
      <c r="H190" s="219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0" s="220" t="e">
        <f>(VLOOKUP("suecia",#REF!,4,FALSE)+VLOOKUP("noruega",#REF!,4,FALSE)+VLOOKUP("dinamarca",#REF!,4,FALSE)+VLOOKUP("finlandia",#REF!,4,FALSE))</f>
        <v>#REF!</v>
      </c>
      <c r="J190" s="219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0" s="220" t="e">
        <f>(VLOOKUP("suecia",#REF!,3,FALSE)+VLOOKUP("noruega",#REF!,3,FALSE)+VLOOKUP("dinamarca",#REF!,3,FALSE)+VLOOKUP("finlandia",#REF!,3,FALSE))</f>
        <v>#REF!</v>
      </c>
      <c r="L190" s="219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0" s="220" t="e">
        <f>(VLOOKUP("suecia",#REF!,2,FALSE)+VLOOKUP("noruega",#REF!,2,FALSE)+VLOOKUP("dinamarca",#REF!,2,FALSE)+VLOOKUP("finlandia",#REF!,2,FALSE))</f>
        <v>#REF!</v>
      </c>
      <c r="N190" s="219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0" s="220" t="e">
        <f>(VLOOKUP("suecia",#REF!,7,FALSE)+VLOOKUP("noruega",#REF!,7,FALSE)+VLOOKUP("dinamarca",#REF!,7,FALSE)+VLOOKUP("finlandia",#REF!,7,FALSE))</f>
        <v>#REF!</v>
      </c>
      <c r="P190" s="219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0" s="220" t="e">
        <f>(VLOOKUP("suecia",#REF!,8,FALSE)+VLOOKUP("noruega",#REF!,8,FALSE)+VLOOKUP("dinamarca",#REF!,8,FALSE)+VLOOKUP("finlandia",#REF!,8,FALSE))</f>
        <v>#REF!</v>
      </c>
    </row>
    <row r="191" spans="3:18" ht="24" hidden="1" customHeight="1" x14ac:dyDescent="0.2">
      <c r="C191" s="221" t="s">
        <v>49</v>
      </c>
      <c r="D191" s="219" t="e">
        <f>VLOOKUP("suecia",#REF!,6,FALSE)/VLOOKUP("suecia",#REF!,6,FALSE)-1</f>
        <v>#REF!</v>
      </c>
      <c r="E191" s="220" t="e">
        <f>VLOOKUP("suecia",#REF!,6,FALSE)</f>
        <v>#REF!</v>
      </c>
      <c r="F191" s="219" t="e">
        <f>VLOOKUP("suecia",#REF!,5,FALSE)/VLOOKUP("suecia",#REF!,5,FALSE)-1</f>
        <v>#REF!</v>
      </c>
      <c r="G191" s="220" t="e">
        <f>VLOOKUP("suecia",#REF!,5,FALSE)</f>
        <v>#REF!</v>
      </c>
      <c r="H191" s="219" t="e">
        <f>VLOOKUP("suecia",#REF!,4,FALSE)/VLOOKUP("suecia",#REF!,4,FALSE)-1</f>
        <v>#REF!</v>
      </c>
      <c r="I191" s="220" t="e">
        <f>VLOOKUP("suecia",#REF!,4,FALSE)</f>
        <v>#REF!</v>
      </c>
      <c r="J191" s="219" t="e">
        <f>VLOOKUP("suecia",#REF!,3,FALSE)/VLOOKUP("suecia",#REF!,3,FALSE)-1</f>
        <v>#REF!</v>
      </c>
      <c r="K191" s="220" t="e">
        <f>VLOOKUP("suecia",#REF!,3,FALSE)</f>
        <v>#REF!</v>
      </c>
      <c r="L191" s="219" t="e">
        <f>VLOOKUP("suecia",#REF!,2,FALSE)/VLOOKUP("suecia",#REF!,2,FALSE)-1</f>
        <v>#REF!</v>
      </c>
      <c r="M191" s="220" t="e">
        <f>VLOOKUP("suecia",#REF!,2,FALSE)</f>
        <v>#REF!</v>
      </c>
      <c r="N191" s="219" t="e">
        <f>VLOOKUP("suecia",#REF!,7,FALSE)/VLOOKUP("suecia",#REF!,7,FALSE)-1</f>
        <v>#REF!</v>
      </c>
      <c r="O191" s="220" t="e">
        <f>VLOOKUP("suecia",#REF!,7,FALSE)</f>
        <v>#REF!</v>
      </c>
      <c r="P191" s="219" t="e">
        <f>VLOOKUP("suecia",#REF!,8,FALSE)/VLOOKUP("suecia",#REF!,8,FALSE)-1</f>
        <v>#REF!</v>
      </c>
      <c r="Q191" s="220" t="e">
        <f>VLOOKUP("suecia",#REF!,8,FALSE)</f>
        <v>#REF!</v>
      </c>
    </row>
    <row r="192" spans="3:18" ht="24" hidden="1" customHeight="1" x14ac:dyDescent="0.2">
      <c r="C192" s="221" t="s">
        <v>50</v>
      </c>
      <c r="D192" s="219" t="e">
        <f>VLOOKUP("noruega",#REF!,6,FALSE)/VLOOKUP("noruega",#REF!,6,FALSE)-1</f>
        <v>#REF!</v>
      </c>
      <c r="E192" s="220" t="e">
        <f>VLOOKUP("noruega",#REF!,6,FALSE)</f>
        <v>#REF!</v>
      </c>
      <c r="F192" s="219" t="e">
        <f>VLOOKUP("noruega",#REF!,5,FALSE)/VLOOKUP("noruega",#REF!,5,FALSE)-1</f>
        <v>#REF!</v>
      </c>
      <c r="G192" s="220" t="e">
        <f>VLOOKUP("noruega",#REF!,5,FALSE)</f>
        <v>#REF!</v>
      </c>
      <c r="H192" s="219" t="e">
        <f>VLOOKUP("noruega",#REF!,4,FALSE)/VLOOKUP("noruega",#REF!,4,FALSE)-1</f>
        <v>#REF!</v>
      </c>
      <c r="I192" s="220" t="e">
        <f>VLOOKUP("noruega",#REF!,4,FALSE)</f>
        <v>#REF!</v>
      </c>
      <c r="J192" s="219" t="e">
        <f>VLOOKUP("noruega",#REF!,3,FALSE)/VLOOKUP("noruega",#REF!,3,FALSE)-1</f>
        <v>#REF!</v>
      </c>
      <c r="K192" s="220" t="e">
        <f>VLOOKUP("noruega",#REF!,3,FALSE)</f>
        <v>#REF!</v>
      </c>
      <c r="L192" s="219" t="e">
        <f>VLOOKUP("noruega",#REF!,2,FALSE)/VLOOKUP("noruega",#REF!,2,FALSE)-1</f>
        <v>#REF!</v>
      </c>
      <c r="M192" s="220" t="e">
        <f>VLOOKUP("noruega",#REF!,2,FALSE)</f>
        <v>#REF!</v>
      </c>
      <c r="N192" s="219" t="e">
        <f>VLOOKUP("noruega",#REF!,7,FALSE)/VLOOKUP("noruega",#REF!,7,FALSE)-1</f>
        <v>#REF!</v>
      </c>
      <c r="O192" s="220" t="e">
        <f>VLOOKUP("noruega",#REF!,7,FALSE)</f>
        <v>#REF!</v>
      </c>
      <c r="P192" s="219" t="e">
        <f>VLOOKUP("noruega",#REF!,8,FALSE)/VLOOKUP("noruega",#REF!,8,FALSE)-1</f>
        <v>#REF!</v>
      </c>
      <c r="Q192" s="220" t="e">
        <f>VLOOKUP("noruega",#REF!,8,FALSE)</f>
        <v>#REF!</v>
      </c>
    </row>
    <row r="193" spans="3:18" ht="24" hidden="1" customHeight="1" x14ac:dyDescent="0.2">
      <c r="C193" s="221" t="s">
        <v>51</v>
      </c>
      <c r="D193" s="219" t="e">
        <f>VLOOKUP("dinamarca",#REF!,6,FALSE)/VLOOKUP("dinamarca",#REF!,6,FALSE)-1</f>
        <v>#REF!</v>
      </c>
      <c r="E193" s="220" t="e">
        <f>VLOOKUP("dinamarca",#REF!,6,FALSE)</f>
        <v>#REF!</v>
      </c>
      <c r="F193" s="219" t="e">
        <f>VLOOKUP("dinamarca",#REF!,5,FALSE)/VLOOKUP("dinamarca",#REF!,5,FALSE)-1</f>
        <v>#REF!</v>
      </c>
      <c r="G193" s="220" t="e">
        <f>VLOOKUP("dinamarca",#REF!,5,FALSE)</f>
        <v>#REF!</v>
      </c>
      <c r="H193" s="219" t="e">
        <f>VLOOKUP("dinamarca",#REF!,4,FALSE)/VLOOKUP("dinamarca",#REF!,4,FALSE)-1</f>
        <v>#REF!</v>
      </c>
      <c r="I193" s="220" t="e">
        <f>VLOOKUP("dinamarca",#REF!,4,FALSE)</f>
        <v>#REF!</v>
      </c>
      <c r="J193" s="219" t="e">
        <f>VLOOKUP("dinamarca",#REF!,3,FALSE)/VLOOKUP("dinamarca",#REF!,3,FALSE)-1</f>
        <v>#REF!</v>
      </c>
      <c r="K193" s="220" t="e">
        <f>VLOOKUP("dinamarca",#REF!,3,FALSE)</f>
        <v>#REF!</v>
      </c>
      <c r="L193" s="219" t="e">
        <f>VLOOKUP("dinamarca",#REF!,2,FALSE)/VLOOKUP("dinamarca",#REF!,2,FALSE)-1</f>
        <v>#REF!</v>
      </c>
      <c r="M193" s="220" t="e">
        <f>VLOOKUP("dinamarca",#REF!,2,FALSE)</f>
        <v>#REF!</v>
      </c>
      <c r="N193" s="219" t="e">
        <f>VLOOKUP("dinamarca",#REF!,7,FALSE)/VLOOKUP("dinamarca",#REF!,7,FALSE)-1</f>
        <v>#REF!</v>
      </c>
      <c r="O193" s="220" t="e">
        <f>VLOOKUP("dinamarca",#REF!,7,FALSE)</f>
        <v>#REF!</v>
      </c>
      <c r="P193" s="219" t="e">
        <f>VLOOKUP("dinamarca",#REF!,8,FALSE)/VLOOKUP("dinamarca",#REF!,8,FALSE)-1</f>
        <v>#REF!</v>
      </c>
      <c r="Q193" s="220" t="e">
        <f>VLOOKUP("dinamarca",#REF!,8,FALSE)</f>
        <v>#REF!</v>
      </c>
    </row>
    <row r="194" spans="3:18" ht="24" hidden="1" customHeight="1" x14ac:dyDescent="0.2">
      <c r="C194" s="221" t="s">
        <v>52</v>
      </c>
      <c r="D194" s="219" t="s">
        <v>38</v>
      </c>
      <c r="E194" s="220" t="e">
        <f>VLOOKUP("finlandia",#REF!,6,FALSE)</f>
        <v>#REF!</v>
      </c>
      <c r="F194" s="219" t="e">
        <f>VLOOKUP("finlandia",#REF!,5,FALSE)/VLOOKUP("finlandia",#REF!,5,FALSE)-1</f>
        <v>#REF!</v>
      </c>
      <c r="G194" s="220" t="e">
        <f>VLOOKUP("finlandia",#REF!,5,FALSE)</f>
        <v>#REF!</v>
      </c>
      <c r="H194" s="219" t="e">
        <f>VLOOKUP("finlandia",#REF!,4,FALSE)/VLOOKUP("finlandia",#REF!,4,FALSE)-1</f>
        <v>#REF!</v>
      </c>
      <c r="I194" s="220" t="e">
        <f>VLOOKUP("finlandia",#REF!,4,FALSE)</f>
        <v>#REF!</v>
      </c>
      <c r="J194" s="219" t="e">
        <f>VLOOKUP("finlandia",#REF!,3,FALSE)/VLOOKUP("finlandia",#REF!,3,FALSE)-1</f>
        <v>#REF!</v>
      </c>
      <c r="K194" s="220" t="e">
        <f>VLOOKUP("finlandia",#REF!,3,FALSE)</f>
        <v>#REF!</v>
      </c>
      <c r="L194" s="219" t="s">
        <v>38</v>
      </c>
      <c r="M194" s="220" t="e">
        <f>VLOOKUP("finlandia",#REF!,2,FALSE)</f>
        <v>#REF!</v>
      </c>
      <c r="N194" s="219" t="e">
        <f>VLOOKUP("finlandia",#REF!,7,FALSE)/VLOOKUP("finlandia",#REF!,7,FALSE)-1</f>
        <v>#REF!</v>
      </c>
      <c r="O194" s="220" t="e">
        <f>VLOOKUP("finlandia",#REF!,7,FALSE)</f>
        <v>#REF!</v>
      </c>
      <c r="P194" s="219" t="e">
        <f>VLOOKUP("finlandia",#REF!,8,FALSE)/VLOOKUP("finlandia",#REF!,8,FALSE)-1</f>
        <v>#REF!</v>
      </c>
      <c r="Q194" s="220" t="e">
        <f>VLOOKUP("finlandia",#REF!,8,FALSE)</f>
        <v>#REF!</v>
      </c>
    </row>
    <row r="195" spans="3:18" ht="24" hidden="1" customHeight="1" x14ac:dyDescent="0.2">
      <c r="C195" s="218" t="s">
        <v>53</v>
      </c>
      <c r="D195" s="219" t="e">
        <f>VLOOKUP("suiza",#REF!,6,FALSE)/VLOOKUP("suiza",#REF!,6,FALSE)-1</f>
        <v>#REF!</v>
      </c>
      <c r="E195" s="220" t="e">
        <f>VLOOKUP("suiza",#REF!,6,FALSE)</f>
        <v>#REF!</v>
      </c>
      <c r="F195" s="219" t="e">
        <f>VLOOKUP("suiza",#REF!,5,FALSE)/VLOOKUP("suiza",#REF!,5,FALSE)-1</f>
        <v>#REF!</v>
      </c>
      <c r="G195" s="220" t="e">
        <f>VLOOKUP("suiza",#REF!,5,FALSE)</f>
        <v>#REF!</v>
      </c>
      <c r="H195" s="219" t="e">
        <f>VLOOKUP("suiza",#REF!,4,FALSE)/VLOOKUP("suiza",#REF!,4,FALSE)-1</f>
        <v>#REF!</v>
      </c>
      <c r="I195" s="220" t="e">
        <f>VLOOKUP("suiza",#REF!,4,FALSE)</f>
        <v>#REF!</v>
      </c>
      <c r="J195" s="219" t="e">
        <f>VLOOKUP("suiza",#REF!,3,FALSE)/VLOOKUP("suiza",#REF!,3,FALSE)-1</f>
        <v>#REF!</v>
      </c>
      <c r="K195" s="220" t="e">
        <f>VLOOKUP("suiza",#REF!,3,FALSE)</f>
        <v>#REF!</v>
      </c>
      <c r="L195" s="219" t="e">
        <f>VLOOKUP("suiza",#REF!,2,FALSE)/VLOOKUP("suiza",#REF!,2,FALSE)-1</f>
        <v>#REF!</v>
      </c>
      <c r="M195" s="220" t="e">
        <f>VLOOKUP("suiza",#REF!,2,FALSE)</f>
        <v>#REF!</v>
      </c>
      <c r="N195" s="219" t="e">
        <f>VLOOKUP("suiza",#REF!,7,FALSE)/VLOOKUP("suiza",#REF!,7,FALSE)-1</f>
        <v>#REF!</v>
      </c>
      <c r="O195" s="220" t="e">
        <f>VLOOKUP("suiza",#REF!,7,FALSE)</f>
        <v>#REF!</v>
      </c>
      <c r="P195" s="219" t="e">
        <f>VLOOKUP("suiza",#REF!,8,FALSE)/VLOOKUP("suiza",#REF!,8,FALSE)-1</f>
        <v>#REF!</v>
      </c>
      <c r="Q195" s="220" t="e">
        <f>VLOOKUP("suiza",#REF!,8,FALSE)</f>
        <v>#REF!</v>
      </c>
    </row>
    <row r="196" spans="3:18" ht="24" hidden="1" customHeight="1" x14ac:dyDescent="0.2">
      <c r="C196" s="218" t="s">
        <v>54</v>
      </c>
      <c r="D196" s="219" t="e">
        <f>VLOOKUP("austria",#REF!,6,FALSE)/VLOOKUP("austria",#REF!,6,FALSE)-1</f>
        <v>#REF!</v>
      </c>
      <c r="E196" s="220" t="e">
        <f>VLOOKUP("austria",#REF!,6,FALSE)</f>
        <v>#REF!</v>
      </c>
      <c r="F196" s="219" t="e">
        <f>VLOOKUP("austria",#REF!,5,FALSE)/VLOOKUP("austria",#REF!,5,FALSE)-1</f>
        <v>#REF!</v>
      </c>
      <c r="G196" s="220" t="e">
        <f>VLOOKUP("austria",#REF!,5,FALSE)</f>
        <v>#REF!</v>
      </c>
      <c r="H196" s="219" t="e">
        <f>VLOOKUP("austria",#REF!,4,FALSE)/VLOOKUP("austria",#REF!,4,FALSE)-1</f>
        <v>#REF!</v>
      </c>
      <c r="I196" s="220" t="e">
        <f>VLOOKUP("austria",#REF!,4,FALSE)</f>
        <v>#REF!</v>
      </c>
      <c r="J196" s="219" t="e">
        <f>VLOOKUP("austria",#REF!,3,FALSE)/VLOOKUP("austria",#REF!,3,FALSE)-1</f>
        <v>#REF!</v>
      </c>
      <c r="K196" s="220" t="e">
        <f>VLOOKUP("austria",#REF!,3,FALSE)</f>
        <v>#REF!</v>
      </c>
      <c r="L196" s="219" t="e">
        <f>VLOOKUP("austria",#REF!,2,FALSE)/VLOOKUP("austria",#REF!,2,FALSE)-1</f>
        <v>#REF!</v>
      </c>
      <c r="M196" s="220" t="e">
        <f>VLOOKUP("austria",#REF!,2,FALSE)</f>
        <v>#REF!</v>
      </c>
      <c r="N196" s="219" t="e">
        <f>VLOOKUP("austria",#REF!,7,FALSE)/VLOOKUP("austria",#REF!,7,FALSE)-1</f>
        <v>#REF!</v>
      </c>
      <c r="O196" s="220" t="e">
        <f>VLOOKUP("austria",#REF!,7,FALSE)</f>
        <v>#REF!</v>
      </c>
      <c r="P196" s="219" t="e">
        <f>VLOOKUP("austria",#REF!,8,FALSE)/VLOOKUP("austria",#REF!,8,FALSE)-1</f>
        <v>#REF!</v>
      </c>
      <c r="Q196" s="220" t="e">
        <f>VLOOKUP("austria",#REF!,8,FALSE)</f>
        <v>#REF!</v>
      </c>
    </row>
    <row r="197" spans="3:18" ht="24" hidden="1" customHeight="1" x14ac:dyDescent="0.2">
      <c r="C197" s="218" t="s">
        <v>55</v>
      </c>
      <c r="D197" s="219" t="e">
        <f>VLOOKUP("rusia",#REF!,6,FALSE)/VLOOKUP("rusia",#REF!,6,FALSE)-1</f>
        <v>#REF!</v>
      </c>
      <c r="E197" s="220" t="e">
        <f>VLOOKUP("rusia",#REF!,6,FALSE)</f>
        <v>#REF!</v>
      </c>
      <c r="F197" s="219" t="e">
        <f>VLOOKUP("rusia",#REF!,5,FALSE)/VLOOKUP("rusia",#REF!,5,FALSE)-1</f>
        <v>#REF!</v>
      </c>
      <c r="G197" s="220" t="e">
        <f>VLOOKUP("rusia",#REF!,5,FALSE)</f>
        <v>#REF!</v>
      </c>
      <c r="H197" s="219" t="e">
        <f>VLOOKUP("rusia",#REF!,4,FALSE)/VLOOKUP("rusia",#REF!,4,FALSE)-1</f>
        <v>#REF!</v>
      </c>
      <c r="I197" s="220" t="e">
        <f>VLOOKUP("rusia",#REF!,4,FALSE)</f>
        <v>#REF!</v>
      </c>
      <c r="J197" s="219" t="e">
        <f>VLOOKUP("rusia",#REF!,3,FALSE)/VLOOKUP("rusia",#REF!,3,FALSE)-1</f>
        <v>#REF!</v>
      </c>
      <c r="K197" s="220" t="e">
        <f>VLOOKUP("rusia",#REF!,3,FALSE)</f>
        <v>#REF!</v>
      </c>
      <c r="L197" s="219" t="e">
        <f>VLOOKUP("rusia",#REF!,2,FALSE)/VLOOKUP("rusia",#REF!,2,FALSE)-1</f>
        <v>#REF!</v>
      </c>
      <c r="M197" s="220" t="e">
        <f>VLOOKUP("rusia",#REF!,2,FALSE)</f>
        <v>#REF!</v>
      </c>
      <c r="N197" s="219" t="e">
        <f>VLOOKUP("rusia",#REF!,7,FALSE)/VLOOKUP("rusia",#REF!,7,FALSE)-1</f>
        <v>#REF!</v>
      </c>
      <c r="O197" s="220" t="e">
        <f>VLOOKUP("rusia",#REF!,7,FALSE)</f>
        <v>#REF!</v>
      </c>
      <c r="P197" s="219" t="e">
        <f>VLOOKUP("rusia",#REF!,8,FALSE)/VLOOKUP("rusia",#REF!,8,FALSE)-1</f>
        <v>#REF!</v>
      </c>
      <c r="Q197" s="220" t="e">
        <f>VLOOKUP("rusia",#REF!,8,FALSE)</f>
        <v>#REF!</v>
      </c>
    </row>
    <row r="198" spans="3:18" ht="24" hidden="1" customHeight="1" x14ac:dyDescent="0.2">
      <c r="C198" s="218" t="s">
        <v>56</v>
      </c>
      <c r="D198" s="219" t="e">
        <f>VLOOKUP("paises del este",#REF!,6,FALSE)/VLOOKUP("paises del este",#REF!,6,FALSE)-1</f>
        <v>#REF!</v>
      </c>
      <c r="E198" s="220" t="e">
        <f>VLOOKUP("paises del este",#REF!,6,FALSE)</f>
        <v>#REF!</v>
      </c>
      <c r="F198" s="219" t="e">
        <f>VLOOKUP("paises del este",#REF!,5,FALSE)/VLOOKUP("paises del este",#REF!,5,FALSE)-1</f>
        <v>#REF!</v>
      </c>
      <c r="G198" s="220" t="e">
        <f>VLOOKUP("paises del este",#REF!,5,FALSE)</f>
        <v>#REF!</v>
      </c>
      <c r="H198" s="219" t="e">
        <f>VLOOKUP("paises del este",#REF!,4,FALSE)/VLOOKUP("paises del este",#REF!,4,FALSE)-1</f>
        <v>#REF!</v>
      </c>
      <c r="I198" s="220" t="e">
        <f>VLOOKUP("paises del este",#REF!,4,FALSE)</f>
        <v>#REF!</v>
      </c>
      <c r="J198" s="219" t="e">
        <f>VLOOKUP("paises del este",#REF!,3,FALSE)/VLOOKUP("paises del este",#REF!,3,FALSE)-1</f>
        <v>#REF!</v>
      </c>
      <c r="K198" s="220" t="e">
        <f>VLOOKUP("paises del este",#REF!,3,FALSE)</f>
        <v>#REF!</v>
      </c>
      <c r="L198" s="219" t="e">
        <f>VLOOKUP("paises del este",#REF!,2,FALSE)/VLOOKUP("paises del este",#REF!,2,FALSE)-1</f>
        <v>#REF!</v>
      </c>
      <c r="M198" s="220" t="e">
        <f>VLOOKUP("paises del este",#REF!,2,FALSE)</f>
        <v>#REF!</v>
      </c>
      <c r="N198" s="219" t="e">
        <f>VLOOKUP("paises del este",#REF!,7,FALSE)/VLOOKUP("paises del este",#REF!,7,FALSE)-1</f>
        <v>#REF!</v>
      </c>
      <c r="O198" s="220" t="e">
        <f>VLOOKUP("paises del este",#REF!,7,FALSE)</f>
        <v>#REF!</v>
      </c>
      <c r="P198" s="219" t="e">
        <f>VLOOKUP("paises del este",#REF!,8,FALSE)/VLOOKUP("paises del este",#REF!,8,FALSE)-1</f>
        <v>#REF!</v>
      </c>
      <c r="Q198" s="220" t="e">
        <f>VLOOKUP("paises del este",#REF!,8,FALSE)</f>
        <v>#REF!</v>
      </c>
    </row>
    <row r="199" spans="3:18" ht="24" hidden="1" customHeight="1" x14ac:dyDescent="0.2">
      <c r="C199" s="218" t="s">
        <v>57</v>
      </c>
      <c r="D199" s="219" t="e">
        <f>VLOOKUP("resto de europa",#REF!,6,FALSE)/VLOOKUP("resto de europa",#REF!,6,FALSE)-1</f>
        <v>#REF!</v>
      </c>
      <c r="E199" s="220" t="e">
        <f>VLOOKUP("resto de europa",#REF!,6,FALSE)</f>
        <v>#REF!</v>
      </c>
      <c r="F199" s="219" t="e">
        <f>VLOOKUP("resto de europa",#REF!,5,FALSE)/VLOOKUP("resto de europa",#REF!,5,FALSE)-1</f>
        <v>#REF!</v>
      </c>
      <c r="G199" s="220" t="e">
        <f>VLOOKUP("resto de europa",#REF!,5,FALSE)</f>
        <v>#REF!</v>
      </c>
      <c r="H199" s="219" t="e">
        <f>VLOOKUP("resto de europa",#REF!,4,FALSE)/VLOOKUP("resto de europa",#REF!,4,FALSE)-1</f>
        <v>#REF!</v>
      </c>
      <c r="I199" s="220" t="e">
        <f>VLOOKUP("resto de europa",#REF!,4,FALSE)</f>
        <v>#REF!</v>
      </c>
      <c r="J199" s="219" t="e">
        <f>VLOOKUP("resto de europa",#REF!,3,FALSE)/VLOOKUP("resto de europa",#REF!,3,FALSE)-1</f>
        <v>#REF!</v>
      </c>
      <c r="K199" s="220" t="e">
        <f>VLOOKUP("resto de europa",#REF!,3,FALSE)</f>
        <v>#REF!</v>
      </c>
      <c r="L199" s="219" t="e">
        <f>VLOOKUP("resto de europa",#REF!,2,FALSE)/VLOOKUP("resto de europa",#REF!,2,FALSE)-1</f>
        <v>#REF!</v>
      </c>
      <c r="M199" s="220" t="e">
        <f>VLOOKUP("resto de europa",#REF!,2,FALSE)</f>
        <v>#REF!</v>
      </c>
      <c r="N199" s="219" t="e">
        <f>VLOOKUP("resto de europa",#REF!,7,FALSE)/VLOOKUP("resto de europa",#REF!,7,FALSE)-1</f>
        <v>#REF!</v>
      </c>
      <c r="O199" s="220" t="e">
        <f>VLOOKUP("resto de europa",#REF!,7,FALSE)</f>
        <v>#REF!</v>
      </c>
      <c r="P199" s="219" t="e">
        <f>VLOOKUP("resto de europa",#REF!,8,FALSE)/VLOOKUP("resto de europa",#REF!,8,FALSE)-1</f>
        <v>#REF!</v>
      </c>
      <c r="Q199" s="220" t="e">
        <f>VLOOKUP("resto de europa",#REF!,8,FALSE)</f>
        <v>#REF!</v>
      </c>
    </row>
    <row r="200" spans="3:18" ht="24" hidden="1" customHeight="1" x14ac:dyDescent="0.2">
      <c r="C200" s="218" t="s">
        <v>58</v>
      </c>
      <c r="D200" s="219" t="e">
        <f>VLOOKUP("usa",#REF!,6,FALSE)/VLOOKUP("usa",#REF!,6,FALSE)-1</f>
        <v>#REF!</v>
      </c>
      <c r="E200" s="220" t="e">
        <f>VLOOKUP("usa",#REF!,6,FALSE)</f>
        <v>#REF!</v>
      </c>
      <c r="F200" s="219" t="e">
        <f>VLOOKUP("usa",#REF!,5,FALSE)/VLOOKUP("usa",#REF!,5,FALSE)-1</f>
        <v>#REF!</v>
      </c>
      <c r="G200" s="220" t="e">
        <f>VLOOKUP("usa",#REF!,5,FALSE)</f>
        <v>#REF!</v>
      </c>
      <c r="H200" s="219" t="e">
        <f>VLOOKUP("usa",#REF!,4,FALSE)/VLOOKUP("usa",#REF!,4,FALSE)-1</f>
        <v>#REF!</v>
      </c>
      <c r="I200" s="220" t="e">
        <f>VLOOKUP("usa",#REF!,4,FALSE)</f>
        <v>#REF!</v>
      </c>
      <c r="J200" s="219" t="e">
        <f>VLOOKUP("usa",#REF!,3,FALSE)/VLOOKUP("usa",#REF!,3,FALSE)-1</f>
        <v>#REF!</v>
      </c>
      <c r="K200" s="220" t="e">
        <f>VLOOKUP("usa",#REF!,3,FALSE)</f>
        <v>#REF!</v>
      </c>
      <c r="L200" s="219" t="e">
        <f>VLOOKUP("usa",#REF!,2,FALSE)/VLOOKUP("usa",#REF!,2,FALSE)-1</f>
        <v>#REF!</v>
      </c>
      <c r="M200" s="220" t="e">
        <f>VLOOKUP("usa",#REF!,2,FALSE)</f>
        <v>#REF!</v>
      </c>
      <c r="N200" s="219" t="e">
        <f>VLOOKUP("usa",#REF!,7,FALSE)/VLOOKUP("usa",#REF!,7,FALSE)-1</f>
        <v>#REF!</v>
      </c>
      <c r="O200" s="220" t="e">
        <f>VLOOKUP("usa",#REF!,7,FALSE)</f>
        <v>#REF!</v>
      </c>
      <c r="P200" s="219" t="e">
        <f>VLOOKUP("usa",#REF!,8,FALSE)/VLOOKUP("usa",#REF!,8,FALSE)-1</f>
        <v>#REF!</v>
      </c>
      <c r="Q200" s="220" t="e">
        <f>VLOOKUP("usa",#REF!,8,FALSE)</f>
        <v>#REF!</v>
      </c>
    </row>
    <row r="201" spans="3:18" ht="24" hidden="1" customHeight="1" x14ac:dyDescent="0.2">
      <c r="C201" s="218" t="s">
        <v>59</v>
      </c>
      <c r="D201" s="219" t="e">
        <f>VLOOKUP("resto de america",#REF!,6,FALSE)/VLOOKUP("resto de america",#REF!,6,FALSE)-1</f>
        <v>#REF!</v>
      </c>
      <c r="E201" s="220" t="e">
        <f>VLOOKUP("resto de america",#REF!,6,FALSE)</f>
        <v>#REF!</v>
      </c>
      <c r="F201" s="219" t="e">
        <f>VLOOKUP("resto de america",#REF!,5,FALSE)/VLOOKUP("resto de america",#REF!,5,FALSE)-1</f>
        <v>#REF!</v>
      </c>
      <c r="G201" s="220" t="e">
        <f>VLOOKUP("resto de america",#REF!,5,FALSE)</f>
        <v>#REF!</v>
      </c>
      <c r="H201" s="219" t="e">
        <f>VLOOKUP("resto de america",#REF!,4,FALSE)/VLOOKUP("resto de america",#REF!,4,FALSE)-1</f>
        <v>#REF!</v>
      </c>
      <c r="I201" s="220" t="e">
        <f>VLOOKUP("resto de america",#REF!,4,FALSE)</f>
        <v>#REF!</v>
      </c>
      <c r="J201" s="219" t="e">
        <f>VLOOKUP("resto de america",#REF!,3,FALSE)/VLOOKUP("resto de america",#REF!,3,FALSE)-1</f>
        <v>#REF!</v>
      </c>
      <c r="K201" s="220" t="e">
        <f>VLOOKUP("resto de america",#REF!,3,FALSE)</f>
        <v>#REF!</v>
      </c>
      <c r="L201" s="219" t="e">
        <f>VLOOKUP("resto de america",#REF!,2,FALSE)/VLOOKUP("resto de america",#REF!,2,FALSE)-1</f>
        <v>#REF!</v>
      </c>
      <c r="M201" s="220" t="e">
        <f>VLOOKUP("resto de america",#REF!,2,FALSE)</f>
        <v>#REF!</v>
      </c>
      <c r="N201" s="219" t="e">
        <f>VLOOKUP("resto de america",#REF!,7,FALSE)/VLOOKUP("resto de america",#REF!,7,FALSE)-1</f>
        <v>#REF!</v>
      </c>
      <c r="O201" s="220" t="e">
        <f>VLOOKUP("resto de america",#REF!,7,FALSE)</f>
        <v>#REF!</v>
      </c>
      <c r="P201" s="219" t="e">
        <f>VLOOKUP("resto de america",#REF!,8,FALSE)/VLOOKUP("resto de america",#REF!,8,FALSE)-1</f>
        <v>#REF!</v>
      </c>
      <c r="Q201" s="220" t="e">
        <f>VLOOKUP("resto de america",#REF!,8,FALSE)</f>
        <v>#REF!</v>
      </c>
    </row>
    <row r="202" spans="3:18" ht="24" hidden="1" customHeight="1" x14ac:dyDescent="0.2">
      <c r="C202" s="218" t="s">
        <v>60</v>
      </c>
      <c r="D202" s="219" t="e">
        <f>VLOOKUP("resto del mundo",#REF!,6,FALSE)/VLOOKUP("resto del mundo",#REF!,6,FALSE)-1</f>
        <v>#REF!</v>
      </c>
      <c r="E202" s="220" t="e">
        <f>VLOOKUP("resto del mundo",#REF!,6,FALSE)</f>
        <v>#REF!</v>
      </c>
      <c r="F202" s="219" t="e">
        <f>VLOOKUP("resto del mundo",#REF!,5,FALSE)/VLOOKUP("resto del mundo",#REF!,5,FALSE)-1</f>
        <v>#REF!</v>
      </c>
      <c r="G202" s="220" t="e">
        <f>VLOOKUP("resto del mundo",#REF!,5,FALSE)</f>
        <v>#REF!</v>
      </c>
      <c r="H202" s="219" t="e">
        <f>VLOOKUP("resto del mundo",#REF!,4,FALSE)/VLOOKUP("resto del mundo",#REF!,4,FALSE)-1</f>
        <v>#REF!</v>
      </c>
      <c r="I202" s="220" t="e">
        <f>VLOOKUP("resto del mundo",#REF!,4,FALSE)</f>
        <v>#REF!</v>
      </c>
      <c r="J202" s="219" t="e">
        <f>VLOOKUP("resto del mundo",#REF!,3,FALSE)/VLOOKUP("resto del mundo",#REF!,3,FALSE)-1</f>
        <v>#REF!</v>
      </c>
      <c r="K202" s="220" t="e">
        <f>VLOOKUP("resto del mundo",#REF!,3,FALSE)</f>
        <v>#REF!</v>
      </c>
      <c r="L202" s="219" t="e">
        <f>VLOOKUP("resto del mundo",#REF!,2,FALSE)/VLOOKUP("resto del mundo",#REF!,2,FALSE)-1</f>
        <v>#REF!</v>
      </c>
      <c r="M202" s="220" t="e">
        <f>VLOOKUP("resto del mundo",#REF!,2,FALSE)</f>
        <v>#REF!</v>
      </c>
      <c r="N202" s="219" t="e">
        <f>VLOOKUP("resto del mundo",#REF!,7,FALSE)/VLOOKUP("resto del mundo",#REF!,7,FALSE)-1</f>
        <v>#REF!</v>
      </c>
      <c r="O202" s="220" t="e">
        <f>VLOOKUP("resto del mundo",#REF!,7,FALSE)</f>
        <v>#REF!</v>
      </c>
      <c r="P202" s="219" t="e">
        <f>VLOOKUP("resto del mundo",#REF!,8,FALSE)/VLOOKUP("resto del mundo",#REF!,8,FALSE)-1</f>
        <v>#REF!</v>
      </c>
      <c r="Q202" s="220" t="e">
        <f>VLOOKUP("resto del mundo",#REF!,8,FALSE)</f>
        <v>#REF!</v>
      </c>
    </row>
    <row r="203" spans="3:18" ht="24" hidden="1" customHeight="1" x14ac:dyDescent="0.2">
      <c r="C203" s="218" t="s">
        <v>61</v>
      </c>
      <c r="D203" s="219" t="e">
        <f>(VLOOKUP("total",#REF!,6,FALSE)-VLOOKUP("españa",#REF!,6,FALSE))/(VLOOKUP("total",#REF!,6,FALSE)-VLOOKUP("españa",#REF!,6,FALSE))-1</f>
        <v>#REF!</v>
      </c>
      <c r="E203" s="220" t="e">
        <f>VLOOKUP("total",#REF!,6,FALSE)-VLOOKUP("españa",#REF!,6,FALSE)</f>
        <v>#REF!</v>
      </c>
      <c r="F203" s="219" t="e">
        <f>(VLOOKUP("total",#REF!,5,FALSE)-VLOOKUP("españa",#REF!,5,FALSE))/(VLOOKUP("total",#REF!,5,FALSE)-VLOOKUP("españa",#REF!,5,FALSE))-1</f>
        <v>#REF!</v>
      </c>
      <c r="G203" s="220" t="e">
        <f>VLOOKUP("total",#REF!,5,FALSE)-VLOOKUP("españa",#REF!,5,FALSE)</f>
        <v>#REF!</v>
      </c>
      <c r="H203" s="219" t="e">
        <f>(VLOOKUP("total",#REF!,4,FALSE)-VLOOKUP("españa",#REF!,4,FALSE))/(VLOOKUP("total",#REF!,4,FALSE)-VLOOKUP("españa",#REF!,4,FALSE))-1</f>
        <v>#REF!</v>
      </c>
      <c r="I203" s="220" t="e">
        <f>VLOOKUP("total",#REF!,4,FALSE)-VLOOKUP("españa",#REF!,4,FALSE)</f>
        <v>#REF!</v>
      </c>
      <c r="J203" s="219" t="e">
        <f>(VLOOKUP("total",#REF!,3,FALSE)-VLOOKUP("españa",#REF!,3,FALSE))/(VLOOKUP("total",#REF!,3,FALSE)-VLOOKUP("españa",#REF!,3,FALSE))-1</f>
        <v>#REF!</v>
      </c>
      <c r="K203" s="220" t="e">
        <f>VLOOKUP("total",#REF!,3,FALSE)-VLOOKUP("españa",#REF!,3,FALSE)</f>
        <v>#REF!</v>
      </c>
      <c r="L203" s="219" t="e">
        <f>(VLOOKUP("total",#REF!,2,FALSE)-VLOOKUP("españa",#REF!,2,FALSE))/(VLOOKUP("total",#REF!,2,FALSE)-VLOOKUP("españa",#REF!,2,FALSE))-1</f>
        <v>#REF!</v>
      </c>
      <c r="M203" s="220" t="e">
        <f>VLOOKUP("total",#REF!,2,FALSE)-VLOOKUP("españa",#REF!,2,FALSE)</f>
        <v>#REF!</v>
      </c>
      <c r="N203" s="219" t="e">
        <f>(VLOOKUP("total",#REF!,7,FALSE)-VLOOKUP("españa",#REF!,7,FALSE))/(VLOOKUP("total",#REF!,7,FALSE)-VLOOKUP("españa",#REF!,7,FALSE))-1</f>
        <v>#REF!</v>
      </c>
      <c r="O203" s="220" t="e">
        <f>VLOOKUP("total",#REF!,7,FALSE)-VLOOKUP("españa",#REF!,7,FALSE)</f>
        <v>#REF!</v>
      </c>
      <c r="P203" s="219" t="e">
        <f>(VLOOKUP("total",#REF!,8,FALSE)-VLOOKUP("españa",#REF!,8,FALSE))/(VLOOKUP("total",#REF!,8,FALSE)-VLOOKUP("españa",#REF!,8,FALSE))-1</f>
        <v>#REF!</v>
      </c>
      <c r="Q203" s="220" t="e">
        <f>VLOOKUP("total",#REF!,8,FALSE)-VLOOKUP("españa",#REF!,8,FALSE)</f>
        <v>#REF!</v>
      </c>
    </row>
    <row r="204" spans="3:18" ht="24" hidden="1" customHeight="1" x14ac:dyDescent="0.2">
      <c r="C204" s="218" t="s">
        <v>8</v>
      </c>
      <c r="D204" s="219" t="e">
        <f>VLOOKUP("total",#REF!,6,FALSE)/VLOOKUP("total",#REF!,6,FALSE)-1</f>
        <v>#REF!</v>
      </c>
      <c r="E204" s="220" t="e">
        <f>VLOOKUP("total",#REF!,6,FALSE)</f>
        <v>#REF!</v>
      </c>
      <c r="F204" s="219" t="e">
        <f>VLOOKUP("total",#REF!,5,FALSE)/VLOOKUP("total",#REF!,5,FALSE)-1</f>
        <v>#REF!</v>
      </c>
      <c r="G204" s="220" t="e">
        <f>VLOOKUP("total",#REF!,5,FALSE)</f>
        <v>#REF!</v>
      </c>
      <c r="H204" s="219" t="e">
        <f>VLOOKUP("total",#REF!,4,FALSE)/VLOOKUP("total",#REF!,4,FALSE)-1</f>
        <v>#REF!</v>
      </c>
      <c r="I204" s="220" t="e">
        <f>VLOOKUP("total",#REF!,4,FALSE)</f>
        <v>#REF!</v>
      </c>
      <c r="J204" s="219" t="e">
        <f>VLOOKUP("total",#REF!,3,FALSE)/VLOOKUP("total",#REF!,3,FALSE)-1</f>
        <v>#REF!</v>
      </c>
      <c r="K204" s="220" t="e">
        <f>VLOOKUP("total",#REF!,3,FALSE)</f>
        <v>#REF!</v>
      </c>
      <c r="L204" s="219" t="e">
        <f>VLOOKUP("total",#REF!,2,FALSE)/VLOOKUP("total",#REF!,2,FALSE)-1</f>
        <v>#REF!</v>
      </c>
      <c r="M204" s="220" t="e">
        <f>VLOOKUP("total",#REF!,2,FALSE)</f>
        <v>#REF!</v>
      </c>
      <c r="N204" s="219" t="e">
        <f>VLOOKUP("total",#REF!,7,FALSE)/VLOOKUP("total",#REF!,7,FALSE)-1</f>
        <v>#REF!</v>
      </c>
      <c r="O204" s="220" t="e">
        <f>VLOOKUP("total",#REF!,7,FALSE)</f>
        <v>#REF!</v>
      </c>
      <c r="P204" s="219" t="e">
        <f>VLOOKUP("total",#REF!,8,FALSE)/VLOOKUP("total",#REF!,8,FALSE)-1</f>
        <v>#REF!</v>
      </c>
      <c r="Q204" s="220" t="e">
        <f>VLOOKUP("total",#REF!,8,FALSE)</f>
        <v>#REF!</v>
      </c>
    </row>
    <row r="205" spans="3:18" hidden="1" x14ac:dyDescent="0.2">
      <c r="C205" s="163"/>
      <c r="D205" s="164"/>
      <c r="E205" s="164"/>
      <c r="F205" s="164"/>
      <c r="G205" s="164"/>
      <c r="H205" s="164"/>
      <c r="I205" s="164"/>
      <c r="J205" s="164"/>
      <c r="K205" s="164"/>
      <c r="L205" s="164"/>
      <c r="M205" s="166"/>
    </row>
    <row r="206" spans="3:18" ht="35.25" hidden="1" customHeight="1" x14ac:dyDescent="0.2">
      <c r="C206" s="209" t="s">
        <v>29</v>
      </c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1"/>
    </row>
    <row r="207" spans="3:18" ht="20.100000000000001" hidden="1" customHeight="1" x14ac:dyDescent="0.2">
      <c r="C207" s="222" t="str">
        <f>I2</f>
        <v>Invierno 17/18 (nov-mar)</v>
      </c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4"/>
    </row>
    <row r="208" spans="3:18" ht="13.5" hidden="1" thickBot="1" x14ac:dyDescent="0.25">
      <c r="C208" s="214"/>
      <c r="D208" s="215" t="s">
        <v>24</v>
      </c>
      <c r="E208" s="216"/>
      <c r="F208" s="215" t="s">
        <v>23</v>
      </c>
      <c r="G208" s="216"/>
      <c r="H208" s="215" t="s">
        <v>22</v>
      </c>
      <c r="I208" s="216"/>
      <c r="J208" s="215" t="s">
        <v>21</v>
      </c>
      <c r="K208" s="216"/>
      <c r="L208" s="215" t="s">
        <v>20</v>
      </c>
      <c r="M208" s="216"/>
      <c r="N208" s="215" t="s">
        <v>63</v>
      </c>
      <c r="O208" s="216"/>
      <c r="P208" s="215" t="s">
        <v>64</v>
      </c>
      <c r="Q208" s="216"/>
    </row>
    <row r="209" spans="3:17" ht="28.5" hidden="1" customHeight="1" x14ac:dyDescent="0.2">
      <c r="C209" s="214"/>
      <c r="D209" s="217" t="s">
        <v>65</v>
      </c>
      <c r="E209" s="217" t="s">
        <v>66</v>
      </c>
      <c r="F209" s="217" t="s">
        <v>65</v>
      </c>
      <c r="G209" s="217" t="s">
        <v>66</v>
      </c>
      <c r="H209" s="217" t="s">
        <v>65</v>
      </c>
      <c r="I209" s="217" t="s">
        <v>66</v>
      </c>
      <c r="J209" s="217" t="s">
        <v>65</v>
      </c>
      <c r="K209" s="217" t="s">
        <v>66</v>
      </c>
      <c r="L209" s="217" t="s">
        <v>65</v>
      </c>
      <c r="M209" s="217" t="s">
        <v>66</v>
      </c>
      <c r="N209" s="217" t="s">
        <v>65</v>
      </c>
      <c r="O209" s="217" t="s">
        <v>66</v>
      </c>
      <c r="P209" s="217" t="s">
        <v>65</v>
      </c>
      <c r="Q209" s="217" t="s">
        <v>66</v>
      </c>
    </row>
    <row r="210" spans="3:17" ht="24" hidden="1" customHeight="1" x14ac:dyDescent="0.2">
      <c r="C210" s="218" t="s">
        <v>36</v>
      </c>
      <c r="D210" s="219" t="e">
        <f>VLOOKUP("españa",#REF!,6,FALSE)/VLOOKUP("españa",#REF!,6,FALSE)-1</f>
        <v>#REF!</v>
      </c>
      <c r="E210" s="220" t="e">
        <f>VLOOKUP("españa",#REF!,6,FALSE)</f>
        <v>#REF!</v>
      </c>
      <c r="F210" s="219" t="e">
        <f>VLOOKUP("españa",#REF!,5,FALSE)/VLOOKUP("españa",#REF!,5,FALSE)-1</f>
        <v>#REF!</v>
      </c>
      <c r="G210" s="220" t="e">
        <f>VLOOKUP("españa",#REF!,5,FALSE)</f>
        <v>#REF!</v>
      </c>
      <c r="H210" s="219" t="e">
        <f>VLOOKUP("españa",#REF!,4,FALSE)/VLOOKUP("españa",#REF!,4,FALSE)-1</f>
        <v>#REF!</v>
      </c>
      <c r="I210" s="220" t="e">
        <f>VLOOKUP("españa",#REF!,4,FALSE)</f>
        <v>#REF!</v>
      </c>
      <c r="J210" s="219" t="e">
        <f>VLOOKUP("españa",#REF!,3,FALSE)/VLOOKUP("españa",#REF!,3,FALSE)-1</f>
        <v>#REF!</v>
      </c>
      <c r="K210" s="220" t="e">
        <f>VLOOKUP("españa",#REF!,3,FALSE)</f>
        <v>#REF!</v>
      </c>
      <c r="L210" s="219" t="e">
        <f>VLOOKUP("españa",#REF!,2,FALSE)/VLOOKUP("españa",#REF!,2,FALSE)-1</f>
        <v>#REF!</v>
      </c>
      <c r="M210" s="220" t="e">
        <f>VLOOKUP("españa",#REF!,2,FALSE)</f>
        <v>#REF!</v>
      </c>
      <c r="N210" s="219" t="e">
        <f>VLOOKUP("españa",#REF!,7,FALSE)/VLOOKUP("españa",#REF!,7,FALSE)-1</f>
        <v>#REF!</v>
      </c>
      <c r="O210" s="220" t="e">
        <f>VLOOKUP("españa",#REF!,7,FALSE)</f>
        <v>#REF!</v>
      </c>
      <c r="P210" s="219" t="e">
        <f>VLOOKUP("españa",#REF!,8,FALSE)/VLOOKUP("españa",#REF!,8,FALSE)-1</f>
        <v>#REF!</v>
      </c>
      <c r="Q210" s="220" t="e">
        <f>VLOOKUP("españa",#REF!,8,FALSE)</f>
        <v>#REF!</v>
      </c>
    </row>
    <row r="211" spans="3:17" ht="24" hidden="1" customHeight="1" x14ac:dyDescent="0.2">
      <c r="C211" s="218" t="s">
        <v>41</v>
      </c>
      <c r="D211" s="219" t="e">
        <f>VLOOKUP("holanda",#REF!,6,FALSE)/VLOOKUP("holanda",#REF!,6,FALSE)-1</f>
        <v>#REF!</v>
      </c>
      <c r="E211" s="220" t="e">
        <f>VLOOKUP("holanda",#REF!,6,FALSE)</f>
        <v>#REF!</v>
      </c>
      <c r="F211" s="219" t="e">
        <f>VLOOKUP("holanda",#REF!,5,FALSE)/VLOOKUP("holanda",#REF!,5,FALSE)-1</f>
        <v>#REF!</v>
      </c>
      <c r="G211" s="220" t="e">
        <f>VLOOKUP("holanda",#REF!,5,FALSE)</f>
        <v>#REF!</v>
      </c>
      <c r="H211" s="219" t="e">
        <f>VLOOKUP("holanda",#REF!,4,FALSE)/VLOOKUP("holanda",#REF!,4,FALSE)-1</f>
        <v>#REF!</v>
      </c>
      <c r="I211" s="220" t="e">
        <f>VLOOKUP("holanda",#REF!,4,FALSE)</f>
        <v>#REF!</v>
      </c>
      <c r="J211" s="219" t="e">
        <f>VLOOKUP("holanda",#REF!,3,FALSE)/VLOOKUP("holanda",#REF!,3,FALSE)-1</f>
        <v>#REF!</v>
      </c>
      <c r="K211" s="220" t="e">
        <f>VLOOKUP("holanda",#REF!,3,FALSE)</f>
        <v>#REF!</v>
      </c>
      <c r="L211" s="219" t="e">
        <f>VLOOKUP("holanda",#REF!,2,FALSE)/VLOOKUP("holanda",#REF!,2,FALSE)-1</f>
        <v>#REF!</v>
      </c>
      <c r="M211" s="220" t="e">
        <f>VLOOKUP("holanda",#REF!,2,FALSE)</f>
        <v>#REF!</v>
      </c>
      <c r="N211" s="219" t="e">
        <f>VLOOKUP("holanda",#REF!,7,FALSE)/VLOOKUP("holanda",#REF!,7,FALSE)-1</f>
        <v>#REF!</v>
      </c>
      <c r="O211" s="220" t="e">
        <f>VLOOKUP("holanda",#REF!,7,FALSE)</f>
        <v>#REF!</v>
      </c>
      <c r="P211" s="219" t="e">
        <f>VLOOKUP("holanda",#REF!,8,FALSE)/VLOOKUP("holanda",#REF!,8,FALSE)-1</f>
        <v>#REF!</v>
      </c>
      <c r="Q211" s="220" t="e">
        <f>VLOOKUP("holanda",#REF!,8,FALSE)</f>
        <v>#REF!</v>
      </c>
    </row>
    <row r="212" spans="3:17" ht="24" hidden="1" customHeight="1" x14ac:dyDescent="0.2">
      <c r="C212" s="218" t="s">
        <v>42</v>
      </c>
      <c r="D212" s="219" t="e">
        <f>VLOOKUP("belgica",#REF!,6,FALSE)/VLOOKUP("belgica",#REF!,6,FALSE)-1</f>
        <v>#REF!</v>
      </c>
      <c r="E212" s="220" t="e">
        <f>VLOOKUP("belgica",#REF!,6,FALSE)</f>
        <v>#REF!</v>
      </c>
      <c r="F212" s="219" t="e">
        <f>VLOOKUP("belgica",#REF!,5,FALSE)/VLOOKUP("belgica",#REF!,5,FALSE)-1</f>
        <v>#REF!</v>
      </c>
      <c r="G212" s="220" t="e">
        <f>VLOOKUP("belgica",#REF!,5,FALSE)</f>
        <v>#REF!</v>
      </c>
      <c r="H212" s="219" t="e">
        <f>VLOOKUP("belgica",#REF!,4,FALSE)/VLOOKUP("belgica",#REF!,4,FALSE)-1</f>
        <v>#REF!</v>
      </c>
      <c r="I212" s="220" t="e">
        <f>VLOOKUP("belgica",#REF!,4,FALSE)</f>
        <v>#REF!</v>
      </c>
      <c r="J212" s="219" t="e">
        <f>VLOOKUP("belgica",#REF!,3,FALSE)/VLOOKUP("belgica",#REF!,3,FALSE)-1</f>
        <v>#REF!</v>
      </c>
      <c r="K212" s="220" t="e">
        <f>VLOOKUP("belgica",#REF!,3,FALSE)</f>
        <v>#REF!</v>
      </c>
      <c r="L212" s="219" t="e">
        <f>VLOOKUP("belgica",#REF!,2,FALSE)/VLOOKUP("belgica",#REF!,2,FALSE)-1</f>
        <v>#REF!</v>
      </c>
      <c r="M212" s="220" t="e">
        <f>VLOOKUP("belgica",#REF!,2,FALSE)</f>
        <v>#REF!</v>
      </c>
      <c r="N212" s="219" t="e">
        <f>VLOOKUP("belgica",#REF!,7,FALSE)/VLOOKUP("belgica",#REF!,7,FALSE)-1</f>
        <v>#REF!</v>
      </c>
      <c r="O212" s="220" t="e">
        <f>VLOOKUP("belgica",#REF!,7,FALSE)</f>
        <v>#REF!</v>
      </c>
      <c r="P212" s="219" t="e">
        <f>VLOOKUP("belgica",#REF!,8,FALSE)/VLOOKUP("belgica",#REF!,8,FALSE)-1</f>
        <v>#REF!</v>
      </c>
      <c r="Q212" s="220" t="e">
        <f>VLOOKUP("belgica",#REF!,8,FALSE)</f>
        <v>#REF!</v>
      </c>
    </row>
    <row r="213" spans="3:17" ht="24" hidden="1" customHeight="1" x14ac:dyDescent="0.2">
      <c r="C213" s="218" t="s">
        <v>43</v>
      </c>
      <c r="D213" s="219" t="e">
        <f>VLOOKUP("alemania",#REF!,6,FALSE)/VLOOKUP("alemania",#REF!,6,FALSE)-1</f>
        <v>#REF!</v>
      </c>
      <c r="E213" s="220" t="e">
        <f>VLOOKUP("alemania",#REF!,6,FALSE)</f>
        <v>#REF!</v>
      </c>
      <c r="F213" s="219" t="e">
        <f>VLOOKUP("alemania",#REF!,5,FALSE)/VLOOKUP("alemania",#REF!,5,FALSE)-1</f>
        <v>#REF!</v>
      </c>
      <c r="G213" s="220" t="e">
        <f>VLOOKUP("alemania",#REF!,5,FALSE)</f>
        <v>#REF!</v>
      </c>
      <c r="H213" s="219" t="e">
        <f>VLOOKUP("alemania",#REF!,4,FALSE)/VLOOKUP("alemania",#REF!,4,FALSE)-1</f>
        <v>#REF!</v>
      </c>
      <c r="I213" s="220" t="e">
        <f>VLOOKUP("alemania",#REF!,4,FALSE)</f>
        <v>#REF!</v>
      </c>
      <c r="J213" s="219" t="e">
        <f>VLOOKUP("alemania",#REF!,3,FALSE)/VLOOKUP("alemania",#REF!,3,FALSE)-1</f>
        <v>#REF!</v>
      </c>
      <c r="K213" s="220" t="e">
        <f>VLOOKUP("alemania",#REF!,3,FALSE)</f>
        <v>#REF!</v>
      </c>
      <c r="L213" s="219" t="e">
        <f>VLOOKUP("alemania",#REF!,2,FALSE)/VLOOKUP("alemania",#REF!,2,FALSE)-1</f>
        <v>#REF!</v>
      </c>
      <c r="M213" s="220" t="e">
        <f>VLOOKUP("alemania",#REF!,2,FALSE)</f>
        <v>#REF!</v>
      </c>
      <c r="N213" s="219" t="e">
        <f>VLOOKUP("alemania",#REF!,7,FALSE)/VLOOKUP("alemania",#REF!,7,FALSE)-1</f>
        <v>#REF!</v>
      </c>
      <c r="O213" s="220" t="e">
        <f>VLOOKUP("alemania",#REF!,7,FALSE)</f>
        <v>#REF!</v>
      </c>
      <c r="P213" s="219" t="e">
        <f>VLOOKUP("alemania",#REF!,8,FALSE)/VLOOKUP("alemania",#REF!,8,FALSE)-1</f>
        <v>#REF!</v>
      </c>
      <c r="Q213" s="220" t="e">
        <f>VLOOKUP("alemania",#REF!,8,FALSE)</f>
        <v>#REF!</v>
      </c>
    </row>
    <row r="214" spans="3:17" ht="24" hidden="1" customHeight="1" x14ac:dyDescent="0.2">
      <c r="C214" s="218" t="s">
        <v>44</v>
      </c>
      <c r="D214" s="219" t="e">
        <f>VLOOKUP("francia",#REF!,6,FALSE)/VLOOKUP("francia",#REF!,6,FALSE)-1</f>
        <v>#REF!</v>
      </c>
      <c r="E214" s="220" t="e">
        <f>VLOOKUP("francia",#REF!,6,FALSE)</f>
        <v>#REF!</v>
      </c>
      <c r="F214" s="219" t="e">
        <f>VLOOKUP("francia",#REF!,5,FALSE)/VLOOKUP("francia",#REF!,5,FALSE)-1</f>
        <v>#REF!</v>
      </c>
      <c r="G214" s="220" t="e">
        <f>VLOOKUP("francia",#REF!,5,FALSE)</f>
        <v>#REF!</v>
      </c>
      <c r="H214" s="219" t="e">
        <f>VLOOKUP("francia",#REF!,4,FALSE)/VLOOKUP("francia",#REF!,4,FALSE)-1</f>
        <v>#REF!</v>
      </c>
      <c r="I214" s="220" t="e">
        <f>VLOOKUP("francia",#REF!,4,FALSE)</f>
        <v>#REF!</v>
      </c>
      <c r="J214" s="219" t="e">
        <f>VLOOKUP("francia",#REF!,3,FALSE)/VLOOKUP("francia",#REF!,3,FALSE)-1</f>
        <v>#REF!</v>
      </c>
      <c r="K214" s="220" t="e">
        <f>VLOOKUP("francia",#REF!,3,FALSE)</f>
        <v>#REF!</v>
      </c>
      <c r="L214" s="219" t="e">
        <f>VLOOKUP("francia",#REF!,2,FALSE)/VLOOKUP("francia",#REF!,2,FALSE)-1</f>
        <v>#REF!</v>
      </c>
      <c r="M214" s="220" t="e">
        <f>VLOOKUP("francia",#REF!,2,FALSE)</f>
        <v>#REF!</v>
      </c>
      <c r="N214" s="219" t="e">
        <f>VLOOKUP("francia",#REF!,7,FALSE)/VLOOKUP("francia",#REF!,7,FALSE)-1</f>
        <v>#REF!</v>
      </c>
      <c r="O214" s="220" t="e">
        <f>VLOOKUP("francia",#REF!,7,FALSE)</f>
        <v>#REF!</v>
      </c>
      <c r="P214" s="219" t="e">
        <f>VLOOKUP("francia",#REF!,8,FALSE)/VLOOKUP("francia",#REF!,8,FALSE)-1</f>
        <v>#REF!</v>
      </c>
      <c r="Q214" s="220" t="e">
        <f>VLOOKUP("francia",#REF!,8,FALSE)</f>
        <v>#REF!</v>
      </c>
    </row>
    <row r="215" spans="3:17" ht="24" hidden="1" customHeight="1" x14ac:dyDescent="0.2">
      <c r="C215" s="218" t="s">
        <v>45</v>
      </c>
      <c r="D215" s="219" t="e">
        <f>VLOOKUP("reino unido",#REF!,6,FALSE)/VLOOKUP("reino unido",#REF!,6,FALSE)-1</f>
        <v>#REF!</v>
      </c>
      <c r="E215" s="220" t="e">
        <f>VLOOKUP("reino unido",#REF!,6,FALSE)</f>
        <v>#REF!</v>
      </c>
      <c r="F215" s="219" t="e">
        <f>VLOOKUP("reino unido",#REF!,5,FALSE)/VLOOKUP("reino unido",#REF!,5,FALSE)-1</f>
        <v>#REF!</v>
      </c>
      <c r="G215" s="220" t="e">
        <f>VLOOKUP("reino unido",#REF!,5,FALSE)</f>
        <v>#REF!</v>
      </c>
      <c r="H215" s="219" t="e">
        <f>VLOOKUP("reino unido",#REF!,4,FALSE)/VLOOKUP("reino unido",#REF!,4,FALSE)-1</f>
        <v>#REF!</v>
      </c>
      <c r="I215" s="220" t="e">
        <f>VLOOKUP("reino unido",#REF!,4,FALSE)</f>
        <v>#REF!</v>
      </c>
      <c r="J215" s="219" t="e">
        <f>VLOOKUP("reino unido",#REF!,3,FALSE)/VLOOKUP("reino unido",#REF!,3,FALSE)-1</f>
        <v>#REF!</v>
      </c>
      <c r="K215" s="220" t="e">
        <f>VLOOKUP("reino unido",#REF!,3,FALSE)</f>
        <v>#REF!</v>
      </c>
      <c r="L215" s="219" t="e">
        <f>VLOOKUP("reino unido",#REF!,2,FALSE)/VLOOKUP("reino unido",#REF!,2,FALSE)-1</f>
        <v>#REF!</v>
      </c>
      <c r="M215" s="220" t="e">
        <f>VLOOKUP("reino unido",#REF!,2,FALSE)</f>
        <v>#REF!</v>
      </c>
      <c r="N215" s="219" t="e">
        <f>VLOOKUP("reino unido",#REF!,7,FALSE)/VLOOKUP("reino unido",#REF!,7,FALSE)-1</f>
        <v>#REF!</v>
      </c>
      <c r="O215" s="220" t="e">
        <f>VLOOKUP("reino unido",#REF!,7,FALSE)</f>
        <v>#REF!</v>
      </c>
      <c r="P215" s="219" t="e">
        <f>VLOOKUP("reino unido",#REF!,8,FALSE)/VLOOKUP("reino unido",#REF!,8,FALSE)-1</f>
        <v>#REF!</v>
      </c>
      <c r="Q215" s="220" t="e">
        <f>VLOOKUP("reino unido",#REF!,8,FALSE)</f>
        <v>#REF!</v>
      </c>
    </row>
    <row r="216" spans="3:17" ht="24" hidden="1" customHeight="1" x14ac:dyDescent="0.2">
      <c r="C216" s="218" t="s">
        <v>46</v>
      </c>
      <c r="D216" s="219" t="e">
        <f>VLOOKUP("irlanda",#REF!,6,FALSE)/VLOOKUP("irlanda",#REF!,6,FALSE)-1</f>
        <v>#REF!</v>
      </c>
      <c r="E216" s="220" t="e">
        <f>VLOOKUP("irlanda",#REF!,6,FALSE)</f>
        <v>#REF!</v>
      </c>
      <c r="F216" s="219" t="e">
        <f>VLOOKUP("irlanda",#REF!,5,FALSE)/VLOOKUP("irlanda",#REF!,5,FALSE)-1</f>
        <v>#REF!</v>
      </c>
      <c r="G216" s="220" t="e">
        <f>VLOOKUP("irlanda",#REF!,5,FALSE)</f>
        <v>#REF!</v>
      </c>
      <c r="H216" s="219" t="e">
        <f>VLOOKUP("irlanda",#REF!,4,FALSE)/VLOOKUP("irlanda",#REF!,4,FALSE)-1</f>
        <v>#REF!</v>
      </c>
      <c r="I216" s="220" t="e">
        <f>VLOOKUP("irlanda",#REF!,4,FALSE)</f>
        <v>#REF!</v>
      </c>
      <c r="J216" s="219" t="e">
        <f>VLOOKUP("irlanda",#REF!,3,FALSE)/VLOOKUP("irlanda",#REF!,3,FALSE)-1</f>
        <v>#REF!</v>
      </c>
      <c r="K216" s="220" t="e">
        <f>VLOOKUP("irlanda",#REF!,3,FALSE)</f>
        <v>#REF!</v>
      </c>
      <c r="L216" s="219" t="e">
        <f>VLOOKUP("irlanda",#REF!,2,FALSE)/VLOOKUP("irlanda",#REF!,2,FALSE)-1</f>
        <v>#REF!</v>
      </c>
      <c r="M216" s="220" t="e">
        <f>VLOOKUP("irlanda",#REF!,2,FALSE)</f>
        <v>#REF!</v>
      </c>
      <c r="N216" s="219" t="e">
        <f>VLOOKUP("irlanda",#REF!,7,FALSE)/VLOOKUP("irlanda",#REF!,7,FALSE)-1</f>
        <v>#REF!</v>
      </c>
      <c r="O216" s="220" t="e">
        <f>VLOOKUP("irlanda",#REF!,7,FALSE)</f>
        <v>#REF!</v>
      </c>
      <c r="P216" s="219" t="e">
        <f>VLOOKUP("irlanda",#REF!,8,FALSE)/VLOOKUP("irlanda",#REF!,8,FALSE)-1</f>
        <v>#REF!</v>
      </c>
      <c r="Q216" s="220" t="e">
        <f>VLOOKUP("irlanda",#REF!,8,FALSE)</f>
        <v>#REF!</v>
      </c>
    </row>
    <row r="217" spans="3:17" ht="24" hidden="1" customHeight="1" x14ac:dyDescent="0.2">
      <c r="C217" s="218" t="s">
        <v>47</v>
      </c>
      <c r="D217" s="219" t="e">
        <f>VLOOKUP("italia",#REF!,6,FALSE)/VLOOKUP("italia",#REF!,6,FALSE)-1</f>
        <v>#REF!</v>
      </c>
      <c r="E217" s="220" t="e">
        <f>VLOOKUP("italia",#REF!,6,FALSE)</f>
        <v>#REF!</v>
      </c>
      <c r="F217" s="219" t="e">
        <f>VLOOKUP("italia",#REF!,5,FALSE)/VLOOKUP("italia",#REF!,5,FALSE)-1</f>
        <v>#REF!</v>
      </c>
      <c r="G217" s="220" t="e">
        <f>VLOOKUP("italia",#REF!,5,FALSE)</f>
        <v>#REF!</v>
      </c>
      <c r="H217" s="219" t="e">
        <f>VLOOKUP("italia",#REF!,4,FALSE)/VLOOKUP("italia",#REF!,4,FALSE)-1</f>
        <v>#REF!</v>
      </c>
      <c r="I217" s="220" t="e">
        <f>VLOOKUP("italia",#REF!,4,FALSE)</f>
        <v>#REF!</v>
      </c>
      <c r="J217" s="219" t="e">
        <f>VLOOKUP("italia",#REF!,3,FALSE)/VLOOKUP("italia",#REF!,3,FALSE)-1</f>
        <v>#REF!</v>
      </c>
      <c r="K217" s="220" t="e">
        <f>VLOOKUP("italia",#REF!,3,FALSE)</f>
        <v>#REF!</v>
      </c>
      <c r="L217" s="219" t="e">
        <f>VLOOKUP("italia",#REF!,2,FALSE)/VLOOKUP("italia",#REF!,2,FALSE)-1</f>
        <v>#REF!</v>
      </c>
      <c r="M217" s="220" t="e">
        <f>VLOOKUP("italia",#REF!,2,FALSE)</f>
        <v>#REF!</v>
      </c>
      <c r="N217" s="219" t="e">
        <f>VLOOKUP("italia",#REF!,7,FALSE)/VLOOKUP("italia",#REF!,7,FALSE)-1</f>
        <v>#REF!</v>
      </c>
      <c r="O217" s="220" t="e">
        <f>VLOOKUP("italia",#REF!,7,FALSE)</f>
        <v>#REF!</v>
      </c>
      <c r="P217" s="219" t="e">
        <f>VLOOKUP("italia",#REF!,8,FALSE)/VLOOKUP("italia",#REF!,8,FALSE)-1</f>
        <v>#REF!</v>
      </c>
      <c r="Q217" s="220" t="e">
        <f>VLOOKUP("italia",#REF!,8,FALSE)</f>
        <v>#REF!</v>
      </c>
    </row>
    <row r="218" spans="3:17" ht="24" hidden="1" customHeight="1" x14ac:dyDescent="0.2">
      <c r="C218" s="218" t="s">
        <v>48</v>
      </c>
      <c r="D218" s="219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18" s="220" t="e">
        <f>(VLOOKUP("suecia",#REF!,6,FALSE)+VLOOKUP("noruega",#REF!,6,FALSE)+VLOOKUP("dinamarca",#REF!,6,FALSE)+VLOOKUP("finlandia",#REF!,6,FALSE))</f>
        <v>#REF!</v>
      </c>
      <c r="F218" s="219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18" s="220" t="e">
        <f>(VLOOKUP("suecia",#REF!,5,FALSE)+VLOOKUP("noruega",#REF!,5,FALSE)+VLOOKUP("dinamarca",#REF!,5,FALSE)+VLOOKUP("finlandia",#REF!,5,FALSE))</f>
        <v>#REF!</v>
      </c>
      <c r="H218" s="219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18" s="220" t="e">
        <f>(VLOOKUP("suecia",#REF!,4,FALSE)+VLOOKUP("noruega",#REF!,4,FALSE)+VLOOKUP("dinamarca",#REF!,4,FALSE)+VLOOKUP("finlandia",#REF!,4,FALSE))</f>
        <v>#REF!</v>
      </c>
      <c r="J218" s="219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18" s="220" t="e">
        <f>(VLOOKUP("suecia",#REF!,3,FALSE)+VLOOKUP("noruega",#REF!,3,FALSE)+VLOOKUP("dinamarca",#REF!,3,FALSE)+VLOOKUP("finlandia",#REF!,3,FALSE))</f>
        <v>#REF!</v>
      </c>
      <c r="L218" s="219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18" s="220" t="e">
        <f>(VLOOKUP("suecia",#REF!,2,FALSE)+VLOOKUP("noruega",#REF!,2,FALSE)+VLOOKUP("dinamarca",#REF!,2,FALSE)+VLOOKUP("finlandia",#REF!,2,FALSE))</f>
        <v>#REF!</v>
      </c>
      <c r="N218" s="219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18" s="220" t="e">
        <f>(VLOOKUP("suecia",#REF!,7,FALSE)+VLOOKUP("noruega",#REF!,7,FALSE)+VLOOKUP("dinamarca",#REF!,7,FALSE)+VLOOKUP("finlandia",#REF!,7,FALSE))</f>
        <v>#REF!</v>
      </c>
      <c r="P218" s="219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18" s="220" t="e">
        <f>(VLOOKUP("suecia",#REF!,8,FALSE)+VLOOKUP("noruega",#REF!,8,FALSE)+VLOOKUP("dinamarca",#REF!,8,FALSE)+VLOOKUP("finlandia",#REF!,8,FALSE))</f>
        <v>#REF!</v>
      </c>
    </row>
    <row r="219" spans="3:17" ht="24" hidden="1" customHeight="1" x14ac:dyDescent="0.2">
      <c r="C219" s="221" t="s">
        <v>49</v>
      </c>
      <c r="D219" s="219" t="e">
        <f>VLOOKUP("suecia",#REF!,6,FALSE)/VLOOKUP("suecia",#REF!,6,FALSE)-1</f>
        <v>#REF!</v>
      </c>
      <c r="E219" s="220" t="e">
        <f>VLOOKUP("suecia",#REF!,6,FALSE)</f>
        <v>#REF!</v>
      </c>
      <c r="F219" s="219" t="e">
        <f>VLOOKUP("suecia",#REF!,5,FALSE)/VLOOKUP("suecia",#REF!,5,FALSE)-1</f>
        <v>#REF!</v>
      </c>
      <c r="G219" s="220" t="e">
        <f>VLOOKUP("suecia",#REF!,5,FALSE)</f>
        <v>#REF!</v>
      </c>
      <c r="H219" s="219" t="e">
        <f>VLOOKUP("suecia",#REF!,4,FALSE)/VLOOKUP("suecia",#REF!,4,FALSE)-1</f>
        <v>#REF!</v>
      </c>
      <c r="I219" s="220" t="e">
        <f>VLOOKUP("suecia",#REF!,4,FALSE)</f>
        <v>#REF!</v>
      </c>
      <c r="J219" s="219" t="e">
        <f>VLOOKUP("suecia",#REF!,3,FALSE)/VLOOKUP("suecia",#REF!,3,FALSE)-1</f>
        <v>#REF!</v>
      </c>
      <c r="K219" s="220" t="e">
        <f>VLOOKUP("suecia",#REF!,3,FALSE)</f>
        <v>#REF!</v>
      </c>
      <c r="L219" s="219" t="e">
        <f>VLOOKUP("suecia",#REF!,2,FALSE)/VLOOKUP("suecia",#REF!,2,FALSE)-1</f>
        <v>#REF!</v>
      </c>
      <c r="M219" s="220" t="e">
        <f>VLOOKUP("suecia",#REF!,2,FALSE)</f>
        <v>#REF!</v>
      </c>
      <c r="N219" s="219" t="e">
        <f>VLOOKUP("suecia",#REF!,7,FALSE)/VLOOKUP("suecia",#REF!,7,FALSE)-1</f>
        <v>#REF!</v>
      </c>
      <c r="O219" s="220" t="e">
        <f>VLOOKUP("suecia",#REF!,7,FALSE)</f>
        <v>#REF!</v>
      </c>
      <c r="P219" s="219" t="e">
        <f>VLOOKUP("suecia",#REF!,8,FALSE)/VLOOKUP("suecia",#REF!,8,FALSE)-1</f>
        <v>#REF!</v>
      </c>
      <c r="Q219" s="220" t="e">
        <f>VLOOKUP("suecia",#REF!,8,FALSE)</f>
        <v>#REF!</v>
      </c>
    </row>
    <row r="220" spans="3:17" ht="24" hidden="1" customHeight="1" x14ac:dyDescent="0.2">
      <c r="C220" s="221" t="s">
        <v>50</v>
      </c>
      <c r="D220" s="219" t="e">
        <f>VLOOKUP("noruega",#REF!,6,FALSE)/VLOOKUP("noruega",#REF!,6,FALSE)-1</f>
        <v>#REF!</v>
      </c>
      <c r="E220" s="220" t="e">
        <f>VLOOKUP("noruega",#REF!,6,FALSE)</f>
        <v>#REF!</v>
      </c>
      <c r="F220" s="219" t="e">
        <f>VLOOKUP("noruega",#REF!,5,FALSE)/VLOOKUP("noruega",#REF!,5,FALSE)-1</f>
        <v>#REF!</v>
      </c>
      <c r="G220" s="220" t="e">
        <f>VLOOKUP("noruega",#REF!,5,FALSE)</f>
        <v>#REF!</v>
      </c>
      <c r="H220" s="219" t="e">
        <f>VLOOKUP("noruega",#REF!,4,FALSE)/VLOOKUP("noruega",#REF!,4,FALSE)-1</f>
        <v>#REF!</v>
      </c>
      <c r="I220" s="220" t="e">
        <f>VLOOKUP("noruega",#REF!,4,FALSE)</f>
        <v>#REF!</v>
      </c>
      <c r="J220" s="219" t="e">
        <f>VLOOKUP("noruega",#REF!,3,FALSE)/VLOOKUP("noruega",#REF!,3,FALSE)-1</f>
        <v>#REF!</v>
      </c>
      <c r="K220" s="220" t="e">
        <f>VLOOKUP("noruega",#REF!,3,FALSE)</f>
        <v>#REF!</v>
      </c>
      <c r="L220" s="219" t="e">
        <f>VLOOKUP("noruega",#REF!,2,FALSE)/VLOOKUP("noruega",#REF!,2,FALSE)-1</f>
        <v>#REF!</v>
      </c>
      <c r="M220" s="220" t="e">
        <f>VLOOKUP("noruega",#REF!,2,FALSE)</f>
        <v>#REF!</v>
      </c>
      <c r="N220" s="219" t="e">
        <f>VLOOKUP("noruega",#REF!,7,FALSE)/VLOOKUP("noruega",#REF!,7,FALSE)-1</f>
        <v>#REF!</v>
      </c>
      <c r="O220" s="220" t="e">
        <f>VLOOKUP("noruega",#REF!,7,FALSE)</f>
        <v>#REF!</v>
      </c>
      <c r="P220" s="219" t="e">
        <f>VLOOKUP("noruega",#REF!,8,FALSE)/VLOOKUP("noruega",#REF!,8,FALSE)-1</f>
        <v>#REF!</v>
      </c>
      <c r="Q220" s="220" t="e">
        <f>VLOOKUP("noruega",#REF!,8,FALSE)</f>
        <v>#REF!</v>
      </c>
    </row>
    <row r="221" spans="3:17" ht="24" hidden="1" customHeight="1" x14ac:dyDescent="0.2">
      <c r="C221" s="221" t="s">
        <v>51</v>
      </c>
      <c r="D221" s="219" t="e">
        <f>VLOOKUP("dinamarca",#REF!,6,FALSE)/VLOOKUP("dinamarca",#REF!,6,FALSE)-1</f>
        <v>#REF!</v>
      </c>
      <c r="E221" s="220" t="e">
        <f>VLOOKUP("dinamarca",#REF!,6,FALSE)</f>
        <v>#REF!</v>
      </c>
      <c r="F221" s="219" t="e">
        <f>VLOOKUP("dinamarca",#REF!,5,FALSE)/VLOOKUP("dinamarca",#REF!,5,FALSE)-1</f>
        <v>#REF!</v>
      </c>
      <c r="G221" s="220" t="e">
        <f>VLOOKUP("dinamarca",#REF!,5,FALSE)</f>
        <v>#REF!</v>
      </c>
      <c r="H221" s="219" t="e">
        <f>VLOOKUP("dinamarca",#REF!,4,FALSE)/VLOOKUP("dinamarca",#REF!,4,FALSE)-1</f>
        <v>#REF!</v>
      </c>
      <c r="I221" s="220" t="e">
        <f>VLOOKUP("dinamarca",#REF!,4,FALSE)</f>
        <v>#REF!</v>
      </c>
      <c r="J221" s="219" t="e">
        <f>VLOOKUP("dinamarca",#REF!,3,FALSE)/VLOOKUP("dinamarca",#REF!,3,FALSE)-1</f>
        <v>#REF!</v>
      </c>
      <c r="K221" s="220" t="e">
        <f>VLOOKUP("dinamarca",#REF!,3,FALSE)</f>
        <v>#REF!</v>
      </c>
      <c r="L221" s="219" t="e">
        <f>VLOOKUP("dinamarca",#REF!,2,FALSE)/VLOOKUP("dinamarca",#REF!,2,FALSE)-1</f>
        <v>#REF!</v>
      </c>
      <c r="M221" s="220" t="e">
        <f>VLOOKUP("dinamarca",#REF!,2,FALSE)</f>
        <v>#REF!</v>
      </c>
      <c r="N221" s="219" t="e">
        <f>VLOOKUP("dinamarca",#REF!,7,FALSE)/VLOOKUP("dinamarca",#REF!,7,FALSE)-1</f>
        <v>#REF!</v>
      </c>
      <c r="O221" s="220" t="e">
        <f>VLOOKUP("dinamarca",#REF!,7,FALSE)</f>
        <v>#REF!</v>
      </c>
      <c r="P221" s="219" t="e">
        <f>VLOOKUP("dinamarca",#REF!,8,FALSE)/VLOOKUP("dinamarca",#REF!,8,FALSE)-1</f>
        <v>#REF!</v>
      </c>
      <c r="Q221" s="220" t="e">
        <f>VLOOKUP("dinamarca",#REF!,8,FALSE)</f>
        <v>#REF!</v>
      </c>
    </row>
    <row r="222" spans="3:17" ht="24" hidden="1" customHeight="1" x14ac:dyDescent="0.2">
      <c r="C222" s="221" t="s">
        <v>52</v>
      </c>
      <c r="D222" s="219" t="s">
        <v>38</v>
      </c>
      <c r="E222" s="220" t="e">
        <f>VLOOKUP("finlandia",#REF!,6,FALSE)</f>
        <v>#REF!</v>
      </c>
      <c r="F222" s="219" t="e">
        <f>VLOOKUP("finlandia",#REF!,5,FALSE)/VLOOKUP("finlandia",#REF!,5,FALSE)-1</f>
        <v>#REF!</v>
      </c>
      <c r="G222" s="220" t="e">
        <f>VLOOKUP("finlandia",#REF!,5,FALSE)</f>
        <v>#REF!</v>
      </c>
      <c r="H222" s="219" t="e">
        <f>VLOOKUP("finlandia",#REF!,4,FALSE)/VLOOKUP("finlandia",#REF!,4,FALSE)-1</f>
        <v>#REF!</v>
      </c>
      <c r="I222" s="220" t="e">
        <f>VLOOKUP("finlandia",#REF!,4,FALSE)</f>
        <v>#REF!</v>
      </c>
      <c r="J222" s="219" t="e">
        <f>VLOOKUP("finlandia",#REF!,3,FALSE)/VLOOKUP("finlandia",#REF!,3,FALSE)-1</f>
        <v>#REF!</v>
      </c>
      <c r="K222" s="220" t="e">
        <f>VLOOKUP("finlandia",#REF!,3,FALSE)</f>
        <v>#REF!</v>
      </c>
      <c r="L222" s="219" t="s">
        <v>38</v>
      </c>
      <c r="M222" s="220" t="e">
        <f>VLOOKUP("finlandia",#REF!,2,FALSE)</f>
        <v>#REF!</v>
      </c>
      <c r="N222" s="219" t="e">
        <f>VLOOKUP("finlandia",#REF!,7,FALSE)/VLOOKUP("finlandia",#REF!,7,FALSE)-1</f>
        <v>#REF!</v>
      </c>
      <c r="O222" s="220" t="e">
        <f>VLOOKUP("finlandia",#REF!,7,FALSE)</f>
        <v>#REF!</v>
      </c>
      <c r="P222" s="219" t="e">
        <f>VLOOKUP("finlandia",#REF!,8,FALSE)/VLOOKUP("finlandia",#REF!,8,FALSE)-1</f>
        <v>#REF!</v>
      </c>
      <c r="Q222" s="220" t="e">
        <f>VLOOKUP("finlandia",#REF!,8,FALSE)</f>
        <v>#REF!</v>
      </c>
    </row>
    <row r="223" spans="3:17" ht="24" hidden="1" customHeight="1" x14ac:dyDescent="0.2">
      <c r="C223" s="218" t="s">
        <v>53</v>
      </c>
      <c r="D223" s="219" t="e">
        <f>VLOOKUP("suiza",#REF!,6,FALSE)/VLOOKUP("suiza",#REF!,6,FALSE)-1</f>
        <v>#REF!</v>
      </c>
      <c r="E223" s="220" t="e">
        <f>VLOOKUP("suiza",#REF!,6,FALSE)</f>
        <v>#REF!</v>
      </c>
      <c r="F223" s="219" t="e">
        <f>VLOOKUP("suiza",#REF!,5,FALSE)/VLOOKUP("suiza",#REF!,5,FALSE)-1</f>
        <v>#REF!</v>
      </c>
      <c r="G223" s="220" t="e">
        <f>VLOOKUP("suiza",#REF!,5,FALSE)</f>
        <v>#REF!</v>
      </c>
      <c r="H223" s="219" t="e">
        <f>VLOOKUP("suiza",#REF!,4,FALSE)/VLOOKUP("suiza",#REF!,4,FALSE)-1</f>
        <v>#REF!</v>
      </c>
      <c r="I223" s="220" t="e">
        <f>VLOOKUP("suiza",#REF!,4,FALSE)</f>
        <v>#REF!</v>
      </c>
      <c r="J223" s="219" t="e">
        <f>VLOOKUP("suiza",#REF!,3,FALSE)/VLOOKUP("suiza",#REF!,3,FALSE)-1</f>
        <v>#REF!</v>
      </c>
      <c r="K223" s="220" t="e">
        <f>VLOOKUP("suiza",#REF!,3,FALSE)</f>
        <v>#REF!</v>
      </c>
      <c r="L223" s="219" t="e">
        <f>VLOOKUP("suiza",#REF!,2,FALSE)/VLOOKUP("suiza",#REF!,2,FALSE)-1</f>
        <v>#REF!</v>
      </c>
      <c r="M223" s="220" t="e">
        <f>VLOOKUP("suiza",#REF!,2,FALSE)</f>
        <v>#REF!</v>
      </c>
      <c r="N223" s="219" t="e">
        <f>VLOOKUP("suiza",#REF!,7,FALSE)/VLOOKUP("suiza",#REF!,7,FALSE)-1</f>
        <v>#REF!</v>
      </c>
      <c r="O223" s="220" t="e">
        <f>VLOOKUP("suiza",#REF!,7,FALSE)</f>
        <v>#REF!</v>
      </c>
      <c r="P223" s="219" t="e">
        <f>VLOOKUP("suiza",#REF!,8,FALSE)/VLOOKUP("suiza",#REF!,8,FALSE)-1</f>
        <v>#REF!</v>
      </c>
      <c r="Q223" s="220" t="e">
        <f>VLOOKUP("suiza",#REF!,8,FALSE)</f>
        <v>#REF!</v>
      </c>
    </row>
    <row r="224" spans="3:17" ht="24" hidden="1" customHeight="1" x14ac:dyDescent="0.2">
      <c r="C224" s="218" t="s">
        <v>54</v>
      </c>
      <c r="D224" s="219" t="e">
        <f>VLOOKUP("austria",#REF!,6,FALSE)/VLOOKUP("austria",#REF!,6,FALSE)-1</f>
        <v>#REF!</v>
      </c>
      <c r="E224" s="220" t="e">
        <f>VLOOKUP("austria",#REF!,6,FALSE)</f>
        <v>#REF!</v>
      </c>
      <c r="F224" s="219" t="e">
        <f>VLOOKUP("austria",#REF!,5,FALSE)/VLOOKUP("austria",#REF!,5,FALSE)-1</f>
        <v>#REF!</v>
      </c>
      <c r="G224" s="220" t="e">
        <f>VLOOKUP("austria",#REF!,5,FALSE)</f>
        <v>#REF!</v>
      </c>
      <c r="H224" s="219" t="e">
        <f>VLOOKUP("austria",#REF!,4,FALSE)/VLOOKUP("austria",#REF!,4,FALSE)-1</f>
        <v>#REF!</v>
      </c>
      <c r="I224" s="220" t="e">
        <f>VLOOKUP("austria",#REF!,4,FALSE)</f>
        <v>#REF!</v>
      </c>
      <c r="J224" s="219" t="e">
        <f>VLOOKUP("austria",#REF!,3,FALSE)/VLOOKUP("austria",#REF!,3,FALSE)-1</f>
        <v>#REF!</v>
      </c>
      <c r="K224" s="220" t="e">
        <f>VLOOKUP("austria",#REF!,3,FALSE)</f>
        <v>#REF!</v>
      </c>
      <c r="L224" s="219" t="e">
        <f>VLOOKUP("austria",#REF!,2,FALSE)/VLOOKUP("austria",#REF!,2,FALSE)-1</f>
        <v>#REF!</v>
      </c>
      <c r="M224" s="220" t="e">
        <f>VLOOKUP("austria",#REF!,2,FALSE)</f>
        <v>#REF!</v>
      </c>
      <c r="N224" s="219" t="e">
        <f>VLOOKUP("austria",#REF!,7,FALSE)/VLOOKUP("austria",#REF!,7,FALSE)-1</f>
        <v>#REF!</v>
      </c>
      <c r="O224" s="220" t="e">
        <f>VLOOKUP("austria",#REF!,7,FALSE)</f>
        <v>#REF!</v>
      </c>
      <c r="P224" s="219" t="e">
        <f>VLOOKUP("austria",#REF!,8,FALSE)/VLOOKUP("austria",#REF!,8,FALSE)-1</f>
        <v>#REF!</v>
      </c>
      <c r="Q224" s="220" t="e">
        <f>VLOOKUP("austria",#REF!,8,FALSE)</f>
        <v>#REF!</v>
      </c>
    </row>
    <row r="225" spans="3:17" ht="24" hidden="1" customHeight="1" x14ac:dyDescent="0.2">
      <c r="C225" s="218" t="s">
        <v>55</v>
      </c>
      <c r="D225" s="219" t="e">
        <f>VLOOKUP("rusia",#REF!,6,FALSE)/VLOOKUP("rusia",#REF!,6,FALSE)-1</f>
        <v>#REF!</v>
      </c>
      <c r="E225" s="220" t="e">
        <f>VLOOKUP("rusia",#REF!,6,FALSE)</f>
        <v>#REF!</v>
      </c>
      <c r="F225" s="219" t="e">
        <f>VLOOKUP("rusia",#REF!,5,FALSE)/VLOOKUP("rusia",#REF!,5,FALSE)-1</f>
        <v>#REF!</v>
      </c>
      <c r="G225" s="220" t="e">
        <f>VLOOKUP("rusia",#REF!,5,FALSE)</f>
        <v>#REF!</v>
      </c>
      <c r="H225" s="219" t="e">
        <f>VLOOKUP("rusia",#REF!,4,FALSE)/VLOOKUP("rusia",#REF!,4,FALSE)-1</f>
        <v>#REF!</v>
      </c>
      <c r="I225" s="220" t="e">
        <f>VLOOKUP("rusia",#REF!,4,FALSE)</f>
        <v>#REF!</v>
      </c>
      <c r="J225" s="219" t="e">
        <f>VLOOKUP("rusia",#REF!,3,FALSE)/VLOOKUP("rusia",#REF!,3,FALSE)-1</f>
        <v>#REF!</v>
      </c>
      <c r="K225" s="220" t="e">
        <f>VLOOKUP("rusia",#REF!,3,FALSE)</f>
        <v>#REF!</v>
      </c>
      <c r="L225" s="219" t="e">
        <f>VLOOKUP("rusia",#REF!,2,FALSE)/VLOOKUP("rusia",#REF!,2,FALSE)-1</f>
        <v>#REF!</v>
      </c>
      <c r="M225" s="220" t="e">
        <f>VLOOKUP("rusia",#REF!,2,FALSE)</f>
        <v>#REF!</v>
      </c>
      <c r="N225" s="219" t="e">
        <f>VLOOKUP("rusia",#REF!,7,FALSE)/VLOOKUP("rusia",#REF!,7,FALSE)-1</f>
        <v>#REF!</v>
      </c>
      <c r="O225" s="220" t="e">
        <f>VLOOKUP("rusia",#REF!,7,FALSE)</f>
        <v>#REF!</v>
      </c>
      <c r="P225" s="219" t="e">
        <f>VLOOKUP("rusia",#REF!,8,FALSE)/VLOOKUP("rusia",#REF!,8,FALSE)-1</f>
        <v>#REF!</v>
      </c>
      <c r="Q225" s="220" t="e">
        <f>VLOOKUP("rusia",#REF!,8,FALSE)</f>
        <v>#REF!</v>
      </c>
    </row>
    <row r="226" spans="3:17" ht="24" hidden="1" customHeight="1" x14ac:dyDescent="0.2">
      <c r="C226" s="218" t="s">
        <v>56</v>
      </c>
      <c r="D226" s="219" t="e">
        <f>VLOOKUP("paises del este",#REF!,6,FALSE)/VLOOKUP("paises del este",#REF!,6,FALSE)-1</f>
        <v>#REF!</v>
      </c>
      <c r="E226" s="220" t="e">
        <f>VLOOKUP("paises del este",#REF!,6,FALSE)</f>
        <v>#REF!</v>
      </c>
      <c r="F226" s="219" t="e">
        <f>VLOOKUP("paises del este",#REF!,5,FALSE)/VLOOKUP("paises del este",#REF!,5,FALSE)-1</f>
        <v>#REF!</v>
      </c>
      <c r="G226" s="220" t="e">
        <f>VLOOKUP("paises del este",#REF!,5,FALSE)</f>
        <v>#REF!</v>
      </c>
      <c r="H226" s="219" t="e">
        <f>VLOOKUP("paises del este",#REF!,4,FALSE)/VLOOKUP("paises del este",#REF!,4,FALSE)-1</f>
        <v>#REF!</v>
      </c>
      <c r="I226" s="220" t="e">
        <f>VLOOKUP("paises del este",#REF!,4,FALSE)</f>
        <v>#REF!</v>
      </c>
      <c r="J226" s="219" t="e">
        <f>VLOOKUP("paises del este",#REF!,3,FALSE)/VLOOKUP("paises del este",#REF!,3,FALSE)-1</f>
        <v>#REF!</v>
      </c>
      <c r="K226" s="220" t="e">
        <f>VLOOKUP("paises del este",#REF!,3,FALSE)</f>
        <v>#REF!</v>
      </c>
      <c r="L226" s="219" t="e">
        <f>VLOOKUP("paises del este",#REF!,2,FALSE)/VLOOKUP("paises del este",#REF!,2,FALSE)-1</f>
        <v>#REF!</v>
      </c>
      <c r="M226" s="220" t="e">
        <f>VLOOKUP("paises del este",#REF!,2,FALSE)</f>
        <v>#REF!</v>
      </c>
      <c r="N226" s="219" t="e">
        <f>VLOOKUP("paises del este",#REF!,7,FALSE)/VLOOKUP("paises del este",#REF!,7,FALSE)-1</f>
        <v>#REF!</v>
      </c>
      <c r="O226" s="220" t="e">
        <f>VLOOKUP("paises del este",#REF!,7,FALSE)</f>
        <v>#REF!</v>
      </c>
      <c r="P226" s="219" t="e">
        <f>VLOOKUP("paises del este",#REF!,8,FALSE)/VLOOKUP("paises del este",#REF!,8,FALSE)-1</f>
        <v>#REF!</v>
      </c>
      <c r="Q226" s="220" t="e">
        <f>VLOOKUP("paises del este",#REF!,8,FALSE)</f>
        <v>#REF!</v>
      </c>
    </row>
    <row r="227" spans="3:17" ht="24" hidden="1" customHeight="1" x14ac:dyDescent="0.2">
      <c r="C227" s="218" t="s">
        <v>57</v>
      </c>
      <c r="D227" s="219" t="e">
        <f>VLOOKUP("resto de europa",#REF!,6,FALSE)/VLOOKUP("resto de europa",#REF!,6,FALSE)-1</f>
        <v>#REF!</v>
      </c>
      <c r="E227" s="220" t="e">
        <f>VLOOKUP("resto de europa",#REF!,6,FALSE)</f>
        <v>#REF!</v>
      </c>
      <c r="F227" s="219" t="e">
        <f>VLOOKUP("resto de europa",#REF!,5,FALSE)/VLOOKUP("resto de europa",#REF!,5,FALSE)-1</f>
        <v>#REF!</v>
      </c>
      <c r="G227" s="220" t="e">
        <f>VLOOKUP("resto de europa",#REF!,5,FALSE)</f>
        <v>#REF!</v>
      </c>
      <c r="H227" s="219" t="e">
        <f>VLOOKUP("resto de europa",#REF!,4,FALSE)/VLOOKUP("resto de europa",#REF!,4,FALSE)-1</f>
        <v>#REF!</v>
      </c>
      <c r="I227" s="220" t="e">
        <f>VLOOKUP("resto de europa",#REF!,4,FALSE)</f>
        <v>#REF!</v>
      </c>
      <c r="J227" s="219" t="e">
        <f>VLOOKUP("resto de europa",#REF!,3,FALSE)/VLOOKUP("resto de europa",#REF!,3,FALSE)-1</f>
        <v>#REF!</v>
      </c>
      <c r="K227" s="220" t="e">
        <f>VLOOKUP("resto de europa",#REF!,3,FALSE)</f>
        <v>#REF!</v>
      </c>
      <c r="L227" s="219" t="e">
        <f>VLOOKUP("resto de europa",#REF!,2,FALSE)/VLOOKUP("resto de europa",#REF!,2,FALSE)-1</f>
        <v>#REF!</v>
      </c>
      <c r="M227" s="220" t="e">
        <f>VLOOKUP("resto de europa",#REF!,2,FALSE)</f>
        <v>#REF!</v>
      </c>
      <c r="N227" s="219" t="e">
        <f>VLOOKUP("resto de europa",#REF!,7,FALSE)/VLOOKUP("resto de europa",#REF!,7,FALSE)-1</f>
        <v>#REF!</v>
      </c>
      <c r="O227" s="220" t="e">
        <f>VLOOKUP("resto de europa",#REF!,7,FALSE)</f>
        <v>#REF!</v>
      </c>
      <c r="P227" s="219" t="e">
        <f>VLOOKUP("resto de europa",#REF!,8,FALSE)/VLOOKUP("resto de europa",#REF!,8,FALSE)-1</f>
        <v>#REF!</v>
      </c>
      <c r="Q227" s="220" t="e">
        <f>VLOOKUP("resto de europa",#REF!,8,FALSE)</f>
        <v>#REF!</v>
      </c>
    </row>
    <row r="228" spans="3:17" ht="24" hidden="1" customHeight="1" x14ac:dyDescent="0.2">
      <c r="C228" s="218" t="s">
        <v>58</v>
      </c>
      <c r="D228" s="219" t="e">
        <f>VLOOKUP("usa",#REF!,6,FALSE)/VLOOKUP("usa",#REF!,6,FALSE)-1</f>
        <v>#REF!</v>
      </c>
      <c r="E228" s="220" t="e">
        <f>VLOOKUP("usa",#REF!,6,FALSE)</f>
        <v>#REF!</v>
      </c>
      <c r="F228" s="219" t="e">
        <f>VLOOKUP("usa",#REF!,5,FALSE)/VLOOKUP("usa",#REF!,5,FALSE)-1</f>
        <v>#REF!</v>
      </c>
      <c r="G228" s="220" t="e">
        <f>VLOOKUP("usa",#REF!,5,FALSE)</f>
        <v>#REF!</v>
      </c>
      <c r="H228" s="219" t="e">
        <f>VLOOKUP("usa",#REF!,4,FALSE)/VLOOKUP("usa",#REF!,4,FALSE)-1</f>
        <v>#REF!</v>
      </c>
      <c r="I228" s="220" t="e">
        <f>VLOOKUP("usa",#REF!,4,FALSE)</f>
        <v>#REF!</v>
      </c>
      <c r="J228" s="219" t="e">
        <f>VLOOKUP("usa",#REF!,3,FALSE)/VLOOKUP("usa",#REF!,3,FALSE)-1</f>
        <v>#REF!</v>
      </c>
      <c r="K228" s="220" t="e">
        <f>VLOOKUP("usa",#REF!,3,FALSE)</f>
        <v>#REF!</v>
      </c>
      <c r="L228" s="219" t="e">
        <f>VLOOKUP("usa",#REF!,2,FALSE)/VLOOKUP("usa",#REF!,2,FALSE)-1</f>
        <v>#REF!</v>
      </c>
      <c r="M228" s="220" t="e">
        <f>VLOOKUP("usa",#REF!,2,FALSE)</f>
        <v>#REF!</v>
      </c>
      <c r="N228" s="219" t="e">
        <f>VLOOKUP("usa",#REF!,7,FALSE)/VLOOKUP("usa",#REF!,7,FALSE)-1</f>
        <v>#REF!</v>
      </c>
      <c r="O228" s="220" t="e">
        <f>VLOOKUP("usa",#REF!,7,FALSE)</f>
        <v>#REF!</v>
      </c>
      <c r="P228" s="219" t="e">
        <f>VLOOKUP("usa",#REF!,8,FALSE)/VLOOKUP("usa",#REF!,8,FALSE)-1</f>
        <v>#REF!</v>
      </c>
      <c r="Q228" s="220" t="e">
        <f>VLOOKUP("usa",#REF!,8,FALSE)</f>
        <v>#REF!</v>
      </c>
    </row>
    <row r="229" spans="3:17" ht="24" hidden="1" customHeight="1" x14ac:dyDescent="0.2">
      <c r="C229" s="218" t="s">
        <v>59</v>
      </c>
      <c r="D229" s="219" t="e">
        <f>VLOOKUP("resto de america",#REF!,6,FALSE)/VLOOKUP("resto de america",#REF!,6,FALSE)-1</f>
        <v>#REF!</v>
      </c>
      <c r="E229" s="220" t="e">
        <f>VLOOKUP("resto de america",#REF!,6,FALSE)</f>
        <v>#REF!</v>
      </c>
      <c r="F229" s="219" t="e">
        <f>VLOOKUP("resto de america",#REF!,5,FALSE)/VLOOKUP("resto de america",#REF!,5,FALSE)-1</f>
        <v>#REF!</v>
      </c>
      <c r="G229" s="220" t="e">
        <f>VLOOKUP("resto de america",#REF!,5,FALSE)</f>
        <v>#REF!</v>
      </c>
      <c r="H229" s="219" t="e">
        <f>VLOOKUP("resto de america",#REF!,4,FALSE)/VLOOKUP("resto de america",#REF!,4,FALSE)-1</f>
        <v>#REF!</v>
      </c>
      <c r="I229" s="220" t="e">
        <f>VLOOKUP("resto de america",#REF!,4,FALSE)</f>
        <v>#REF!</v>
      </c>
      <c r="J229" s="219" t="e">
        <f>VLOOKUP("resto de america",#REF!,3,FALSE)/VLOOKUP("resto de america",#REF!,3,FALSE)-1</f>
        <v>#REF!</v>
      </c>
      <c r="K229" s="220" t="e">
        <f>VLOOKUP("resto de america",#REF!,3,FALSE)</f>
        <v>#REF!</v>
      </c>
      <c r="L229" s="219" t="e">
        <f>VLOOKUP("resto de america",#REF!,2,FALSE)/VLOOKUP("resto de america",#REF!,2,FALSE)-1</f>
        <v>#REF!</v>
      </c>
      <c r="M229" s="220" t="e">
        <f>VLOOKUP("resto de america",#REF!,2,FALSE)</f>
        <v>#REF!</v>
      </c>
      <c r="N229" s="219" t="e">
        <f>VLOOKUP("resto de america",#REF!,7,FALSE)/VLOOKUP("resto de america",#REF!,7,FALSE)-1</f>
        <v>#REF!</v>
      </c>
      <c r="O229" s="220" t="e">
        <f>VLOOKUP("resto de america",#REF!,7,FALSE)</f>
        <v>#REF!</v>
      </c>
      <c r="P229" s="219" t="e">
        <f>VLOOKUP("resto de america",#REF!,8,FALSE)/VLOOKUP("resto de america",#REF!,8,FALSE)-1</f>
        <v>#REF!</v>
      </c>
      <c r="Q229" s="220" t="e">
        <f>VLOOKUP("resto de america",#REF!,8,FALSE)</f>
        <v>#REF!</v>
      </c>
    </row>
    <row r="230" spans="3:17" ht="24" hidden="1" customHeight="1" x14ac:dyDescent="0.2">
      <c r="C230" s="218" t="s">
        <v>60</v>
      </c>
      <c r="D230" s="219" t="e">
        <f>VLOOKUP("resto del mundo",#REF!,6,FALSE)/VLOOKUP("resto del mundo",#REF!,6,FALSE)-1</f>
        <v>#REF!</v>
      </c>
      <c r="E230" s="220" t="e">
        <f>VLOOKUP("resto del mundo",#REF!,6,FALSE)</f>
        <v>#REF!</v>
      </c>
      <c r="F230" s="219" t="e">
        <f>VLOOKUP("resto del mundo",#REF!,5,FALSE)/VLOOKUP("resto del mundo",#REF!,5,FALSE)-1</f>
        <v>#REF!</v>
      </c>
      <c r="G230" s="220" t="e">
        <f>VLOOKUP("resto del mundo",#REF!,5,FALSE)</f>
        <v>#REF!</v>
      </c>
      <c r="H230" s="219" t="e">
        <f>VLOOKUP("resto del mundo",#REF!,4,FALSE)/VLOOKUP("resto del mundo",#REF!,4,FALSE)-1</f>
        <v>#REF!</v>
      </c>
      <c r="I230" s="220" t="e">
        <f>VLOOKUP("resto del mundo",#REF!,4,FALSE)</f>
        <v>#REF!</v>
      </c>
      <c r="J230" s="219" t="e">
        <f>VLOOKUP("resto del mundo",#REF!,3,FALSE)/VLOOKUP("resto del mundo",#REF!,3,FALSE)-1</f>
        <v>#REF!</v>
      </c>
      <c r="K230" s="220" t="e">
        <f>VLOOKUP("resto del mundo",#REF!,3,FALSE)</f>
        <v>#REF!</v>
      </c>
      <c r="L230" s="219" t="e">
        <f>VLOOKUP("resto del mundo",#REF!,2,FALSE)/VLOOKUP("resto del mundo",#REF!,2,FALSE)-1</f>
        <v>#REF!</v>
      </c>
      <c r="M230" s="220" t="e">
        <f>VLOOKUP("resto del mundo",#REF!,2,FALSE)</f>
        <v>#REF!</v>
      </c>
      <c r="N230" s="219" t="e">
        <f>VLOOKUP("resto del mundo",#REF!,7,FALSE)/VLOOKUP("resto del mundo",#REF!,7,FALSE)-1</f>
        <v>#REF!</v>
      </c>
      <c r="O230" s="220" t="e">
        <f>VLOOKUP("resto del mundo",#REF!,7,FALSE)</f>
        <v>#REF!</v>
      </c>
      <c r="P230" s="219" t="e">
        <f>VLOOKUP("resto del mundo",#REF!,8,FALSE)/VLOOKUP("resto del mundo",#REF!,8,FALSE)-1</f>
        <v>#REF!</v>
      </c>
      <c r="Q230" s="220" t="e">
        <f>VLOOKUP("resto del mundo",#REF!,8,FALSE)</f>
        <v>#REF!</v>
      </c>
    </row>
    <row r="231" spans="3:17" ht="24" hidden="1" customHeight="1" x14ac:dyDescent="0.2">
      <c r="C231" s="218" t="s">
        <v>61</v>
      </c>
      <c r="D231" s="219" t="e">
        <f>(VLOOKUP("total",#REF!,6,FALSE)-VLOOKUP("españa",#REF!,6,FALSE))/(VLOOKUP("total",#REF!,6,FALSE)-VLOOKUP("españa",#REF!,6,FALSE))-1</f>
        <v>#REF!</v>
      </c>
      <c r="E231" s="220" t="e">
        <f>VLOOKUP("total",#REF!,6,FALSE)-VLOOKUP("españa",#REF!,6,FALSE)</f>
        <v>#REF!</v>
      </c>
      <c r="F231" s="219" t="e">
        <f>(VLOOKUP("total",#REF!,5,FALSE)-VLOOKUP("españa",#REF!,5,FALSE))/(VLOOKUP("total",#REF!,5,FALSE)-VLOOKUP("españa",#REF!,5,FALSE))-1</f>
        <v>#REF!</v>
      </c>
      <c r="G231" s="220" t="e">
        <f>VLOOKUP("total",#REF!,5,FALSE)-VLOOKUP("españa",#REF!,5,FALSE)</f>
        <v>#REF!</v>
      </c>
      <c r="H231" s="219" t="e">
        <f>(VLOOKUP("total",#REF!,4,FALSE)-VLOOKUP("españa",#REF!,4,FALSE))/(VLOOKUP("total",#REF!,4,FALSE)-VLOOKUP("españa",#REF!,4,FALSE))-1</f>
        <v>#REF!</v>
      </c>
      <c r="I231" s="220" t="e">
        <f>VLOOKUP("total",#REF!,4,FALSE)-VLOOKUP("españa",#REF!,4,FALSE)</f>
        <v>#REF!</v>
      </c>
      <c r="J231" s="219" t="e">
        <f>(VLOOKUP("total",#REF!,3,FALSE)-VLOOKUP("españa",#REF!,3,FALSE))/(VLOOKUP("total",#REF!,3,FALSE)-VLOOKUP("españa",#REF!,3,FALSE))-1</f>
        <v>#REF!</v>
      </c>
      <c r="K231" s="220" t="e">
        <f>VLOOKUP("total",#REF!,3,FALSE)-VLOOKUP("españa",#REF!,3,FALSE)</f>
        <v>#REF!</v>
      </c>
      <c r="L231" s="219" t="e">
        <f>(VLOOKUP("total",#REF!,2,FALSE)-VLOOKUP("españa",#REF!,2,FALSE))/(VLOOKUP("total",#REF!,2,FALSE)-VLOOKUP("españa",#REF!,2,FALSE))-1</f>
        <v>#REF!</v>
      </c>
      <c r="M231" s="220" t="e">
        <f>VLOOKUP("total",#REF!,2,FALSE)-VLOOKUP("españa",#REF!,2,FALSE)</f>
        <v>#REF!</v>
      </c>
      <c r="N231" s="219" t="e">
        <f>(VLOOKUP("total",#REF!,7,FALSE)-VLOOKUP("españa",#REF!,7,FALSE))/(VLOOKUP("total",#REF!,7,FALSE)-VLOOKUP("españa",#REF!,7,FALSE))-1</f>
        <v>#REF!</v>
      </c>
      <c r="O231" s="220" t="e">
        <f>VLOOKUP("total",#REF!,7,FALSE)-VLOOKUP("españa",#REF!,7,FALSE)</f>
        <v>#REF!</v>
      </c>
      <c r="P231" s="219" t="e">
        <f>(VLOOKUP("total",#REF!,8,FALSE)-VLOOKUP("españa",#REF!,8,FALSE))/(VLOOKUP("total",#REF!,8,FALSE)-VLOOKUP("españa",#REF!,8,FALSE))-1</f>
        <v>#REF!</v>
      </c>
      <c r="Q231" s="220" t="e">
        <f>VLOOKUP("total",#REF!,8,FALSE)-VLOOKUP("españa",#REF!,8,FALSE)</f>
        <v>#REF!</v>
      </c>
    </row>
    <row r="232" spans="3:17" ht="24" hidden="1" customHeight="1" x14ac:dyDescent="0.2">
      <c r="C232" s="218" t="s">
        <v>8</v>
      </c>
      <c r="D232" s="219" t="e">
        <f>VLOOKUP("total",#REF!,6,FALSE)/VLOOKUP("total",#REF!,6,FALSE)-1</f>
        <v>#REF!</v>
      </c>
      <c r="E232" s="220" t="e">
        <f>VLOOKUP("total",#REF!,6,FALSE)</f>
        <v>#REF!</v>
      </c>
      <c r="F232" s="219" t="e">
        <f>VLOOKUP("total",#REF!,5,FALSE)/VLOOKUP("total",#REF!,5,FALSE)-1</f>
        <v>#REF!</v>
      </c>
      <c r="G232" s="220" t="e">
        <f>VLOOKUP("total",#REF!,5,FALSE)</f>
        <v>#REF!</v>
      </c>
      <c r="H232" s="219" t="e">
        <f>VLOOKUP("total",#REF!,4,FALSE)/VLOOKUP("total",#REF!,4,FALSE)-1</f>
        <v>#REF!</v>
      </c>
      <c r="I232" s="220" t="e">
        <f>VLOOKUP("total",#REF!,4,FALSE)</f>
        <v>#REF!</v>
      </c>
      <c r="J232" s="219" t="e">
        <f>VLOOKUP("total",#REF!,3,FALSE)/VLOOKUP("total",#REF!,3,FALSE)-1</f>
        <v>#REF!</v>
      </c>
      <c r="K232" s="220" t="e">
        <f>VLOOKUP("total",#REF!,3,FALSE)</f>
        <v>#REF!</v>
      </c>
      <c r="L232" s="219" t="e">
        <f>VLOOKUP("total",#REF!,2,FALSE)/VLOOKUP("total",#REF!,2,FALSE)-1</f>
        <v>#REF!</v>
      </c>
      <c r="M232" s="220" t="e">
        <f>VLOOKUP("total",#REF!,2,FALSE)</f>
        <v>#REF!</v>
      </c>
      <c r="N232" s="219" t="e">
        <f>VLOOKUP("total",#REF!,7,FALSE)/VLOOKUP("total",#REF!,7,FALSE)-1</f>
        <v>#REF!</v>
      </c>
      <c r="O232" s="220" t="e">
        <f>VLOOKUP("total",#REF!,7,FALSE)</f>
        <v>#REF!</v>
      </c>
      <c r="P232" s="219" t="e">
        <f>VLOOKUP("total",#REF!,8,FALSE)/VLOOKUP("total",#REF!,8,FALSE)-1</f>
        <v>#REF!</v>
      </c>
      <c r="Q232" s="220" t="e">
        <f>VLOOKUP("total",#REF!,8,FALSE)</f>
        <v>#REF!</v>
      </c>
    </row>
    <row r="233" spans="3:17" ht="18" customHeight="1" thickBot="1" x14ac:dyDescent="0.25">
      <c r="C233" s="4"/>
    </row>
    <row r="234" spans="3:17" ht="50.25" customHeight="1" thickBot="1" x14ac:dyDescent="0.25">
      <c r="C234" s="2"/>
      <c r="D234" s="2"/>
      <c r="E234" s="3" t="str">
        <f>$E$1</f>
        <v>INDICADORES TURÍSTICOS DE TENERIFE definitivo</v>
      </c>
      <c r="F234" s="3"/>
      <c r="G234" s="3"/>
      <c r="H234" s="3"/>
      <c r="I234" s="3"/>
      <c r="J234" s="3"/>
      <c r="K234" s="3"/>
      <c r="L234" s="2"/>
      <c r="M234" s="2"/>
    </row>
    <row r="235" spans="3:17" ht="5.25" customHeight="1" thickBot="1" x14ac:dyDescent="0.25">
      <c r="C235" s="4"/>
    </row>
    <row r="236" spans="3:17" ht="28.5" customHeight="1" thickBot="1" x14ac:dyDescent="0.25">
      <c r="C236" s="225" t="s">
        <v>67</v>
      </c>
      <c r="D236" s="226"/>
      <c r="E236" s="226"/>
      <c r="F236" s="226"/>
      <c r="G236" s="226"/>
      <c r="H236" s="226"/>
      <c r="I236" s="226"/>
      <c r="J236" s="226"/>
      <c r="K236" s="226"/>
      <c r="L236" s="226"/>
      <c r="M236" s="227"/>
    </row>
    <row r="237" spans="3:17" ht="5.25" customHeight="1" thickBot="1" x14ac:dyDescent="0.25">
      <c r="C237" s="228"/>
      <c r="D237" s="229"/>
      <c r="E237" s="229"/>
      <c r="F237" s="229"/>
      <c r="G237" s="230"/>
      <c r="H237" s="230"/>
      <c r="I237" s="230"/>
      <c r="J237" s="229"/>
      <c r="K237" s="229"/>
      <c r="L237" s="229"/>
      <c r="M237" s="231"/>
    </row>
    <row r="238" spans="3:17" ht="32.25" customHeight="1" thickTop="1" thickBot="1" x14ac:dyDescent="0.25">
      <c r="C238" s="178"/>
      <c r="D238" s="179" t="s">
        <v>7</v>
      </c>
      <c r="E238" s="180"/>
      <c r="F238" s="179" t="s">
        <v>30</v>
      </c>
      <c r="G238" s="180"/>
      <c r="H238" s="179" t="s">
        <v>31</v>
      </c>
      <c r="I238" s="180"/>
      <c r="J238" s="179" t="s">
        <v>32</v>
      </c>
      <c r="K238" s="180"/>
      <c r="L238" s="179" t="s">
        <v>33</v>
      </c>
      <c r="M238" s="232"/>
    </row>
    <row r="239" spans="3:17" ht="31.5" customHeight="1" thickBot="1" x14ac:dyDescent="0.25">
      <c r="C239" s="181"/>
      <c r="D239" s="233" t="s">
        <v>68</v>
      </c>
      <c r="E239" s="234" t="s">
        <v>69</v>
      </c>
      <c r="F239" s="233" t="s">
        <v>68</v>
      </c>
      <c r="G239" s="234" t="s">
        <v>69</v>
      </c>
      <c r="H239" s="233" t="s">
        <v>68</v>
      </c>
      <c r="I239" s="234" t="s">
        <v>69</v>
      </c>
      <c r="J239" s="233" t="s">
        <v>68</v>
      </c>
      <c r="K239" s="234" t="s">
        <v>69</v>
      </c>
      <c r="L239" s="233" t="s">
        <v>68</v>
      </c>
      <c r="M239" s="235" t="s">
        <v>69</v>
      </c>
    </row>
    <row r="240" spans="3:17" ht="18.75" thickBot="1" x14ac:dyDescent="0.25">
      <c r="C240" s="184" t="s">
        <v>36</v>
      </c>
      <c r="D240" s="236">
        <v>0.19183645142420908</v>
      </c>
      <c r="E240" s="237">
        <v>0.16429546181707622</v>
      </c>
      <c r="F240" s="236">
        <v>0.63851632596429564</v>
      </c>
      <c r="G240" s="237">
        <v>0.6282208242296391</v>
      </c>
      <c r="H240" s="236">
        <v>0.48316391359593391</v>
      </c>
      <c r="I240" s="237">
        <v>0.4828438546850099</v>
      </c>
      <c r="J240" s="236">
        <v>0.3871827291821231</v>
      </c>
      <c r="K240" s="237">
        <v>0.33553408956634762</v>
      </c>
      <c r="L240" s="236">
        <v>0.11254327577239702</v>
      </c>
      <c r="M240" s="238">
        <v>8.9504555765606453E-2</v>
      </c>
    </row>
    <row r="241" spans="3:13" ht="26.25" hidden="1" thickBot="1" x14ac:dyDescent="0.25">
      <c r="C241" s="239" t="s">
        <v>70</v>
      </c>
      <c r="D241" s="240">
        <v>4.6007881682456057E-2</v>
      </c>
      <c r="E241" s="241">
        <v>3.7713271058032766E-2</v>
      </c>
      <c r="F241" s="240"/>
      <c r="G241" s="241"/>
      <c r="H241" s="240"/>
      <c r="I241" s="241"/>
      <c r="J241" s="240"/>
      <c r="K241" s="241"/>
      <c r="L241" s="240"/>
      <c r="M241" s="242"/>
    </row>
    <row r="242" spans="3:13" ht="26.25" hidden="1" thickBot="1" x14ac:dyDescent="0.25">
      <c r="C242" s="239" t="s">
        <v>39</v>
      </c>
      <c r="D242" s="240">
        <v>2.6242540200265698E-2</v>
      </c>
      <c r="E242" s="241">
        <v>2.2435552707346065E-2</v>
      </c>
      <c r="F242" s="240"/>
      <c r="G242" s="241"/>
      <c r="H242" s="240"/>
      <c r="I242" s="241"/>
      <c r="J242" s="240"/>
      <c r="K242" s="241"/>
      <c r="L242" s="240"/>
      <c r="M242" s="242"/>
    </row>
    <row r="243" spans="3:13" ht="18.75" hidden="1" thickBot="1" x14ac:dyDescent="0.25">
      <c r="C243" s="239" t="s">
        <v>40</v>
      </c>
      <c r="D243" s="240">
        <v>0.11958602954148732</v>
      </c>
      <c r="E243" s="241">
        <v>0.10414663805167</v>
      </c>
      <c r="F243" s="240"/>
      <c r="G243" s="241"/>
      <c r="H243" s="240"/>
      <c r="I243" s="241"/>
      <c r="J243" s="240"/>
      <c r="K243" s="241"/>
      <c r="L243" s="240"/>
      <c r="M243" s="242"/>
    </row>
    <row r="244" spans="3:13" ht="18.75" thickBot="1" x14ac:dyDescent="0.25">
      <c r="C244" s="243" t="s">
        <v>41</v>
      </c>
      <c r="D244" s="244">
        <v>2.4318134499271289E-2</v>
      </c>
      <c r="E244" s="245">
        <v>2.7064614264173757E-2</v>
      </c>
      <c r="F244" s="244">
        <v>7.0298769771528994E-3</v>
      </c>
      <c r="G244" s="245">
        <v>8.3534242447073012E-3</v>
      </c>
      <c r="H244" s="244">
        <v>2.3983481575603559E-2</v>
      </c>
      <c r="I244" s="245">
        <v>1.9644192929391485E-2</v>
      </c>
      <c r="J244" s="244">
        <v>1.3093135769443777E-2</v>
      </c>
      <c r="K244" s="245">
        <v>1.2864823348694316E-2</v>
      </c>
      <c r="L244" s="244">
        <v>2.8127281992550525E-2</v>
      </c>
      <c r="M244" s="246">
        <v>3.1706895839887325E-2</v>
      </c>
    </row>
    <row r="245" spans="3:13" ht="24" customHeight="1" thickBot="1" x14ac:dyDescent="0.25">
      <c r="C245" s="247" t="s">
        <v>42</v>
      </c>
      <c r="D245" s="240">
        <v>2.8036048898010171E-2</v>
      </c>
      <c r="E245" s="241">
        <v>3.0344557556773687E-2</v>
      </c>
      <c r="F245" s="240">
        <v>7.5848672648228654E-3</v>
      </c>
      <c r="G245" s="241">
        <v>7.4304980034656824E-3</v>
      </c>
      <c r="H245" s="240">
        <v>1.3818297331639137E-2</v>
      </c>
      <c r="I245" s="241">
        <v>1.1903600351253782E-2</v>
      </c>
      <c r="J245" s="240">
        <v>7.272803268581699E-3</v>
      </c>
      <c r="K245" s="241">
        <v>9.2781322620032296E-3</v>
      </c>
      <c r="L245" s="240">
        <v>3.4652138965794409E-2</v>
      </c>
      <c r="M245" s="242">
        <v>3.7065422875880466E-2</v>
      </c>
    </row>
    <row r="246" spans="3:13" ht="24" customHeight="1" thickBot="1" x14ac:dyDescent="0.25">
      <c r="C246" s="243" t="s">
        <v>43</v>
      </c>
      <c r="D246" s="244">
        <v>0.12449956872192974</v>
      </c>
      <c r="E246" s="245">
        <v>0.12503601662332886</v>
      </c>
      <c r="F246" s="244">
        <v>6.5211358801220976E-2</v>
      </c>
      <c r="G246" s="245">
        <v>5.9933699992465908E-2</v>
      </c>
      <c r="H246" s="244">
        <v>0.20584498094027953</v>
      </c>
      <c r="I246" s="245">
        <v>0.18831105473704751</v>
      </c>
      <c r="J246" s="244">
        <v>0.25810092059478157</v>
      </c>
      <c r="K246" s="245">
        <v>0.27827257867580446</v>
      </c>
      <c r="L246" s="244">
        <v>9.2937183804485443E-2</v>
      </c>
      <c r="M246" s="246">
        <v>9.1727050646948374E-2</v>
      </c>
    </row>
    <row r="247" spans="3:13" ht="24" customHeight="1" thickBot="1" x14ac:dyDescent="0.25">
      <c r="C247" s="247" t="s">
        <v>44</v>
      </c>
      <c r="D247" s="240">
        <v>3.3645638142827401E-2</v>
      </c>
      <c r="E247" s="241">
        <v>3.1617734143405379E-2</v>
      </c>
      <c r="F247" s="240">
        <v>2.4928313754509296E-2</v>
      </c>
      <c r="G247" s="241">
        <v>2.5813681910645671E-2</v>
      </c>
      <c r="H247" s="240">
        <v>7.5603557814485384E-2</v>
      </c>
      <c r="I247" s="241">
        <v>7.5974891859368399E-2</v>
      </c>
      <c r="J247" s="240">
        <v>3.1985705179782442E-2</v>
      </c>
      <c r="K247" s="241">
        <v>3.121922879987396E-2</v>
      </c>
      <c r="L247" s="240">
        <v>3.3864112761296354E-2</v>
      </c>
      <c r="M247" s="242">
        <v>3.1277166976121845E-2</v>
      </c>
    </row>
    <row r="248" spans="3:13" ht="24" customHeight="1" thickBot="1" x14ac:dyDescent="0.25">
      <c r="C248" s="243" t="s">
        <v>45</v>
      </c>
      <c r="D248" s="244">
        <v>0.33521509374101505</v>
      </c>
      <c r="E248" s="245">
        <v>0.3332501047354568</v>
      </c>
      <c r="F248" s="244">
        <v>4.9810378318379429E-2</v>
      </c>
      <c r="G248" s="245">
        <v>5.2032321253672867E-2</v>
      </c>
      <c r="H248" s="244">
        <v>5.5432020330368488E-2</v>
      </c>
      <c r="I248" s="245">
        <v>6.0168471720818288E-2</v>
      </c>
      <c r="J248" s="244">
        <v>9.2707342814449478E-2</v>
      </c>
      <c r="K248" s="245">
        <v>0.10100831068573005</v>
      </c>
      <c r="L248" s="244">
        <v>0.41701296040430996</v>
      </c>
      <c r="M248" s="246">
        <v>0.41035675636699426</v>
      </c>
    </row>
    <row r="249" spans="3:13" ht="24" customHeight="1" thickBot="1" x14ac:dyDescent="0.25">
      <c r="C249" s="247" t="s">
        <v>46</v>
      </c>
      <c r="D249" s="240">
        <v>1.8555862903145853E-2</v>
      </c>
      <c r="E249" s="241">
        <v>1.7270744249272156E-2</v>
      </c>
      <c r="F249" s="240">
        <v>4.6711682545555449E-3</v>
      </c>
      <c r="G249" s="241">
        <v>5.019588638589618E-3</v>
      </c>
      <c r="H249" s="240">
        <v>6.8297331639135955E-3</v>
      </c>
      <c r="I249" s="241">
        <v>6.6673171366312158E-3</v>
      </c>
      <c r="J249" s="240">
        <v>8.5580831565638098E-3</v>
      </c>
      <c r="K249" s="241">
        <v>7.0699909409586833E-3</v>
      </c>
      <c r="L249" s="240">
        <v>2.2051599955870534E-2</v>
      </c>
      <c r="M249" s="242">
        <v>2.0626403960250953E-2</v>
      </c>
    </row>
    <row r="250" spans="3:13" ht="24" customHeight="1" thickBot="1" x14ac:dyDescent="0.25">
      <c r="C250" s="243" t="s">
        <v>47</v>
      </c>
      <c r="D250" s="244">
        <v>2.3419886380535975E-2</v>
      </c>
      <c r="E250" s="245">
        <v>2.7797762461751672E-2</v>
      </c>
      <c r="F250" s="244">
        <v>3.3946905929146239E-2</v>
      </c>
      <c r="G250" s="245">
        <v>3.1727943946357265E-2</v>
      </c>
      <c r="H250" s="244">
        <v>2.3506988564167726E-2</v>
      </c>
      <c r="I250" s="245">
        <v>2.9043483917130127E-2</v>
      </c>
      <c r="J250" s="244">
        <v>1.3124484059394559E-2</v>
      </c>
      <c r="K250" s="245">
        <v>1.5338827838827838E-2</v>
      </c>
      <c r="L250" s="244">
        <v>2.540859158703224E-2</v>
      </c>
      <c r="M250" s="246">
        <v>3.0475859297814895E-2</v>
      </c>
    </row>
    <row r="251" spans="3:13" ht="24" customHeight="1" thickBot="1" x14ac:dyDescent="0.25">
      <c r="C251" s="247" t="s">
        <v>48</v>
      </c>
      <c r="D251" s="240">
        <v>0.12319086285357367</v>
      </c>
      <c r="E251" s="241">
        <v>0.1386693028772642</v>
      </c>
      <c r="F251" s="240">
        <v>5.4342799001017482E-2</v>
      </c>
      <c r="G251" s="241">
        <v>5.8464552098244561E-2</v>
      </c>
      <c r="H251" s="240">
        <v>2.1759847522236343E-2</v>
      </c>
      <c r="I251" s="241">
        <v>2.1888314307086872E-2</v>
      </c>
      <c r="J251" s="240">
        <v>9.8496327025360764E-2</v>
      </c>
      <c r="K251" s="241">
        <v>0.11348172436882115</v>
      </c>
      <c r="L251" s="240">
        <v>0.13498626207650158</v>
      </c>
      <c r="M251" s="242">
        <v>0.15165939887968116</v>
      </c>
    </row>
    <row r="252" spans="3:13" ht="24" customHeight="1" thickBot="1" x14ac:dyDescent="0.25">
      <c r="C252" s="248" t="s">
        <v>49</v>
      </c>
      <c r="D252" s="244">
        <v>4.28422711995479E-2</v>
      </c>
      <c r="E252" s="245">
        <v>5.1490955629287745E-2</v>
      </c>
      <c r="F252" s="244">
        <v>1.9933401165479606E-2</v>
      </c>
      <c r="G252" s="245">
        <v>2.1594590522112558E-2</v>
      </c>
      <c r="H252" s="244">
        <v>1.2706480304955527E-2</v>
      </c>
      <c r="I252" s="245">
        <v>1.0862848407974761E-2</v>
      </c>
      <c r="J252" s="244">
        <v>2.4441216731627288E-2</v>
      </c>
      <c r="K252" s="245">
        <v>2.9744672889834182E-2</v>
      </c>
      <c r="L252" s="244">
        <v>4.9267398305218313E-2</v>
      </c>
      <c r="M252" s="246">
        <v>5.9200239113002408E-2</v>
      </c>
    </row>
    <row r="253" spans="3:13" ht="24" customHeight="1" thickBot="1" x14ac:dyDescent="0.25">
      <c r="C253" s="239" t="s">
        <v>50</v>
      </c>
      <c r="D253" s="240">
        <v>2.0231402992177509E-2</v>
      </c>
      <c r="E253" s="241">
        <v>2.2567176526530331E-2</v>
      </c>
      <c r="F253" s="240">
        <v>1.4106003144944963E-2</v>
      </c>
      <c r="G253" s="241">
        <v>1.4616138024561139E-2</v>
      </c>
      <c r="H253" s="240">
        <v>1.2706480304955528E-3</v>
      </c>
      <c r="I253" s="241">
        <v>3.0246853351546493E-3</v>
      </c>
      <c r="J253" s="240">
        <v>8.746172896268509E-3</v>
      </c>
      <c r="K253" s="241">
        <v>9.6572334475560281E-3</v>
      </c>
      <c r="L253" s="240">
        <v>2.3780004097736264E-2</v>
      </c>
      <c r="M253" s="242">
        <v>2.6457109395943104E-2</v>
      </c>
    </row>
    <row r="254" spans="3:13" ht="24" customHeight="1" thickBot="1" x14ac:dyDescent="0.25">
      <c r="C254" s="248" t="s">
        <v>51</v>
      </c>
      <c r="D254" s="244">
        <v>2.5813231809484152E-2</v>
      </c>
      <c r="E254" s="245">
        <v>2.6331466066595841E-2</v>
      </c>
      <c r="F254" s="244">
        <v>1.0174821940616039E-2</v>
      </c>
      <c r="G254" s="245">
        <v>9.9544187448203127E-3</v>
      </c>
      <c r="H254" s="244">
        <v>3.1766200762388818E-3</v>
      </c>
      <c r="I254" s="245">
        <v>4.7159072429830556E-3</v>
      </c>
      <c r="J254" s="244">
        <v>1.4305269647540727E-2</v>
      </c>
      <c r="K254" s="245">
        <v>1.7628205128205128E-2</v>
      </c>
      <c r="L254" s="244">
        <v>2.9968636557060977E-2</v>
      </c>
      <c r="M254" s="246">
        <v>2.9785036713033577E-2</v>
      </c>
    </row>
    <row r="255" spans="3:13" ht="24" customHeight="1" thickBot="1" x14ac:dyDescent="0.25">
      <c r="C255" s="239" t="s">
        <v>52</v>
      </c>
      <c r="D255" s="240">
        <v>3.4303956852364099E-2</v>
      </c>
      <c r="E255" s="241">
        <v>3.8279704654850269E-2</v>
      </c>
      <c r="F255" s="240">
        <v>1.0128572749976875E-2</v>
      </c>
      <c r="G255" s="241">
        <v>1.2299404806750546E-2</v>
      </c>
      <c r="H255" s="240">
        <v>4.6060991105463783E-3</v>
      </c>
      <c r="I255" s="241">
        <v>3.284873320974404E-3</v>
      </c>
      <c r="J255" s="240">
        <v>5.1003667749924243E-2</v>
      </c>
      <c r="K255" s="241">
        <v>5.6451612903225805E-2</v>
      </c>
      <c r="L255" s="240">
        <v>3.1970223116486035E-2</v>
      </c>
      <c r="M255" s="242">
        <v>3.6217013657702059E-2</v>
      </c>
    </row>
    <row r="256" spans="3:13" ht="24" customHeight="1" thickBot="1" x14ac:dyDescent="0.25">
      <c r="C256" s="243" t="s">
        <v>53</v>
      </c>
      <c r="D256" s="244">
        <v>8.3459742422890455E-3</v>
      </c>
      <c r="E256" s="245">
        <v>9.5627449351347246E-3</v>
      </c>
      <c r="F256" s="244">
        <v>7.1223753584312276E-3</v>
      </c>
      <c r="G256" s="245">
        <v>7.2986513975740221E-3</v>
      </c>
      <c r="H256" s="244">
        <v>1.0800508259212199E-2</v>
      </c>
      <c r="I256" s="245">
        <v>1.3724916251992065E-2</v>
      </c>
      <c r="J256" s="244">
        <v>7.6280838880239087E-3</v>
      </c>
      <c r="K256" s="245">
        <v>9.7507778959391861E-3</v>
      </c>
      <c r="L256" s="244">
        <v>8.5553378268338684E-3</v>
      </c>
      <c r="M256" s="246">
        <v>9.5837096126101876E-3</v>
      </c>
    </row>
    <row r="257" spans="3:18" ht="24" customHeight="1" thickBot="1" x14ac:dyDescent="0.25">
      <c r="C257" s="247" t="s">
        <v>54</v>
      </c>
      <c r="D257" s="240">
        <v>5.484667321019601E-3</v>
      </c>
      <c r="E257" s="241">
        <v>6.8807217819699456E-3</v>
      </c>
      <c r="F257" s="240">
        <v>4.5324206826380534E-3</v>
      </c>
      <c r="G257" s="241">
        <v>3.9836510208694342E-3</v>
      </c>
      <c r="H257" s="240">
        <v>8.5768742058449816E-3</v>
      </c>
      <c r="I257" s="241">
        <v>9.984713955833089E-3</v>
      </c>
      <c r="J257" s="240">
        <v>7.1683089687457546E-3</v>
      </c>
      <c r="K257" s="241">
        <v>8.6233211233211239E-3</v>
      </c>
      <c r="L257" s="240">
        <v>5.0643817409074914E-3</v>
      </c>
      <c r="M257" s="242">
        <v>6.5924710805267701E-3</v>
      </c>
    </row>
    <row r="258" spans="3:18" ht="24" customHeight="1" thickBot="1" x14ac:dyDescent="0.25">
      <c r="C258" s="243" t="s">
        <v>55</v>
      </c>
      <c r="D258" s="244">
        <v>9.8152940126706514E-3</v>
      </c>
      <c r="E258" s="245">
        <v>1.3158662285159738E-2</v>
      </c>
      <c r="F258" s="244">
        <v>6.1511423550087872E-3</v>
      </c>
      <c r="G258" s="245">
        <v>1.025578241542982E-2</v>
      </c>
      <c r="H258" s="244">
        <v>9.8475222363405331E-3</v>
      </c>
      <c r="I258" s="245">
        <v>8.6837740267343162E-3</v>
      </c>
      <c r="J258" s="244">
        <v>6.3428040000417978E-3</v>
      </c>
      <c r="K258" s="245">
        <v>7.7764976958525347E-3</v>
      </c>
      <c r="L258" s="244">
        <v>1.0895775654193087E-2</v>
      </c>
      <c r="M258" s="246">
        <v>1.4689283934478851E-2</v>
      </c>
    </row>
    <row r="259" spans="3:18" ht="24" customHeight="1" thickBot="1" x14ac:dyDescent="0.25">
      <c r="C259" s="247" t="s">
        <v>56</v>
      </c>
      <c r="D259" s="240">
        <v>2.5246125933196514E-2</v>
      </c>
      <c r="E259" s="241">
        <v>2.731120660549291E-2</v>
      </c>
      <c r="F259" s="240">
        <v>1.0359818703172695E-2</v>
      </c>
      <c r="G259" s="241">
        <v>1.202629398026068E-2</v>
      </c>
      <c r="H259" s="240">
        <v>6.5120711562897081E-3</v>
      </c>
      <c r="I259" s="241">
        <v>1.1675935863661495E-2</v>
      </c>
      <c r="J259" s="240">
        <v>1.2184035360871065E-2</v>
      </c>
      <c r="K259" s="241">
        <v>1.4339379258734098E-2</v>
      </c>
      <c r="L259" s="240">
        <v>2.9684947123441677E-2</v>
      </c>
      <c r="M259" s="242">
        <v>3.1598736748330657E-2</v>
      </c>
    </row>
    <row r="260" spans="3:18" ht="24" customHeight="1" thickBot="1" x14ac:dyDescent="0.25">
      <c r="C260" s="243" t="s">
        <v>57</v>
      </c>
      <c r="D260" s="244">
        <v>2.5630806142986032E-2</v>
      </c>
      <c r="E260" s="245">
        <v>2.5984115564307571E-2</v>
      </c>
      <c r="F260" s="244">
        <v>2.3309592082138564E-2</v>
      </c>
      <c r="G260" s="245">
        <v>2.6190386498907557E-2</v>
      </c>
      <c r="H260" s="244">
        <v>1.127700127064803E-2</v>
      </c>
      <c r="I260" s="245">
        <v>1.0537613425700068E-2</v>
      </c>
      <c r="J260" s="244">
        <v>3.3312782787698933E-2</v>
      </c>
      <c r="K260" s="245">
        <v>3.3353519240616011E-2</v>
      </c>
      <c r="L260" s="244">
        <v>2.4068947039385551E-2</v>
      </c>
      <c r="M260" s="246">
        <v>2.4506756744969584E-2</v>
      </c>
    </row>
    <row r="261" spans="3:18" ht="24" customHeight="1" thickBot="1" x14ac:dyDescent="0.25">
      <c r="C261" s="247" t="s">
        <v>58</v>
      </c>
      <c r="D261" s="240">
        <v>5.2824127777282058E-3</v>
      </c>
      <c r="E261" s="241">
        <v>4.1558322182174293E-3</v>
      </c>
      <c r="F261" s="240">
        <v>1.3412265285357506E-2</v>
      </c>
      <c r="G261" s="241">
        <v>1.3118737286220147E-2</v>
      </c>
      <c r="H261" s="240">
        <v>1.667725540025413E-2</v>
      </c>
      <c r="I261" s="241">
        <v>1.3692392753764595E-2</v>
      </c>
      <c r="J261" s="240">
        <v>5.1411195519284426E-3</v>
      </c>
      <c r="K261" s="241">
        <v>3.7393162393162395E-3</v>
      </c>
      <c r="L261" s="240">
        <v>4.6677418846434709E-3</v>
      </c>
      <c r="M261" s="242">
        <v>3.5302894883900517E-3</v>
      </c>
    </row>
    <row r="262" spans="3:18" ht="24" customHeight="1" thickBot="1" x14ac:dyDescent="0.25">
      <c r="C262" s="243" t="s">
        <v>59</v>
      </c>
      <c r="D262" s="244">
        <v>3.515659855447488E-3</v>
      </c>
      <c r="E262" s="245">
        <v>3.696233589235493E-3</v>
      </c>
      <c r="F262" s="244">
        <v>2.2939598557025251E-2</v>
      </c>
      <c r="G262" s="245">
        <v>2.1387402998568523E-2</v>
      </c>
      <c r="H262" s="244">
        <v>1.1912325285895807E-2</v>
      </c>
      <c r="I262" s="245">
        <v>1.5481185156275409E-2</v>
      </c>
      <c r="J262" s="244">
        <v>4.3574123031588623E-3</v>
      </c>
      <c r="K262" s="245">
        <v>4.1750364331009492E-3</v>
      </c>
      <c r="L262" s="244">
        <v>2.0620019017699069E-3</v>
      </c>
      <c r="M262" s="246">
        <v>2.2800634300736934E-3</v>
      </c>
    </row>
    <row r="263" spans="3:18" ht="24" customHeight="1" thickBot="1" x14ac:dyDescent="0.25">
      <c r="C263" s="247" t="s">
        <v>60</v>
      </c>
      <c r="D263" s="240">
        <v>1.3961512150144255E-2</v>
      </c>
      <c r="E263" s="241">
        <v>1.3904184291979474E-2</v>
      </c>
      <c r="F263" s="240">
        <v>2.6130792711127556E-2</v>
      </c>
      <c r="G263" s="241">
        <v>2.8742560084381828E-2</v>
      </c>
      <c r="H263" s="240">
        <v>1.4453621346886913E-2</v>
      </c>
      <c r="I263" s="241">
        <v>1.9774286922301362E-2</v>
      </c>
      <c r="J263" s="240">
        <v>1.3343922089050043E-2</v>
      </c>
      <c r="K263" s="241">
        <v>1.4174445626058529E-2</v>
      </c>
      <c r="L263" s="240">
        <v>1.3417459508586858E-2</v>
      </c>
      <c r="M263" s="242">
        <v>1.2819178351434474E-2</v>
      </c>
    </row>
    <row r="264" spans="3:18" ht="30.75" customHeight="1" thickBot="1" x14ac:dyDescent="0.25">
      <c r="C264" s="249" t="s">
        <v>61</v>
      </c>
      <c r="D264" s="250">
        <v>0.80816354857579098</v>
      </c>
      <c r="E264" s="251">
        <v>0.83570453818292378</v>
      </c>
      <c r="F264" s="250">
        <v>0.36148367403570436</v>
      </c>
      <c r="G264" s="251">
        <v>0.3717791757703609</v>
      </c>
      <c r="H264" s="250">
        <v>0.51683608640406609</v>
      </c>
      <c r="I264" s="251">
        <v>0.5171561453149901</v>
      </c>
      <c r="J264" s="250">
        <v>0.61281727081787696</v>
      </c>
      <c r="K264" s="251">
        <v>0.66446591043365233</v>
      </c>
      <c r="L264" s="250">
        <v>0.88745672422760302</v>
      </c>
      <c r="M264" s="252">
        <v>0.91049544423439355</v>
      </c>
    </row>
    <row r="265" spans="3:18" ht="24" customHeight="1" thickBot="1" x14ac:dyDescent="0.25">
      <c r="C265" s="253" t="s">
        <v>8</v>
      </c>
      <c r="D265" s="254">
        <v>1</v>
      </c>
      <c r="E265" s="255">
        <v>1</v>
      </c>
      <c r="F265" s="254">
        <v>1</v>
      </c>
      <c r="G265" s="255">
        <v>1</v>
      </c>
      <c r="H265" s="254">
        <v>1</v>
      </c>
      <c r="I265" s="255">
        <v>1</v>
      </c>
      <c r="J265" s="254">
        <v>1</v>
      </c>
      <c r="K265" s="255">
        <v>1</v>
      </c>
      <c r="L265" s="254">
        <v>1</v>
      </c>
      <c r="M265" s="256">
        <v>1</v>
      </c>
    </row>
    <row r="266" spans="3:18" ht="18" customHeight="1" x14ac:dyDescent="0.2">
      <c r="C266" s="257"/>
      <c r="D266" s="258"/>
      <c r="E266" s="259"/>
      <c r="F266" s="258"/>
      <c r="G266" s="259"/>
      <c r="H266" s="258"/>
      <c r="I266" s="259"/>
      <c r="J266" s="258"/>
      <c r="K266" s="259"/>
      <c r="L266" s="258"/>
      <c r="M266" s="259"/>
      <c r="N266" s="260"/>
    </row>
    <row r="267" spans="3:18" ht="5.25" customHeight="1" thickBot="1" x14ac:dyDescent="0.25">
      <c r="C267" s="99"/>
      <c r="D267" s="99"/>
      <c r="E267" s="99"/>
      <c r="F267" s="99"/>
      <c r="G267" s="99"/>
      <c r="H267" s="99"/>
      <c r="I267" s="99"/>
      <c r="J267" s="99"/>
      <c r="K267" s="99"/>
      <c r="L267" s="99"/>
      <c r="M267" s="99"/>
    </row>
    <row r="268" spans="3:18" ht="20.100000000000001" customHeight="1" thickBot="1" x14ac:dyDescent="0.25">
      <c r="C268" s="27" t="s">
        <v>71</v>
      </c>
      <c r="D268" s="28"/>
      <c r="E268" s="28"/>
      <c r="F268" s="28"/>
      <c r="G268" s="28"/>
      <c r="H268" s="28"/>
      <c r="I268" s="28"/>
      <c r="J268" s="28"/>
      <c r="K268" s="28"/>
      <c r="L268" s="28"/>
      <c r="M268" s="29"/>
    </row>
    <row r="269" spans="3:18" ht="5.25" customHeight="1" x14ac:dyDescent="0.2"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154"/>
    </row>
    <row r="270" spans="3:18" ht="45.75" customHeight="1" x14ac:dyDescent="0.2">
      <c r="C270" s="261" t="s">
        <v>7</v>
      </c>
      <c r="D270" s="262" t="s">
        <v>72</v>
      </c>
      <c r="E270" s="263" t="s">
        <v>73</v>
      </c>
      <c r="F270" s="264">
        <v>1085.0400550592499</v>
      </c>
      <c r="G270" s="265" t="s">
        <v>96</v>
      </c>
      <c r="H270" s="266"/>
      <c r="I270" s="266"/>
      <c r="J270" s="266"/>
      <c r="K270" s="266"/>
      <c r="L270" s="267"/>
      <c r="M270" s="268" t="s">
        <v>97</v>
      </c>
      <c r="O270" s="148"/>
      <c r="R270" s="148"/>
    </row>
    <row r="271" spans="3:18" ht="45.75" customHeight="1" x14ac:dyDescent="0.2">
      <c r="C271" s="261"/>
      <c r="D271" s="262"/>
      <c r="E271" s="269" t="s">
        <v>74</v>
      </c>
      <c r="F271" s="270">
        <v>711.60052191465252</v>
      </c>
      <c r="G271" s="265" t="str">
        <f>CONCATENATE("El gasto medio por turista en origen se situó en ",FIXED($F$271,0),"€.")</f>
        <v>El gasto medio por turista en origen se situó en 712€.</v>
      </c>
      <c r="H271" s="266"/>
      <c r="I271" s="266"/>
      <c r="J271" s="266"/>
      <c r="K271" s="266"/>
      <c r="L271" s="267"/>
      <c r="M271" s="268"/>
      <c r="O271" s="148"/>
      <c r="R271" s="148"/>
    </row>
    <row r="272" spans="3:18" ht="45.75" customHeight="1" thickBot="1" x14ac:dyDescent="0.25">
      <c r="C272" s="261"/>
      <c r="D272" s="271"/>
      <c r="E272" s="272" t="s">
        <v>75</v>
      </c>
      <c r="F272" s="273">
        <v>377.5487012706127</v>
      </c>
      <c r="G272" s="265" t="str">
        <f>CONCATENATE("El gasto medio por turista en destino ascendió a ",FIXED($F$272,0),"€. ")</f>
        <v xml:space="preserve">El gasto medio por turista en destino ascendió a 378€. </v>
      </c>
      <c r="H272" s="266"/>
      <c r="I272" s="266"/>
      <c r="J272" s="266"/>
      <c r="K272" s="266"/>
      <c r="L272" s="267"/>
      <c r="M272" s="268"/>
      <c r="O272" s="148"/>
      <c r="R272" s="148"/>
    </row>
    <row r="273" spans="3:20" ht="45.75" customHeight="1" thickTop="1" x14ac:dyDescent="0.2">
      <c r="C273" s="261"/>
      <c r="D273" s="274" t="s">
        <v>76</v>
      </c>
      <c r="E273" s="275" t="s">
        <v>73</v>
      </c>
      <c r="F273" s="276">
        <v>122.05293818049635</v>
      </c>
      <c r="G273" s="277" t="str">
        <f>CONCATENATE("El gasto total diario por turista se situó en ",FIXED($F$273,0),"€.")</f>
        <v>El gasto total diario por turista se situó en 122€.</v>
      </c>
      <c r="H273" s="278"/>
      <c r="I273" s="278"/>
      <c r="J273" s="278"/>
      <c r="K273" s="278"/>
      <c r="L273" s="279"/>
      <c r="M273" s="268"/>
      <c r="O273" s="148"/>
      <c r="R273" s="148"/>
    </row>
    <row r="274" spans="3:20" ht="45.75" customHeight="1" x14ac:dyDescent="0.2">
      <c r="C274" s="261"/>
      <c r="D274" s="280"/>
      <c r="E274" s="281" t="s">
        <v>74</v>
      </c>
      <c r="F274" s="282">
        <v>79.968746690150326</v>
      </c>
      <c r="G274" s="277" t="str">
        <f>CONCATENATE("La media del gasto diario por turista en origen fue de ",FIXED($F$274,0),"€.")</f>
        <v>La media del gasto diario por turista en origen fue de 80€.</v>
      </c>
      <c r="H274" s="278"/>
      <c r="I274" s="278"/>
      <c r="J274" s="278"/>
      <c r="K274" s="278"/>
      <c r="L274" s="279"/>
      <c r="M274" s="268"/>
      <c r="O274" s="148"/>
      <c r="R274" s="148"/>
    </row>
    <row r="275" spans="3:20" ht="45.75" customHeight="1" x14ac:dyDescent="0.2">
      <c r="C275" s="261"/>
      <c r="D275" s="280"/>
      <c r="E275" s="283" t="s">
        <v>75</v>
      </c>
      <c r="F275" s="284">
        <v>42.106985614838642</v>
      </c>
      <c r="G275" s="277" t="str">
        <f>CONCATENATE("El gasto medio en Tenerife, por turista y día  fue de ",FIXED($F$275,1),"€.")</f>
        <v>El gasto medio en Tenerife, por turista y día  fue de 42,1€.</v>
      </c>
      <c r="H275" s="278"/>
      <c r="I275" s="278"/>
      <c r="J275" s="278"/>
      <c r="K275" s="278"/>
      <c r="L275" s="279"/>
      <c r="M275" s="268"/>
      <c r="O275" s="148"/>
      <c r="R275" s="148"/>
    </row>
    <row r="276" spans="3:20" ht="5.25" customHeight="1" thickBot="1" x14ac:dyDescent="0.25"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6"/>
      <c r="N276" s="260"/>
      <c r="O276" s="148"/>
      <c r="R276" s="148"/>
    </row>
    <row r="277" spans="3:20" ht="19.5" customHeight="1" thickBot="1" x14ac:dyDescent="0.25">
      <c r="C277" s="27" t="s">
        <v>77</v>
      </c>
      <c r="D277" s="28"/>
      <c r="E277" s="28"/>
      <c r="F277" s="28"/>
      <c r="G277" s="28"/>
      <c r="H277" s="28"/>
      <c r="I277" s="28"/>
      <c r="J277" s="28"/>
      <c r="K277" s="28"/>
      <c r="L277" s="28"/>
      <c r="M277" s="29"/>
      <c r="N277" s="260"/>
      <c r="O277" s="148"/>
      <c r="P277" s="148"/>
      <c r="Q277" s="148"/>
    </row>
    <row r="278" spans="3:20" ht="5.25" customHeight="1" x14ac:dyDescent="0.2"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154"/>
      <c r="N278" s="260"/>
      <c r="O278" s="148"/>
      <c r="P278" s="148"/>
      <c r="Q278" s="148"/>
    </row>
    <row r="279" spans="3:20" s="148" customFormat="1" ht="47.25" customHeight="1" thickBot="1" x14ac:dyDescent="0.25">
      <c r="C279" s="287" t="s">
        <v>7</v>
      </c>
      <c r="D279" s="288"/>
      <c r="E279" s="289" t="s">
        <v>8</v>
      </c>
      <c r="F279" s="290">
        <v>141955</v>
      </c>
      <c r="G279" s="291">
        <v>1.8416219473699424E-2</v>
      </c>
      <c r="H279" s="292" t="s">
        <v>98</v>
      </c>
      <c r="I279" s="292"/>
      <c r="J279" s="292"/>
      <c r="K279" s="292"/>
      <c r="L279" s="293"/>
      <c r="M279" s="268" t="s">
        <v>78</v>
      </c>
      <c r="Q279" s="294"/>
    </row>
    <row r="280" spans="3:20" s="148" customFormat="1" ht="47.25" customHeight="1" thickTop="1" thickBot="1" x14ac:dyDescent="0.25">
      <c r="C280" s="287"/>
      <c r="D280" s="288"/>
      <c r="E280" s="295" t="s">
        <v>79</v>
      </c>
      <c r="F280" s="296">
        <v>85420</v>
      </c>
      <c r="G280" s="297">
        <v>1.5514474231706599E-2</v>
      </c>
      <c r="H280" s="298" t="s">
        <v>99</v>
      </c>
      <c r="I280" s="299"/>
      <c r="J280" s="299"/>
      <c r="K280" s="299"/>
      <c r="L280" s="300"/>
      <c r="M280" s="268"/>
      <c r="O280" s="301"/>
      <c r="Q280" s="294"/>
    </row>
    <row r="281" spans="3:20" s="148" customFormat="1" ht="47.25" customHeight="1" thickTop="1" thickBot="1" x14ac:dyDescent="0.25">
      <c r="C281" s="287"/>
      <c r="D281" s="288"/>
      <c r="E281" s="302" t="s">
        <v>80</v>
      </c>
      <c r="F281" s="303">
        <v>48766</v>
      </c>
      <c r="G281" s="297">
        <v>-5.201852267395557E-3</v>
      </c>
      <c r="H281" s="304" t="s">
        <v>100</v>
      </c>
      <c r="I281" s="299"/>
      <c r="J281" s="299"/>
      <c r="K281" s="299"/>
      <c r="L281" s="300"/>
      <c r="M281" s="268"/>
      <c r="O281" s="301"/>
      <c r="Q281" s="294"/>
    </row>
    <row r="282" spans="3:20" s="148" customFormat="1" ht="47.25" customHeight="1" thickTop="1" thickBot="1" x14ac:dyDescent="0.25">
      <c r="C282" s="287"/>
      <c r="D282" s="288"/>
      <c r="E282" s="295" t="s">
        <v>81</v>
      </c>
      <c r="F282" s="296">
        <v>6294</v>
      </c>
      <c r="G282" s="297">
        <v>0.31756332426208922</v>
      </c>
      <c r="H282" s="298" t="s">
        <v>101</v>
      </c>
      <c r="I282" s="299"/>
      <c r="J282" s="299"/>
      <c r="K282" s="299"/>
      <c r="L282" s="300"/>
      <c r="M282" s="268"/>
      <c r="O282" s="301"/>
      <c r="Q282" s="294"/>
    </row>
    <row r="283" spans="3:20" s="148" customFormat="1" ht="47.25" customHeight="1" thickTop="1" thickBot="1" x14ac:dyDescent="0.25">
      <c r="C283" s="287"/>
      <c r="D283" s="288"/>
      <c r="E283" s="302" t="s">
        <v>82</v>
      </c>
      <c r="F283" s="303">
        <v>557</v>
      </c>
      <c r="G283" s="297">
        <v>0</v>
      </c>
      <c r="H283" s="304" t="s">
        <v>102</v>
      </c>
      <c r="I283" s="299"/>
      <c r="J283" s="299"/>
      <c r="K283" s="299"/>
      <c r="L283" s="300"/>
      <c r="M283" s="268"/>
      <c r="O283" s="301"/>
      <c r="Q283" s="294"/>
    </row>
    <row r="284" spans="3:20" s="148" customFormat="1" ht="47.25" customHeight="1" thickTop="1" thickBot="1" x14ac:dyDescent="0.25">
      <c r="C284" s="287"/>
      <c r="D284" s="288"/>
      <c r="E284" s="295" t="s">
        <v>83</v>
      </c>
      <c r="F284" s="296">
        <v>918</v>
      </c>
      <c r="G284" s="297">
        <v>0</v>
      </c>
      <c r="H284" s="298" t="s">
        <v>103</v>
      </c>
      <c r="I284" s="299"/>
      <c r="J284" s="299"/>
      <c r="K284" s="299"/>
      <c r="L284" s="300"/>
      <c r="M284" s="268"/>
      <c r="O284" s="301"/>
      <c r="Q284" s="294"/>
    </row>
    <row r="285" spans="3:20" ht="5.25" customHeight="1" thickTop="1" x14ac:dyDescent="0.2">
      <c r="C285" s="99" t="s">
        <v>84</v>
      </c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305"/>
      <c r="P285" s="148"/>
      <c r="Q285" s="148"/>
      <c r="R285" s="148"/>
    </row>
    <row r="286" spans="3:20" s="1" customFormat="1" ht="18.75" customHeight="1" thickBot="1" x14ac:dyDescent="0.25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305"/>
      <c r="P286" s="306"/>
      <c r="Q286" s="306"/>
      <c r="R286" s="306"/>
    </row>
    <row r="287" spans="3:20" ht="50.25" customHeight="1" thickBot="1" x14ac:dyDescent="0.25">
      <c r="C287" s="2"/>
      <c r="D287" s="2"/>
      <c r="E287" s="3" t="str">
        <f>E234</f>
        <v>INDICADORES TURÍSTICOS DE TENERIFE definitivo</v>
      </c>
      <c r="F287" s="3"/>
      <c r="G287" s="3"/>
      <c r="H287" s="3"/>
      <c r="I287" s="3"/>
      <c r="J287" s="3"/>
      <c r="K287" s="3"/>
      <c r="L287" s="2"/>
      <c r="M287" s="2"/>
      <c r="O287" s="148"/>
      <c r="P287" s="148"/>
      <c r="Q287" s="148"/>
      <c r="R287" s="148"/>
      <c r="S287" s="148"/>
      <c r="T287" s="148"/>
    </row>
    <row r="288" spans="3:20" ht="5.25" customHeight="1" thickBot="1" x14ac:dyDescent="0.25">
      <c r="C288" s="4"/>
      <c r="O288" s="148"/>
      <c r="P288" s="148"/>
      <c r="Q288" s="148"/>
      <c r="R288" s="148"/>
      <c r="S288" s="148"/>
      <c r="T288" s="148"/>
    </row>
    <row r="289" spans="3:20" ht="18" customHeight="1" thickBot="1" x14ac:dyDescent="0.25">
      <c r="C289" s="225" t="s">
        <v>85</v>
      </c>
      <c r="D289" s="226"/>
      <c r="E289" s="226"/>
      <c r="F289" s="226"/>
      <c r="G289" s="226"/>
      <c r="H289" s="226"/>
      <c r="I289" s="226"/>
      <c r="J289" s="226"/>
      <c r="K289" s="226"/>
      <c r="L289" s="226"/>
      <c r="M289" s="227"/>
      <c r="O289" s="148"/>
      <c r="P289" s="148"/>
      <c r="Q289" s="148"/>
      <c r="R289" s="148"/>
      <c r="S289" s="148"/>
      <c r="T289" s="148"/>
    </row>
    <row r="290" spans="3:20" ht="5.25" customHeight="1" x14ac:dyDescent="0.2"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154"/>
      <c r="N290" s="260"/>
      <c r="O290" s="148"/>
      <c r="P290" s="148"/>
      <c r="Q290" s="148"/>
      <c r="R290" s="148"/>
      <c r="S290" s="148"/>
      <c r="T290" s="148"/>
    </row>
    <row r="291" spans="3:20" ht="30.75" customHeight="1" x14ac:dyDescent="0.2">
      <c r="C291" s="307" t="s">
        <v>7</v>
      </c>
      <c r="D291" s="308"/>
      <c r="E291" s="309" t="s">
        <v>8</v>
      </c>
      <c r="F291" s="35">
        <v>164366</v>
      </c>
      <c r="G291" s="310">
        <v>3.3293518576727132E-2</v>
      </c>
      <c r="H291" s="311" t="s">
        <v>104</v>
      </c>
      <c r="I291" s="311"/>
      <c r="J291" s="311"/>
      <c r="K291" s="311"/>
      <c r="L291" s="312"/>
      <c r="M291" s="268" t="s">
        <v>9</v>
      </c>
      <c r="O291" s="148"/>
      <c r="P291" s="148"/>
      <c r="Q291" s="148"/>
      <c r="R291" s="148"/>
      <c r="S291" s="148"/>
      <c r="T291" s="148"/>
    </row>
    <row r="292" spans="3:20" ht="40.5" customHeight="1" x14ac:dyDescent="0.2">
      <c r="C292" s="313"/>
      <c r="D292" s="314"/>
      <c r="E292" s="315" t="s">
        <v>86</v>
      </c>
      <c r="F292" s="46">
        <v>94536</v>
      </c>
      <c r="G292" s="143">
        <v>1.8948457608484848E-2</v>
      </c>
      <c r="H292" s="316" t="str">
        <f>CONCATENATE("La oferta hotelera estimada por el STDE del Cabildo de Tenerife se sitúa en ",FIXED(F292,0)," plazas, un ",FIXED(F292/F291*100,1),"% del total de plazas. ",IF(G292&gt;0,"Aumentan un ","Disminuyen un"),FIXED(G292*100,1),"%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292" s="316"/>
      <c r="J292" s="316"/>
      <c r="K292" s="316"/>
      <c r="L292" s="317"/>
      <c r="M292" s="268"/>
      <c r="O292" s="148"/>
      <c r="P292" s="148"/>
      <c r="Q292" s="148"/>
      <c r="R292" s="148"/>
      <c r="S292" s="148"/>
      <c r="T292" s="148"/>
    </row>
    <row r="293" spans="3:20" ht="41.25" customHeight="1" thickBot="1" x14ac:dyDescent="0.25">
      <c r="C293" s="318"/>
      <c r="D293" s="319"/>
      <c r="E293" s="320" t="s">
        <v>87</v>
      </c>
      <c r="F293" s="321">
        <v>69830</v>
      </c>
      <c r="G293" s="322">
        <v>5.3369939057503091E-2</v>
      </c>
      <c r="H293" s="323" t="s">
        <v>105</v>
      </c>
      <c r="I293" s="323"/>
      <c r="J293" s="323"/>
      <c r="K293" s="323"/>
      <c r="L293" s="324"/>
      <c r="M293" s="268"/>
      <c r="Q293" s="325"/>
    </row>
    <row r="294" spans="3:20" ht="18.75" hidden="1" customHeight="1" x14ac:dyDescent="0.2">
      <c r="C294" s="326" t="s">
        <v>12</v>
      </c>
      <c r="D294" s="327"/>
      <c r="E294" s="328" t="s">
        <v>8</v>
      </c>
      <c r="F294" s="329">
        <v>3228</v>
      </c>
      <c r="G294" s="330">
        <v>0.12122264675234451</v>
      </c>
      <c r="I294" s="331"/>
      <c r="J294" s="331"/>
      <c r="K294" s="331"/>
      <c r="L294" s="332"/>
      <c r="M294" s="268"/>
      <c r="Q294" s="325"/>
    </row>
    <row r="295" spans="3:20" ht="40.5" customHeight="1" thickTop="1" thickBot="1" x14ac:dyDescent="0.25">
      <c r="C295" s="333"/>
      <c r="D295" s="334"/>
      <c r="E295" s="335" t="s">
        <v>86</v>
      </c>
      <c r="F295" s="336">
        <v>2537</v>
      </c>
      <c r="G295" s="322">
        <v>0</v>
      </c>
      <c r="H295" s="337" t="str">
        <f>CONCATENATE("Las plazas estimadas por el STDE  del Cabildo de Tenerife en la zona de Santa Cruz, ascienden a ",FIXED(F295,0),", todas ellas pertenecientes a la tipología hotelera. Se registra un ",IF(G295&gt;0,"incremento ","descenso "),"con respecto al año anterior del ",FIXED(G295*100,1),"%.")</f>
        <v>Las plazas estimadas por el STDE  del Cabildo de Tenerife en la zona de Santa Cruz, ascienden a 2.537, todas ellas pertenecientes a la tipología hotelera. Se registra un descenso con respecto al año anterior del 0,0%.</v>
      </c>
      <c r="I295" s="338"/>
      <c r="J295" s="338"/>
      <c r="K295" s="338"/>
      <c r="L295" s="339"/>
      <c r="M295" s="268"/>
    </row>
    <row r="296" spans="3:20" ht="46.5" customHeight="1" thickTop="1" x14ac:dyDescent="0.2">
      <c r="C296" s="340" t="s">
        <v>13</v>
      </c>
      <c r="D296" s="341"/>
      <c r="E296" s="342" t="s">
        <v>8</v>
      </c>
      <c r="F296" s="343">
        <v>1571</v>
      </c>
      <c r="G296" s="330">
        <v>0.45194085027726438</v>
      </c>
      <c r="H296" s="344" t="s">
        <v>106</v>
      </c>
      <c r="I296" s="344"/>
      <c r="J296" s="344"/>
      <c r="K296" s="344"/>
      <c r="L296" s="345"/>
      <c r="M296" s="268"/>
    </row>
    <row r="297" spans="3:20" ht="34.5" customHeight="1" x14ac:dyDescent="0.2">
      <c r="C297" s="346"/>
      <c r="D297" s="347"/>
      <c r="E297" s="348" t="s">
        <v>86</v>
      </c>
      <c r="F297" s="72">
        <v>824</v>
      </c>
      <c r="G297" s="143">
        <v>0.42560553633218001</v>
      </c>
      <c r="H297" s="349" t="str">
        <f>CONCATENATE("Las plazas hoteleras estimadas se sitúan en ",FIXED(F297,0)," plazas, registrando un ",IF(G297&gt;0,"incremento del ","descenso del "),FIXED(G297*100,1),"%.")</f>
        <v>Las plazas hoteleras estimadas se sitúan en 824 plazas, registrando un incremento del 42,6%.</v>
      </c>
      <c r="I297" s="349"/>
      <c r="J297" s="349"/>
      <c r="K297" s="349"/>
      <c r="L297" s="350"/>
      <c r="M297" s="268"/>
    </row>
    <row r="298" spans="3:20" ht="34.5" customHeight="1" thickBot="1" x14ac:dyDescent="0.25">
      <c r="C298" s="351"/>
      <c r="D298" s="352"/>
      <c r="E298" s="353" t="s">
        <v>87</v>
      </c>
      <c r="F298" s="354">
        <v>747</v>
      </c>
      <c r="G298" s="322">
        <v>0.48214285714285721</v>
      </c>
      <c r="H298" s="355" t="s">
        <v>107</v>
      </c>
      <c r="I298" s="355"/>
      <c r="J298" s="355"/>
      <c r="K298" s="355"/>
      <c r="L298" s="356"/>
      <c r="M298" s="268"/>
    </row>
    <row r="299" spans="3:20" ht="39.75" customHeight="1" thickTop="1" x14ac:dyDescent="0.2">
      <c r="C299" s="357" t="s">
        <v>14</v>
      </c>
      <c r="D299" s="358"/>
      <c r="E299" s="328" t="s">
        <v>8</v>
      </c>
      <c r="F299" s="329">
        <v>29509</v>
      </c>
      <c r="G299" s="330">
        <v>5.5513824802374989E-2</v>
      </c>
      <c r="H299" s="359" t="s">
        <v>108</v>
      </c>
      <c r="I299" s="359"/>
      <c r="J299" s="359"/>
      <c r="K299" s="359"/>
      <c r="L299" s="360"/>
      <c r="M299" s="268"/>
    </row>
    <row r="300" spans="3:20" ht="34.5" customHeight="1" x14ac:dyDescent="0.2">
      <c r="C300" s="361"/>
      <c r="D300" s="362"/>
      <c r="E300" s="363" t="s">
        <v>86</v>
      </c>
      <c r="F300" s="84">
        <v>19717</v>
      </c>
      <c r="G300" s="143">
        <v>2.6820122903864263E-2</v>
      </c>
      <c r="H300" s="364" t="str">
        <f>CONCATENATE("La oferta hotelera asciende a ",FIXED(F300,0),", cifra que se ",IF(G300&gt;0,"incrementa un ","reduce un "),FIXED(G300*100,1),"% respecto al año anterior.")</f>
        <v>La oferta hotelera asciende a 19.717, cifra que se incrementa un 2,7% respecto al año anterior.</v>
      </c>
      <c r="I300" s="364"/>
      <c r="J300" s="364"/>
      <c r="K300" s="364"/>
      <c r="L300" s="365"/>
      <c r="M300" s="268"/>
    </row>
    <row r="301" spans="3:20" ht="34.5" customHeight="1" thickBot="1" x14ac:dyDescent="0.25">
      <c r="C301" s="366"/>
      <c r="D301" s="367"/>
      <c r="E301" s="335" t="s">
        <v>87</v>
      </c>
      <c r="F301" s="336">
        <v>9792</v>
      </c>
      <c r="G301" s="322">
        <v>0.11844660194174761</v>
      </c>
      <c r="H301" s="368" t="str">
        <f>CONCATENATE("Las plazas extrahoteras estimadas ascienden a ",FIXED(F301,0),", las cuales ",IF(G301&gt;0,"se incrementan un ","descienden un "),FIXED(G301*100,1),"%.")</f>
        <v>Las plazas extrahoteras estimadas ascienden a 9.792, las cuales se incrementan un 11,8%.</v>
      </c>
      <c r="I301" s="368"/>
      <c r="J301" s="368"/>
      <c r="K301" s="368"/>
      <c r="L301" s="369"/>
      <c r="M301" s="268"/>
    </row>
    <row r="302" spans="3:20" ht="34.5" customHeight="1" thickTop="1" x14ac:dyDescent="0.2">
      <c r="C302" s="370" t="s">
        <v>15</v>
      </c>
      <c r="D302" s="371"/>
      <c r="E302" s="372" t="s">
        <v>8</v>
      </c>
      <c r="F302" s="373">
        <v>130058</v>
      </c>
      <c r="G302" s="330">
        <v>2.2854536303007489E-2</v>
      </c>
      <c r="H302" s="344" t="str">
        <f>CONCATENATE("Las plazas estimadas para la zona Sur por el STDE del Cabildo ascienden a ",FIXED(F302,0)," experimentando un ",IF(G302&gt;0,"incremento interanual del ","descenso interanual del "),FIXED(G302*100,1),"%.")</f>
        <v>Las plazas estimadas para la zona Sur por el STDE del Cabildo ascienden a 130.058 experimentando un incremento interanual del 2,3%.</v>
      </c>
      <c r="I302" s="344"/>
      <c r="J302" s="344"/>
      <c r="K302" s="344"/>
      <c r="L302" s="345"/>
      <c r="M302" s="268"/>
    </row>
    <row r="303" spans="3:20" ht="34.5" customHeight="1" x14ac:dyDescent="0.2">
      <c r="C303" s="374"/>
      <c r="D303" s="375"/>
      <c r="E303" s="376" t="s">
        <v>86</v>
      </c>
      <c r="F303" s="94">
        <v>71458</v>
      </c>
      <c r="G303" s="143">
        <v>1.4149671449454226E-2</v>
      </c>
      <c r="H303" s="349" t="str">
        <f>CONCATENATE("Las plazas hoteleras, con un oferta de ",FIXED(F303,0)," plazas, se ",IF(G303&gt;0,"incrementan un ","reducen un "),FIXED(G303*100,1),"% respecto al mismo período del año anterior.")</f>
        <v>Las plazas hoteleras, con un oferta de 71.458 plazas, se incrementan un 1,4% respecto al mismo período del año anterior.</v>
      </c>
      <c r="I303" s="349"/>
      <c r="J303" s="349"/>
      <c r="K303" s="349"/>
      <c r="L303" s="350"/>
      <c r="M303" s="268"/>
    </row>
    <row r="304" spans="3:20" ht="34.5" customHeight="1" x14ac:dyDescent="0.2">
      <c r="C304" s="374"/>
      <c r="D304" s="375"/>
      <c r="E304" s="377" t="s">
        <v>87</v>
      </c>
      <c r="F304" s="378">
        <v>58600</v>
      </c>
      <c r="G304" s="379">
        <v>3.3673775378807891E-2</v>
      </c>
      <c r="H304" s="380" t="s">
        <v>109</v>
      </c>
      <c r="I304" s="380"/>
      <c r="J304" s="380"/>
      <c r="K304" s="380"/>
      <c r="L304" s="381"/>
      <c r="M304" s="268"/>
    </row>
    <row r="305" spans="3:18" ht="5.25" customHeight="1" thickBot="1" x14ac:dyDescent="0.25">
      <c r="C305" s="285"/>
      <c r="D305" s="285"/>
      <c r="E305" s="285"/>
      <c r="F305" s="285"/>
      <c r="G305" s="285"/>
      <c r="H305" s="285"/>
      <c r="I305" s="285"/>
      <c r="J305" s="285"/>
      <c r="K305" s="285"/>
      <c r="L305" s="285"/>
      <c r="M305" s="286"/>
      <c r="N305" s="260"/>
      <c r="O305" s="148"/>
      <c r="R305" s="148"/>
    </row>
    <row r="306" spans="3:18" ht="19.5" customHeight="1" thickBot="1" x14ac:dyDescent="0.25">
      <c r="C306" s="27" t="s">
        <v>88</v>
      </c>
      <c r="D306" s="28"/>
      <c r="E306" s="28"/>
      <c r="F306" s="28"/>
      <c r="G306" s="28"/>
      <c r="H306" s="28"/>
      <c r="I306" s="28"/>
      <c r="J306" s="28"/>
      <c r="K306" s="28"/>
      <c r="L306" s="28"/>
      <c r="M306" s="29"/>
      <c r="N306" s="260"/>
      <c r="O306" s="148"/>
      <c r="P306" s="148"/>
      <c r="Q306" s="148"/>
    </row>
    <row r="307" spans="3:18" ht="5.25" customHeight="1" x14ac:dyDescent="0.2"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154"/>
      <c r="O307" s="148"/>
      <c r="P307" s="148"/>
      <c r="Q307" s="148"/>
    </row>
    <row r="308" spans="3:18" ht="93.75" customHeight="1" thickBot="1" x14ac:dyDescent="0.25">
      <c r="C308" s="382" t="s">
        <v>89</v>
      </c>
      <c r="D308" s="383"/>
      <c r="E308" s="384" t="s">
        <v>90</v>
      </c>
      <c r="F308" s="385">
        <v>271821</v>
      </c>
      <c r="G308" s="291">
        <v>0.51402790542234111</v>
      </c>
      <c r="H308" s="386" t="s">
        <v>110</v>
      </c>
      <c r="I308" s="386"/>
      <c r="J308" s="386"/>
      <c r="K308" s="386"/>
      <c r="L308" s="387"/>
      <c r="M308" s="268" t="s">
        <v>112</v>
      </c>
    </row>
    <row r="309" spans="3:18" ht="45.75" hidden="1" customHeight="1" x14ac:dyDescent="0.2">
      <c r="C309" s="388"/>
      <c r="D309" s="389"/>
      <c r="E309" s="390" t="s">
        <v>91</v>
      </c>
      <c r="F309" s="391">
        <v>0</v>
      </c>
      <c r="G309" s="392">
        <v>-1</v>
      </c>
      <c r="H309" s="393" t="s">
        <v>111</v>
      </c>
      <c r="I309" s="393"/>
      <c r="J309" s="393"/>
      <c r="K309" s="393"/>
      <c r="L309" s="394"/>
      <c r="M309" s="395"/>
    </row>
    <row r="310" spans="3:18" ht="13.5" thickTop="1" x14ac:dyDescent="0.2"/>
    <row r="311" spans="3:18" ht="29.25" customHeight="1" x14ac:dyDescent="0.2"/>
    <row r="312" spans="3:18" ht="18" customHeight="1" x14ac:dyDescent="0.2">
      <c r="C312" s="396" t="s">
        <v>92</v>
      </c>
      <c r="D312" s="396"/>
      <c r="E312" s="396"/>
      <c r="F312" s="396"/>
      <c r="G312" s="396"/>
      <c r="H312" s="396"/>
      <c r="I312" s="396"/>
      <c r="J312" s="396"/>
      <c r="K312" s="396"/>
      <c r="L312" s="396"/>
      <c r="M312" s="396"/>
    </row>
    <row r="314" spans="3:18" ht="6.75" customHeight="1" x14ac:dyDescent="0.2"/>
    <row r="316" spans="3:18" ht="8.25" customHeight="1" x14ac:dyDescent="0.2"/>
    <row r="319" spans="3:18" x14ac:dyDescent="0.2">
      <c r="E319" s="397"/>
      <c r="F319" s="397"/>
    </row>
    <row r="320" spans="3:18" x14ac:dyDescent="0.2">
      <c r="E320" s="397"/>
      <c r="F320" s="397"/>
    </row>
    <row r="323" ht="21.75" customHeight="1" x14ac:dyDescent="0.2"/>
    <row r="325" ht="6" customHeight="1" x14ac:dyDescent="0.2"/>
  </sheetData>
  <mergeCells count="159">
    <mergeCell ref="C312:M312"/>
    <mergeCell ref="C302:D304"/>
    <mergeCell ref="H302:L302"/>
    <mergeCell ref="H303:L303"/>
    <mergeCell ref="H304:L304"/>
    <mergeCell ref="C306:M306"/>
    <mergeCell ref="C308:D309"/>
    <mergeCell ref="H308:L308"/>
    <mergeCell ref="M308:M309"/>
    <mergeCell ref="H309:L309"/>
    <mergeCell ref="H296:L296"/>
    <mergeCell ref="H297:L297"/>
    <mergeCell ref="H298:L298"/>
    <mergeCell ref="C299:D301"/>
    <mergeCell ref="H299:L299"/>
    <mergeCell ref="H300:L300"/>
    <mergeCell ref="H301:L301"/>
    <mergeCell ref="E287:K287"/>
    <mergeCell ref="C289:M289"/>
    <mergeCell ref="C291:D293"/>
    <mergeCell ref="H291:L291"/>
    <mergeCell ref="M291:M304"/>
    <mergeCell ref="H292:L292"/>
    <mergeCell ref="H293:L293"/>
    <mergeCell ref="C294:D295"/>
    <mergeCell ref="H295:L295"/>
    <mergeCell ref="C296:D298"/>
    <mergeCell ref="G275:L275"/>
    <mergeCell ref="C277:M277"/>
    <mergeCell ref="C279:D284"/>
    <mergeCell ref="H279:L279"/>
    <mergeCell ref="M279:M284"/>
    <mergeCell ref="H280:L280"/>
    <mergeCell ref="H281:L281"/>
    <mergeCell ref="H282:L282"/>
    <mergeCell ref="H283:L283"/>
    <mergeCell ref="H284:L284"/>
    <mergeCell ref="C268:M268"/>
    <mergeCell ref="C270:C275"/>
    <mergeCell ref="D270:D272"/>
    <mergeCell ref="G270:L270"/>
    <mergeCell ref="M270:M275"/>
    <mergeCell ref="G271:L271"/>
    <mergeCell ref="G272:L272"/>
    <mergeCell ref="D273:D275"/>
    <mergeCell ref="G273:L273"/>
    <mergeCell ref="G274:L274"/>
    <mergeCell ref="E234:K234"/>
    <mergeCell ref="C236:M236"/>
    <mergeCell ref="D238:E238"/>
    <mergeCell ref="F238:G238"/>
    <mergeCell ref="H238:I238"/>
    <mergeCell ref="J238:K238"/>
    <mergeCell ref="L238:M238"/>
    <mergeCell ref="P180:Q180"/>
    <mergeCell ref="C206:Q206"/>
    <mergeCell ref="C207:Q207"/>
    <mergeCell ref="D208:E208"/>
    <mergeCell ref="F208:G208"/>
    <mergeCell ref="H208:I208"/>
    <mergeCell ref="J208:K208"/>
    <mergeCell ref="L208:M208"/>
    <mergeCell ref="N208:O208"/>
    <mergeCell ref="P208:Q208"/>
    <mergeCell ref="C175:M175"/>
    <mergeCell ref="E176:K176"/>
    <mergeCell ref="C178:Q178"/>
    <mergeCell ref="C179:Q179"/>
    <mergeCell ref="D180:E180"/>
    <mergeCell ref="F180:G180"/>
    <mergeCell ref="H180:I180"/>
    <mergeCell ref="J180:K180"/>
    <mergeCell ref="L180:M180"/>
    <mergeCell ref="N180:O180"/>
    <mergeCell ref="C143:M143"/>
    <mergeCell ref="G144:I144"/>
    <mergeCell ref="D146:E146"/>
    <mergeCell ref="F146:G146"/>
    <mergeCell ref="H146:I146"/>
    <mergeCell ref="J146:K146"/>
    <mergeCell ref="L146:M146"/>
    <mergeCell ref="C111:M111"/>
    <mergeCell ref="G112:I112"/>
    <mergeCell ref="D114:E114"/>
    <mergeCell ref="F114:G114"/>
    <mergeCell ref="H114:I114"/>
    <mergeCell ref="J114:K114"/>
    <mergeCell ref="L114:M114"/>
    <mergeCell ref="C100:M100"/>
    <mergeCell ref="C102:D106"/>
    <mergeCell ref="I102:I106"/>
    <mergeCell ref="M102:M106"/>
    <mergeCell ref="C108:M108"/>
    <mergeCell ref="E109:K109"/>
    <mergeCell ref="C86:D90"/>
    <mergeCell ref="I86:I90"/>
    <mergeCell ref="M86:M90"/>
    <mergeCell ref="C92:M92"/>
    <mergeCell ref="C94:D98"/>
    <mergeCell ref="I94:I98"/>
    <mergeCell ref="M94:M98"/>
    <mergeCell ref="I72:I74"/>
    <mergeCell ref="C76:M76"/>
    <mergeCell ref="C78:D82"/>
    <mergeCell ref="I78:I82"/>
    <mergeCell ref="M78:M82"/>
    <mergeCell ref="C84:M84"/>
    <mergeCell ref="C60:M60"/>
    <mergeCell ref="C62:D64"/>
    <mergeCell ref="I62:I64"/>
    <mergeCell ref="M62:M74"/>
    <mergeCell ref="C65:D65"/>
    <mergeCell ref="C66:D68"/>
    <mergeCell ref="I66:I68"/>
    <mergeCell ref="C69:D71"/>
    <mergeCell ref="I69:I71"/>
    <mergeCell ref="C72:D74"/>
    <mergeCell ref="I51:I53"/>
    <mergeCell ref="C54:M54"/>
    <mergeCell ref="E55:K55"/>
    <mergeCell ref="C56:G57"/>
    <mergeCell ref="I56:M57"/>
    <mergeCell ref="C58:D58"/>
    <mergeCell ref="C39:M39"/>
    <mergeCell ref="C41:D43"/>
    <mergeCell ref="I41:I43"/>
    <mergeCell ref="M41:M53"/>
    <mergeCell ref="C44:D44"/>
    <mergeCell ref="C45:D47"/>
    <mergeCell ref="I45:I47"/>
    <mergeCell ref="C48:D50"/>
    <mergeCell ref="I48:I50"/>
    <mergeCell ref="C51:D53"/>
    <mergeCell ref="C25:D27"/>
    <mergeCell ref="I25:I27"/>
    <mergeCell ref="M25:M37"/>
    <mergeCell ref="C28:D28"/>
    <mergeCell ref="C29:D31"/>
    <mergeCell ref="I29:I31"/>
    <mergeCell ref="C32:D34"/>
    <mergeCell ref="I32:I34"/>
    <mergeCell ref="C35:D37"/>
    <mergeCell ref="I35:I37"/>
    <mergeCell ref="I13:I15"/>
    <mergeCell ref="C16:D18"/>
    <mergeCell ref="I16:I18"/>
    <mergeCell ref="C19:D21"/>
    <mergeCell ref="I19:I21"/>
    <mergeCell ref="C23:M23"/>
    <mergeCell ref="E1:K1"/>
    <mergeCell ref="C2:G3"/>
    <mergeCell ref="I2:M3"/>
    <mergeCell ref="C5:D5"/>
    <mergeCell ref="C7:M7"/>
    <mergeCell ref="C9:D11"/>
    <mergeCell ref="I9:I11"/>
    <mergeCell ref="M9:M21"/>
    <mergeCell ref="C12:D12"/>
    <mergeCell ref="C13:D15"/>
  </mergeCells>
  <conditionalFormatting sqref="D182:D204 F182:F204 H182:H204 J182:J204 L182:L204 N182:N204 D210:D232 F210:F232 H210:H232 J210:J232 L210:L232 N210:N232 P182:P204 P210:P232 G9:G10 G12:G21 L9:L21 L25:L37 G28:G37 G41:G53 L41:L53 G62:G74 L62:L74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9:G10 G12:G21 L9:L21 G28:G37 L25:L37 G41:G53 L41:L53 G62:G74 L62:L74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10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10 G12:G21 G28:G37 G42:G53 G63:G74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G308:G309 L102:L106 G102:G106 L94:L98 G94:G98 L86:L90 G86:G90 L79:L82 G78:G8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G308:G309 L102:L106 G102:G106 L94:L98 G94:G98 L86:L90 G86:G90 L79:L82 G78:G8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25:G26">
    <cfRule type="cellIs" dxfId="71" priority="64" stopIfTrue="1" operator="greaterThan">
      <formula>0</formula>
    </cfRule>
    <cfRule type="cellIs" dxfId="70" priority="65" stopIfTrue="1" operator="lessThan">
      <formula>0</formula>
    </cfRule>
    <cfRule type="cellIs" dxfId="69" priority="66" stopIfTrue="1" operator="equal">
      <formula>0</formula>
    </cfRule>
  </conditionalFormatting>
  <conditionalFormatting sqref="G25:G26">
    <cfRule type="cellIs" dxfId="68" priority="61" operator="equal">
      <formula>0</formula>
    </cfRule>
    <cfRule type="cellIs" dxfId="67" priority="62" operator="lessThan">
      <formula>0</formula>
    </cfRule>
    <cfRule type="cellIs" dxfId="66" priority="63" operator="greaterThan">
      <formula>0</formula>
    </cfRule>
  </conditionalFormatting>
  <conditionalFormatting sqref="G11">
    <cfRule type="cellIs" dxfId="65" priority="70" stopIfTrue="1" operator="greaterThan">
      <formula>0</formula>
    </cfRule>
    <cfRule type="cellIs" dxfId="64" priority="71" stopIfTrue="1" operator="lessThan">
      <formula>0</formula>
    </cfRule>
    <cfRule type="cellIs" dxfId="63" priority="72" stopIfTrue="1" operator="equal">
      <formula>0</formula>
    </cfRule>
  </conditionalFormatting>
  <conditionalFormatting sqref="G11">
    <cfRule type="cellIs" dxfId="62" priority="67" operator="equal">
      <formula>0</formula>
    </cfRule>
    <cfRule type="cellIs" dxfId="61" priority="68" operator="lessThan">
      <formula>0</formula>
    </cfRule>
    <cfRule type="cellIs" dxfId="60" priority="69" operator="greaterThan">
      <formula>0</formula>
    </cfRule>
  </conditionalFormatting>
  <conditionalFormatting sqref="G26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26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27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27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E116:E141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E116:E141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116:G141 I116:I141 K116:K141 M116:M141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G116:G141 I116:I141 K116:K141 M116:M141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E148:E173">
    <cfRule type="cellIs" dxfId="35" priority="31" operator="equal">
      <formula>0</formula>
    </cfRule>
    <cfRule type="cellIs" dxfId="34" priority="32" operator="lessThan">
      <formula>0</formula>
    </cfRule>
    <cfRule type="cellIs" dxfId="33" priority="33" operator="greaterThan">
      <formula>0</formula>
    </cfRule>
  </conditionalFormatting>
  <conditionalFormatting sqref="E148:E173">
    <cfRule type="cellIs" dxfId="32" priority="34" stopIfTrue="1" operator="greaterThan">
      <formula>0</formula>
    </cfRule>
    <cfRule type="cellIs" dxfId="31" priority="35" stopIfTrue="1" operator="lessThan">
      <formula>0</formula>
    </cfRule>
    <cfRule type="cellIs" dxfId="30" priority="36" stopIfTrue="1" operator="equal">
      <formula>0</formula>
    </cfRule>
  </conditionalFormatting>
  <conditionalFormatting sqref="G148:G173 I148:I173 K148:K173 M148:M173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G148:G173 I148:I173 K148:K173 M148:M17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L78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78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91:G304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91:G304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79:G281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79:G281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82:G284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82:G284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5" fitToHeight="5" orientation="portrait" r:id="rId1"/>
  <headerFooter alignWithMargins="0">
    <oddFooter>&amp;R&amp;P</oddFooter>
  </headerFooter>
  <rowBreaks count="4" manualBreakCount="4">
    <brk id="54" min="2" max="12" man="1"/>
    <brk id="107" min="2" max="12" man="1"/>
    <brk id="173" min="2" max="12" man="1"/>
    <brk id="285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2018-04-30T12:38:00+00:00</PublishingStartDate>
    <_dlc_DocId xmlns="8b099203-c902-4a5b-992f-1f849b15ff82">Q5F7QW3RQ55V-2035-380</_dlc_DocId>
    <_dlc_DocIdUrl xmlns="8b099203-c902-4a5b-992f-1f849b15ff82">
      <Url>http://admin.webtenerife.com/es/investigacion/Situacion-turistica/indicadores-turisticos/_layouts/DocIdRedir.aspx?ID=Q5F7QW3RQ55V-2035-380</Url>
      <Description>Q5F7QW3RQ55V-2035-380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3CFC7-7CA9-4ED5-9253-9A017CCE9358}"/>
</file>

<file path=customXml/itemProps2.xml><?xml version="1.0" encoding="utf-8"?>
<ds:datastoreItem xmlns:ds="http://schemas.openxmlformats.org/officeDocument/2006/customXml" ds:itemID="{77A70175-ACFA-4CBF-B7F7-A9084AF65F54}"/>
</file>

<file path=customXml/itemProps3.xml><?xml version="1.0" encoding="utf-8"?>
<ds:datastoreItem xmlns:ds="http://schemas.openxmlformats.org/officeDocument/2006/customXml" ds:itemID="{B802C5CF-4853-478E-A0F1-F81583ECB2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invierno</vt:lpstr>
      <vt:lpstr>'Ind turísticos invierno'!Área_de_impresión</vt:lpstr>
      <vt:lpstr>'Ind turísticos invierno'!Print_Area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(marzo 2018 e invierno 17/18)</dc:title>
  <dc:creator>Marjorie Perez Garcia</dc:creator>
  <cp:lastModifiedBy>Marjorie Perez Garcia</cp:lastModifiedBy>
  <dcterms:created xsi:type="dcterms:W3CDTF">2018-04-23T10:35:15Z</dcterms:created>
  <dcterms:modified xsi:type="dcterms:W3CDTF">2018-04-23T10:45:08Z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5cc5a029-044f-415e-afa5-c764953c26f8</vt:lpwstr>
  </property>
</Properties>
</file>