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DE TENERIFE/2022/"/>
    </mc:Choice>
  </mc:AlternateContent>
  <xr:revisionPtr revIDLastSave="1" documentId="8_{4446F66E-6D3F-411B-9BD0-13DE4CF5E7C0}" xr6:coauthVersionLast="47" xr6:coauthVersionMax="47" xr10:uidLastSave="{77FC661F-99C0-4040-91C4-9E468E0A1BBE}"/>
  <bookViews>
    <workbookView xWindow="-120" yWindow="-120" windowWidth="29040" windowHeight="15720" xr2:uid="{701BF23A-2271-438E-86CF-508FB3321B8B}"/>
  </bookViews>
  <sheets>
    <sheet name="abril 2022" sheetId="1" r:id="rId1"/>
  </sheets>
  <externalReferences>
    <externalReference r:id="rId2"/>
  </externalReferences>
  <definedNames>
    <definedName name="_xlnm.Print_Area" localSheetId="0">'abril 2022'!$C$1:$M$324</definedName>
    <definedName name="imagen100">OFFSET('[1]para grafico de camas'!$A$10,'[1]para grafico de camas'!$K$1-1,0)</definedName>
    <definedName name="imagen110">OFFSET('[1]para grafico de camas'!$A$10,'[1]para grafico de camas'!$B$1-1,0)</definedName>
    <definedName name="imagen120">OFFSET('[1]para grafico de camas'!$A$10,'[1]para grafico de camas'!$C$1-1,0)</definedName>
    <definedName name="imagen130">OFFSET('[1]para grafico de camas'!$A$10,'[1]para grafico de camas'!$D$1-1,0)</definedName>
    <definedName name="imagen140">OFFSET('[1]para grafico de camas'!$A$10,'[1]para grafico de camas'!$E$1-1,0)</definedName>
    <definedName name="imagen150">OFFSET('[1]para grafico de camas'!$A$10,'[1]para grafico de camas'!$F$1-1,0)</definedName>
    <definedName name="imagen160">OFFSET('[1]para grafico de camas'!$A$10,'[1]para grafico de camas'!$G$1-1,0)</definedName>
    <definedName name="imagen170">OFFSET('[1]para grafico de camas'!$A$10,'[1]para grafico de camas'!$H$1-1,0)</definedName>
    <definedName name="imagen180">OFFSET('[1]para grafico de camas'!$A$10,'[1]para grafico de camas'!$I$1-1,0)</definedName>
    <definedName name="imagen190">OFFSET('[1]para grafico de camas'!$A$10,'[1]para grafico de camas'!$J$1-1,0)</definedName>
    <definedName name="imagen200">OFFSET('[1]para grafico de camas'!$A$10,'[1]para grafico de camas'!$K$2-1,0)</definedName>
    <definedName name="imagen210">OFFSET('[1]para grafico de camas'!$A$10,'[1]para grafico de camas'!$B$2-1,0)</definedName>
    <definedName name="imagen220">OFFSET('[1]para grafico de camas'!$A$10,'[1]para grafico de camas'!$C$2-1,0)</definedName>
    <definedName name="imagen230">OFFSET('[1]para grafico de camas'!$A$10,'[1]para grafico de camas'!$D$2-1,0)</definedName>
    <definedName name="imagen240">OFFSET('[1]para grafico de camas'!$A$10,'[1]para grafico de camas'!$E$2-1,0)</definedName>
    <definedName name="imagen250">OFFSET('[1]para grafico de camas'!$A$10,'[1]para grafico de camas'!$F$2-1,0)</definedName>
    <definedName name="imagen260">OFFSET('[1]para grafico de camas'!$A$10,'[1]para grafico de camas'!$G$2-1,0)</definedName>
    <definedName name="imagen270">OFFSET('[1]para grafico de camas'!$A$10,'[1]para grafico de camas'!$H$2-1,0)</definedName>
    <definedName name="imagen280">OFFSET('[1]para grafico de camas'!$A$10,'[1]para grafico de camas'!$I$2-1,0)</definedName>
    <definedName name="imagen290">OFFSET('[1]para grafico de camas'!$A$10,'[1]para grafico de camas'!$J$2-1,0)</definedName>
    <definedName name="imagen300">OFFSET('[1]para grafico de camas'!$A$10,'[1]para grafico de camas'!$K$3-1,0)</definedName>
    <definedName name="imagen310">OFFSET('[1]para grafico de camas'!$A$10,'[1]para grafico de camas'!$B$3-1,0)</definedName>
    <definedName name="imagen320">OFFSET('[1]para grafico de camas'!$A$10,'[1]para grafico de camas'!$C$3-1,0)</definedName>
    <definedName name="imagen330">OFFSET('[1]para grafico de camas'!$A$10,'[1]para grafico de camas'!$D$3-1,0)</definedName>
    <definedName name="imagen340">OFFSET('[1]para grafico de camas'!$A$10,'[1]para grafico de camas'!$E$3-1,0)</definedName>
    <definedName name="imagen350">OFFSET('[1]para grafico de camas'!$A$10,'[1]para grafico de camas'!$F$3-1,0)</definedName>
    <definedName name="imagen360">OFFSET('[1]para grafico de camas'!$A$10,'[1]para grafico de camas'!$G$3-1,0)</definedName>
    <definedName name="imagen370">OFFSET('[1]para grafico de camas'!$A$10,'[1]para grafico de camas'!$H$3-1,0)</definedName>
    <definedName name="imagen380">OFFSET('[1]para grafico de camas'!$A$10,'[1]para grafico de camas'!$I$3-1,0)</definedName>
    <definedName name="imagen390">OFFSET('[1]para grafico de camas'!$A$10,'[1]para grafico de camas'!$J$3-1,0)</definedName>
    <definedName name="imagen400">OFFSET('[1]para grafico de camas'!$A$10,'[1]para grafico de camas'!$K$4-1,0)</definedName>
    <definedName name="imagen410">OFFSET('[1]para grafico de camas'!$A$10,'[1]para grafico de camas'!$B$4-1,0)</definedName>
    <definedName name="imagen420">OFFSET('[1]para grafico de camas'!$A$10,'[1]para grafico de camas'!$C$4-1,0)</definedName>
    <definedName name="imagen430">OFFSET('[1]para grafico de camas'!$A$10,'[1]para grafico de camas'!$D$4-1,0)</definedName>
    <definedName name="imagen440">OFFSET('[1]para grafico de camas'!$A$10,'[1]para grafico de camas'!$E$4-1,0)</definedName>
    <definedName name="imagen450">OFFSET('[1]para grafico de camas'!$A$10,'[1]para grafico de camas'!$F$4-1,0)</definedName>
    <definedName name="imagen460">OFFSET('[1]para grafico de camas'!$A$10,'[1]para grafico de camas'!$G$4-1,0)</definedName>
    <definedName name="imagen470">OFFSET('[1]para grafico de camas'!$A$10,'[1]para grafico de camas'!$H$4-1,0)</definedName>
    <definedName name="imagen480">OFFSET('[1]para grafico de camas'!$A$10,'[1]para grafico de camas'!$I$4-1,0)</definedName>
    <definedName name="imagen490">OFFSET('[1]para grafico de camas'!$A$10,'[1]para grafico de camas'!$J$4-1,0)</definedName>
    <definedName name="imagen500">OFFSET('[1]para grafico de camas'!$A$10,'[1]para grafico de camas'!$K$5-1,0)</definedName>
    <definedName name="imagen510">OFFSET('[1]para grafico de camas'!$A$10,'[1]para grafico de camas'!$B$5-1,0)</definedName>
    <definedName name="imagen520">OFFSET('[1]para grafico de camas'!$A$10,'[1]para grafico de camas'!$C$5-1,0)</definedName>
    <definedName name="imagen530">OFFSET('[1]para grafico de camas'!$A$10,'[1]para grafico de camas'!$D$5-1,0)</definedName>
    <definedName name="imagen540">OFFSET('[1]para grafico de camas'!$A$10,'[1]para grafico de camas'!$E$5-1,0)</definedName>
    <definedName name="imagen550">OFFSET('[1]para grafico de camas'!$A$10,'[1]para grafico de camas'!$F$5-1,0)</definedName>
    <definedName name="imagen560">OFFSET('[1]para grafico de camas'!$A$10,'[1]para grafico de camas'!$G$5-1,0)</definedName>
    <definedName name="imagen570">OFFSET('[1]para grafico de camas'!$A$10,'[1]para grafico de camas'!$H$5-1,0)</definedName>
    <definedName name="imagen580">OFFSET('[1]para grafico de camas'!$A$10,'[1]para grafico de camas'!$I$5-1,0)</definedName>
    <definedName name="imagen590">OFFSET('[1]para grafico de camas'!$A$10,'[1]para grafico de camas'!$J$5-1,0)</definedName>
    <definedName name="imagen600">OFFSET('[1]para grafico de camas'!$A$10,'[1]para grafico de camas'!$K$6-1,0)</definedName>
    <definedName name="imagen610">OFFSET('[1]para grafico de camas'!$A$10,'[1]para grafico de camas'!$B$6-1,0)</definedName>
    <definedName name="imagen620">OFFSET('[1]para grafico de camas'!$A$10,'[1]para grafico de camas'!$C$6-1,0)</definedName>
    <definedName name="imagen630">OFFSET('[1]para grafico de camas'!$A$10,'[1]para grafico de camas'!$D$6-1,0)</definedName>
    <definedName name="imagen640">OFFSET('[1]para grafico de camas'!$A$10,'[1]para grafico de camas'!$E$6-1,0)</definedName>
    <definedName name="imagen650">OFFSET('[1]para grafico de camas'!$A$10,'[1]para grafico de camas'!$F$6-1,0)</definedName>
    <definedName name="imagen660">OFFSET('[1]para grafico de camas'!$A$10,'[1]para grafico de camas'!$G$6-1,0)</definedName>
    <definedName name="imagen670">OFFSET('[1]para grafico de camas'!$A$10,'[1]para grafico de camas'!$H$6-1,0)</definedName>
    <definedName name="imagen680">OFFSET('[1]para grafico de camas'!$A$10,'[1]para grafico de camas'!$I$6-1,0)</definedName>
    <definedName name="imagen690">OFFSET('[1]para grafico de camas'!$A$10,'[1]para grafico de camas'!$J$6-1,0)</definedName>
    <definedName name="Print_Area" localSheetId="0">'abril 2022'!$C$1:$M$326</definedName>
    <definedName name="Z_B161D6A3_44F3_469D_B50D_76D907B3525C_.wvu.Cols" localSheetId="0" hidden="1">'abril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7" i="1" l="1"/>
  <c r="Q240" i="1"/>
  <c r="P240" i="1"/>
  <c r="O240" i="1"/>
  <c r="N240" i="1"/>
  <c r="M240" i="1"/>
  <c r="L240" i="1"/>
  <c r="K240" i="1"/>
  <c r="J240" i="1"/>
  <c r="I240" i="1"/>
  <c r="H240" i="1"/>
  <c r="F240" i="1"/>
  <c r="E240" i="1"/>
  <c r="D240" i="1"/>
  <c r="Q239" i="1"/>
  <c r="P239" i="1"/>
  <c r="O239" i="1"/>
  <c r="N239" i="1"/>
  <c r="M239" i="1"/>
  <c r="L239" i="1"/>
  <c r="K239" i="1"/>
  <c r="J239" i="1"/>
  <c r="I239" i="1"/>
  <c r="H239" i="1"/>
  <c r="F239" i="1"/>
  <c r="E239" i="1"/>
  <c r="D239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Q237" i="1"/>
  <c r="P237" i="1"/>
  <c r="O237" i="1"/>
  <c r="N237" i="1"/>
  <c r="M237" i="1"/>
  <c r="L237" i="1"/>
  <c r="K237" i="1"/>
  <c r="J237" i="1"/>
  <c r="I237" i="1"/>
  <c r="H237" i="1"/>
  <c r="F237" i="1"/>
  <c r="E237" i="1"/>
  <c r="D237" i="1"/>
  <c r="Q236" i="1"/>
  <c r="P236" i="1"/>
  <c r="O236" i="1"/>
  <c r="N236" i="1"/>
  <c r="M236" i="1"/>
  <c r="L236" i="1"/>
  <c r="K236" i="1"/>
  <c r="J236" i="1"/>
  <c r="I236" i="1"/>
  <c r="H236" i="1"/>
  <c r="F236" i="1"/>
  <c r="E236" i="1"/>
  <c r="D236" i="1"/>
  <c r="Q235" i="1"/>
  <c r="P235" i="1"/>
  <c r="O235" i="1"/>
  <c r="N235" i="1"/>
  <c r="M235" i="1"/>
  <c r="L235" i="1"/>
  <c r="K235" i="1"/>
  <c r="J235" i="1"/>
  <c r="I235" i="1"/>
  <c r="H235" i="1"/>
  <c r="F235" i="1"/>
  <c r="E235" i="1"/>
  <c r="D235" i="1"/>
  <c r="Q234" i="1"/>
  <c r="P234" i="1"/>
  <c r="O234" i="1"/>
  <c r="N234" i="1"/>
  <c r="M234" i="1"/>
  <c r="L234" i="1"/>
  <c r="K234" i="1"/>
  <c r="J234" i="1"/>
  <c r="I234" i="1"/>
  <c r="H234" i="1"/>
  <c r="F234" i="1"/>
  <c r="E234" i="1"/>
  <c r="D234" i="1"/>
  <c r="Q233" i="1"/>
  <c r="P233" i="1"/>
  <c r="O233" i="1"/>
  <c r="N233" i="1"/>
  <c r="M233" i="1"/>
  <c r="L233" i="1"/>
  <c r="K233" i="1"/>
  <c r="J233" i="1"/>
  <c r="I233" i="1"/>
  <c r="H233" i="1"/>
  <c r="F233" i="1"/>
  <c r="E233" i="1"/>
  <c r="D233" i="1"/>
  <c r="Q232" i="1"/>
  <c r="P232" i="1"/>
  <c r="O232" i="1"/>
  <c r="N232" i="1"/>
  <c r="M232" i="1"/>
  <c r="L232" i="1"/>
  <c r="K232" i="1"/>
  <c r="J232" i="1"/>
  <c r="I232" i="1"/>
  <c r="H232" i="1"/>
  <c r="F232" i="1"/>
  <c r="E232" i="1"/>
  <c r="D232" i="1"/>
  <c r="Q231" i="1"/>
  <c r="P231" i="1"/>
  <c r="O231" i="1"/>
  <c r="N231" i="1"/>
  <c r="M231" i="1"/>
  <c r="L231" i="1"/>
  <c r="K231" i="1"/>
  <c r="J231" i="1"/>
  <c r="I231" i="1"/>
  <c r="H231" i="1"/>
  <c r="F231" i="1"/>
  <c r="E231" i="1"/>
  <c r="D231" i="1"/>
  <c r="Q230" i="1"/>
  <c r="P230" i="1"/>
  <c r="O230" i="1"/>
  <c r="N230" i="1"/>
  <c r="M230" i="1"/>
  <c r="K230" i="1"/>
  <c r="J230" i="1"/>
  <c r="I230" i="1"/>
  <c r="H230" i="1"/>
  <c r="F230" i="1"/>
  <c r="E230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D228" i="1"/>
  <c r="Q227" i="1"/>
  <c r="P227" i="1"/>
  <c r="O227" i="1"/>
  <c r="N227" i="1"/>
  <c r="M227" i="1"/>
  <c r="L227" i="1"/>
  <c r="K227" i="1"/>
  <c r="J227" i="1"/>
  <c r="I227" i="1"/>
  <c r="H227" i="1"/>
  <c r="F227" i="1"/>
  <c r="E227" i="1"/>
  <c r="D227" i="1"/>
  <c r="Q226" i="1"/>
  <c r="P226" i="1"/>
  <c r="O226" i="1"/>
  <c r="N226" i="1"/>
  <c r="M226" i="1"/>
  <c r="L226" i="1"/>
  <c r="K226" i="1"/>
  <c r="J226" i="1"/>
  <c r="I226" i="1"/>
  <c r="H226" i="1"/>
  <c r="F226" i="1"/>
  <c r="E226" i="1"/>
  <c r="D226" i="1"/>
  <c r="Q225" i="1"/>
  <c r="P225" i="1"/>
  <c r="O225" i="1"/>
  <c r="N225" i="1"/>
  <c r="M225" i="1"/>
  <c r="L225" i="1"/>
  <c r="K225" i="1"/>
  <c r="J225" i="1"/>
  <c r="I225" i="1"/>
  <c r="H225" i="1"/>
  <c r="F225" i="1"/>
  <c r="E225" i="1"/>
  <c r="D225" i="1"/>
  <c r="Q224" i="1"/>
  <c r="P224" i="1"/>
  <c r="O224" i="1"/>
  <c r="N224" i="1"/>
  <c r="M224" i="1"/>
  <c r="L224" i="1"/>
  <c r="K224" i="1"/>
  <c r="J224" i="1"/>
  <c r="I224" i="1"/>
  <c r="H224" i="1"/>
  <c r="F224" i="1"/>
  <c r="E224" i="1"/>
  <c r="D224" i="1"/>
  <c r="Q223" i="1"/>
  <c r="P223" i="1"/>
  <c r="O223" i="1"/>
  <c r="N223" i="1"/>
  <c r="M223" i="1"/>
  <c r="L223" i="1"/>
  <c r="K223" i="1"/>
  <c r="J223" i="1"/>
  <c r="I223" i="1"/>
  <c r="H223" i="1"/>
  <c r="F223" i="1"/>
  <c r="E223" i="1"/>
  <c r="D223" i="1"/>
  <c r="Q222" i="1"/>
  <c r="P222" i="1"/>
  <c r="O222" i="1"/>
  <c r="N222" i="1"/>
  <c r="M222" i="1"/>
  <c r="L222" i="1"/>
  <c r="K222" i="1"/>
  <c r="J222" i="1"/>
  <c r="I222" i="1"/>
  <c r="H222" i="1"/>
  <c r="F222" i="1"/>
  <c r="E222" i="1"/>
  <c r="D222" i="1"/>
  <c r="Q221" i="1"/>
  <c r="P221" i="1"/>
  <c r="O221" i="1"/>
  <c r="N221" i="1"/>
  <c r="M221" i="1"/>
  <c r="L221" i="1"/>
  <c r="K221" i="1"/>
  <c r="J221" i="1"/>
  <c r="I221" i="1"/>
  <c r="H221" i="1"/>
  <c r="F221" i="1"/>
  <c r="E221" i="1"/>
  <c r="D221" i="1"/>
  <c r="Q220" i="1"/>
  <c r="P220" i="1"/>
  <c r="O220" i="1"/>
  <c r="N220" i="1"/>
  <c r="M220" i="1"/>
  <c r="L220" i="1"/>
  <c r="K220" i="1"/>
  <c r="J220" i="1"/>
  <c r="I220" i="1"/>
  <c r="H220" i="1"/>
  <c r="F220" i="1"/>
  <c r="E220" i="1"/>
  <c r="D220" i="1"/>
  <c r="Q219" i="1"/>
  <c r="P219" i="1"/>
  <c r="O219" i="1"/>
  <c r="N219" i="1"/>
  <c r="M219" i="1"/>
  <c r="L219" i="1"/>
  <c r="K219" i="1"/>
  <c r="J219" i="1"/>
  <c r="I219" i="1"/>
  <c r="H219" i="1"/>
  <c r="F219" i="1"/>
  <c r="E219" i="1"/>
  <c r="D219" i="1"/>
  <c r="Q218" i="1"/>
  <c r="P218" i="1"/>
  <c r="O218" i="1"/>
  <c r="N218" i="1"/>
  <c r="M218" i="1"/>
  <c r="L218" i="1"/>
  <c r="K218" i="1"/>
  <c r="J218" i="1"/>
  <c r="I218" i="1"/>
  <c r="H218" i="1"/>
  <c r="F218" i="1"/>
  <c r="E218" i="1"/>
  <c r="D218" i="1"/>
  <c r="Q212" i="1"/>
  <c r="P212" i="1"/>
  <c r="O212" i="1"/>
  <c r="N212" i="1"/>
  <c r="M212" i="1"/>
  <c r="L212" i="1"/>
  <c r="K212" i="1"/>
  <c r="J212" i="1"/>
  <c r="I212" i="1"/>
  <c r="H212" i="1"/>
  <c r="F212" i="1"/>
  <c r="E212" i="1"/>
  <c r="D212" i="1"/>
  <c r="Q211" i="1"/>
  <c r="P211" i="1"/>
  <c r="O211" i="1"/>
  <c r="N211" i="1"/>
  <c r="M211" i="1"/>
  <c r="L211" i="1"/>
  <c r="K211" i="1"/>
  <c r="J211" i="1"/>
  <c r="I211" i="1"/>
  <c r="H211" i="1"/>
  <c r="F211" i="1"/>
  <c r="E211" i="1"/>
  <c r="D211" i="1"/>
  <c r="Q210" i="1"/>
  <c r="P210" i="1"/>
  <c r="O210" i="1"/>
  <c r="N210" i="1"/>
  <c r="M210" i="1"/>
  <c r="L210" i="1"/>
  <c r="K210" i="1"/>
  <c r="J210" i="1"/>
  <c r="I210" i="1"/>
  <c r="H210" i="1"/>
  <c r="F210" i="1"/>
  <c r="E210" i="1"/>
  <c r="D210" i="1"/>
  <c r="Q209" i="1"/>
  <c r="P209" i="1"/>
  <c r="O209" i="1"/>
  <c r="N209" i="1"/>
  <c r="M209" i="1"/>
  <c r="L209" i="1"/>
  <c r="K209" i="1"/>
  <c r="J209" i="1"/>
  <c r="I209" i="1"/>
  <c r="H209" i="1"/>
  <c r="F209" i="1"/>
  <c r="E209" i="1"/>
  <c r="D209" i="1"/>
  <c r="Q208" i="1"/>
  <c r="P208" i="1"/>
  <c r="O208" i="1"/>
  <c r="N208" i="1"/>
  <c r="M208" i="1"/>
  <c r="L208" i="1"/>
  <c r="K208" i="1"/>
  <c r="J208" i="1"/>
  <c r="I208" i="1"/>
  <c r="H208" i="1"/>
  <c r="F208" i="1"/>
  <c r="E208" i="1"/>
  <c r="D208" i="1"/>
  <c r="Q207" i="1"/>
  <c r="P207" i="1"/>
  <c r="O207" i="1"/>
  <c r="N207" i="1"/>
  <c r="M207" i="1"/>
  <c r="L207" i="1"/>
  <c r="K207" i="1"/>
  <c r="J207" i="1"/>
  <c r="I207" i="1"/>
  <c r="H207" i="1"/>
  <c r="F207" i="1"/>
  <c r="E207" i="1"/>
  <c r="D207" i="1"/>
  <c r="Q206" i="1"/>
  <c r="P206" i="1"/>
  <c r="O206" i="1"/>
  <c r="N206" i="1"/>
  <c r="M206" i="1"/>
  <c r="L206" i="1"/>
  <c r="K206" i="1"/>
  <c r="J206" i="1"/>
  <c r="I206" i="1"/>
  <c r="H206" i="1"/>
  <c r="F206" i="1"/>
  <c r="E206" i="1"/>
  <c r="D206" i="1"/>
  <c r="Q205" i="1"/>
  <c r="P205" i="1"/>
  <c r="O205" i="1"/>
  <c r="N205" i="1"/>
  <c r="M205" i="1"/>
  <c r="L205" i="1"/>
  <c r="K205" i="1"/>
  <c r="J205" i="1"/>
  <c r="I205" i="1"/>
  <c r="H205" i="1"/>
  <c r="F205" i="1"/>
  <c r="E205" i="1"/>
  <c r="D205" i="1"/>
  <c r="Q204" i="1"/>
  <c r="P204" i="1"/>
  <c r="O204" i="1"/>
  <c r="N204" i="1"/>
  <c r="M204" i="1"/>
  <c r="L204" i="1"/>
  <c r="K204" i="1"/>
  <c r="J204" i="1"/>
  <c r="I204" i="1"/>
  <c r="H204" i="1"/>
  <c r="F204" i="1"/>
  <c r="E204" i="1"/>
  <c r="D204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Q202" i="1"/>
  <c r="P202" i="1"/>
  <c r="O202" i="1"/>
  <c r="N202" i="1"/>
  <c r="M202" i="1"/>
  <c r="K202" i="1"/>
  <c r="J202" i="1"/>
  <c r="I202" i="1"/>
  <c r="H202" i="1"/>
  <c r="F202" i="1"/>
  <c r="E202" i="1"/>
  <c r="Q201" i="1"/>
  <c r="P201" i="1"/>
  <c r="O201" i="1"/>
  <c r="N201" i="1"/>
  <c r="M201" i="1"/>
  <c r="L201" i="1"/>
  <c r="K201" i="1"/>
  <c r="J201" i="1"/>
  <c r="I201" i="1"/>
  <c r="H201" i="1"/>
  <c r="F201" i="1"/>
  <c r="E201" i="1"/>
  <c r="D201" i="1"/>
  <c r="Q200" i="1"/>
  <c r="P200" i="1"/>
  <c r="O200" i="1"/>
  <c r="N200" i="1"/>
  <c r="M200" i="1"/>
  <c r="L200" i="1"/>
  <c r="K200" i="1"/>
  <c r="J200" i="1"/>
  <c r="I200" i="1"/>
  <c r="H200" i="1"/>
  <c r="F200" i="1"/>
  <c r="E200" i="1"/>
  <c r="D200" i="1"/>
  <c r="Q199" i="1"/>
  <c r="P199" i="1"/>
  <c r="O199" i="1"/>
  <c r="N199" i="1"/>
  <c r="M199" i="1"/>
  <c r="L199" i="1"/>
  <c r="K199" i="1"/>
  <c r="J199" i="1"/>
  <c r="I199" i="1"/>
  <c r="H199" i="1"/>
  <c r="F199" i="1"/>
  <c r="E199" i="1"/>
  <c r="D199" i="1"/>
  <c r="Q198" i="1"/>
  <c r="P198" i="1"/>
  <c r="O198" i="1"/>
  <c r="N198" i="1"/>
  <c r="M198" i="1"/>
  <c r="L198" i="1"/>
  <c r="K198" i="1"/>
  <c r="J198" i="1"/>
  <c r="I198" i="1"/>
  <c r="H198" i="1"/>
  <c r="F198" i="1"/>
  <c r="E198" i="1"/>
  <c r="D198" i="1"/>
  <c r="Q197" i="1"/>
  <c r="P197" i="1"/>
  <c r="O197" i="1"/>
  <c r="N197" i="1"/>
  <c r="M197" i="1"/>
  <c r="L197" i="1"/>
  <c r="K197" i="1"/>
  <c r="J197" i="1"/>
  <c r="I197" i="1"/>
  <c r="H197" i="1"/>
  <c r="F197" i="1"/>
  <c r="E197" i="1"/>
  <c r="D197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Q195" i="1"/>
  <c r="P195" i="1"/>
  <c r="O195" i="1"/>
  <c r="N195" i="1"/>
  <c r="M195" i="1"/>
  <c r="L195" i="1"/>
  <c r="K195" i="1"/>
  <c r="J195" i="1"/>
  <c r="I195" i="1"/>
  <c r="H195" i="1"/>
  <c r="F195" i="1"/>
  <c r="E195" i="1"/>
  <c r="D195" i="1"/>
  <c r="Q194" i="1"/>
  <c r="P194" i="1"/>
  <c r="O194" i="1"/>
  <c r="N194" i="1"/>
  <c r="M194" i="1"/>
  <c r="L194" i="1"/>
  <c r="K194" i="1"/>
  <c r="J194" i="1"/>
  <c r="I194" i="1"/>
  <c r="H194" i="1"/>
  <c r="F194" i="1"/>
  <c r="E194" i="1"/>
  <c r="D194" i="1"/>
  <c r="Q193" i="1"/>
  <c r="P193" i="1"/>
  <c r="O193" i="1"/>
  <c r="N193" i="1"/>
  <c r="M193" i="1"/>
  <c r="L193" i="1"/>
  <c r="K193" i="1"/>
  <c r="J193" i="1"/>
  <c r="I193" i="1"/>
  <c r="H193" i="1"/>
  <c r="F193" i="1"/>
  <c r="E193" i="1"/>
  <c r="D193" i="1"/>
  <c r="Q192" i="1"/>
  <c r="P192" i="1"/>
  <c r="O192" i="1"/>
  <c r="N192" i="1"/>
  <c r="M192" i="1"/>
  <c r="L192" i="1"/>
  <c r="K192" i="1"/>
  <c r="J192" i="1"/>
  <c r="I192" i="1"/>
  <c r="H192" i="1"/>
  <c r="F192" i="1"/>
  <c r="E192" i="1"/>
  <c r="D192" i="1"/>
  <c r="Q191" i="1"/>
  <c r="P191" i="1"/>
  <c r="O191" i="1"/>
  <c r="N191" i="1"/>
  <c r="M191" i="1"/>
  <c r="L191" i="1"/>
  <c r="K191" i="1"/>
  <c r="J191" i="1"/>
  <c r="I191" i="1"/>
  <c r="H191" i="1"/>
  <c r="F191" i="1"/>
  <c r="E191" i="1"/>
  <c r="D191" i="1"/>
  <c r="Q190" i="1"/>
  <c r="P190" i="1"/>
  <c r="O190" i="1"/>
  <c r="N190" i="1"/>
  <c r="M190" i="1"/>
  <c r="L190" i="1"/>
  <c r="K190" i="1"/>
  <c r="J190" i="1"/>
  <c r="I190" i="1"/>
  <c r="H190" i="1"/>
  <c r="F190" i="1"/>
  <c r="E190" i="1"/>
  <c r="D190" i="1"/>
  <c r="C187" i="1"/>
  <c r="M64" i="1"/>
  <c r="L64" i="1"/>
  <c r="K64" i="1"/>
  <c r="J64" i="1"/>
  <c r="I64" i="1"/>
  <c r="G64" i="1"/>
  <c r="F64" i="1"/>
  <c r="E64" i="1"/>
  <c r="C64" i="1"/>
  <c r="C215" i="1"/>
  <c r="I314" i="1" l="1"/>
  <c r="I312" i="1"/>
  <c r="I304" i="1"/>
  <c r="I309" i="1"/>
  <c r="I307" i="1"/>
  <c r="I306" i="1"/>
  <c r="I315" i="1"/>
  <c r="I313" i="1"/>
  <c r="I62" i="1"/>
  <c r="E117" i="1"/>
  <c r="E242" i="1"/>
  <c r="E299" i="1" s="1"/>
  <c r="E184" i="1"/>
</calcChain>
</file>

<file path=xl/sharedStrings.xml><?xml version="1.0" encoding="utf-8"?>
<sst xmlns="http://schemas.openxmlformats.org/spreadsheetml/2006/main" count="581" uniqueCount="114">
  <si>
    <t>Ámbito</t>
  </si>
  <si>
    <t>Variable</t>
  </si>
  <si>
    <t>Valor absoluto
mensual</t>
  </si>
  <si>
    <t>Variación respecto al año anterior</t>
  </si>
  <si>
    <t>Valor absoluto
acumulado</t>
  </si>
  <si>
    <t>Fuente</t>
  </si>
  <si>
    <t>TURISTAS ALOJADOS</t>
  </si>
  <si>
    <t>TENERIFE</t>
  </si>
  <si>
    <t>Total</t>
  </si>
  <si>
    <t>Desarrollo Económico - Cabildo de Tenerife</t>
  </si>
  <si>
    <t>Hotelero</t>
  </si>
  <si>
    <t>Extrahotelero</t>
  </si>
  <si>
    <t>ZONA 1
Santa Cruz</t>
  </si>
  <si>
    <t>ZONA 2
La Laguna-Bajamar-La Punta</t>
  </si>
  <si>
    <t>ZONA 3
Norte</t>
  </si>
  <si>
    <t>ZONA 4
Sur</t>
  </si>
  <si>
    <t>PERNOCTACIONES</t>
  </si>
  <si>
    <t>ESTANCIAS MEDIAS</t>
  </si>
  <si>
    <t>INDICES DE OCUPACIÓN</t>
  </si>
  <si>
    <t>TURISTAS ALOJADOS POR CATEGORÍAS ALOJATIVAS</t>
  </si>
  <si>
    <t>5*</t>
  </si>
  <si>
    <t>4*</t>
  </si>
  <si>
    <t>3*</t>
  </si>
  <si>
    <t>2*</t>
  </si>
  <si>
    <t>1*</t>
  </si>
  <si>
    <t>PERNOCTACIONES POR CATEGORÍAS ALOJATIVAS</t>
  </si>
  <si>
    <t>ESTANCIAS MEDIAS POR CATEGORÍAS ALOJATIVAS</t>
  </si>
  <si>
    <t>ÍNDICES DE OCUPACIÓN POR CATEGORÍAS ALOJATIVAS</t>
  </si>
  <si>
    <t>Nº DE TURISTAS ALOJADOS POR  NACIONALIDAD Y VARIACIÓN DE LA AFLUENCIA  
RESPECTO AL AÑO ANTERIOR SEGÚN  ZONAS</t>
  </si>
  <si>
    <t>ZONA 1 Santa Cruz</t>
  </si>
  <si>
    <t>ZONA 2 La Laguna-Bajamar-La Punta</t>
  </si>
  <si>
    <t>ZONA 3 Norte</t>
  </si>
  <si>
    <t>ZONA 4 Sur</t>
  </si>
  <si>
    <t>Alojados
mes</t>
  </si>
  <si>
    <t>var
interanual</t>
  </si>
  <si>
    <t>España</t>
  </si>
  <si>
    <t>Res. Tenerife</t>
  </si>
  <si>
    <t>-</t>
  </si>
  <si>
    <t>Res. Otras Islas canarias</t>
  </si>
  <si>
    <t>Res. Península</t>
  </si>
  <si>
    <t>Holanda</t>
  </si>
  <si>
    <t>Bélgica</t>
  </si>
  <si>
    <t>Alemania</t>
  </si>
  <si>
    <t>Francia</t>
  </si>
  <si>
    <t>Reino Unido</t>
  </si>
  <si>
    <t>Irlanda</t>
  </si>
  <si>
    <t>Italia</t>
  </si>
  <si>
    <t>Países Nórdicos</t>
  </si>
  <si>
    <t>Suecia</t>
  </si>
  <si>
    <t>Noruega</t>
  </si>
  <si>
    <t>Dinamarca</t>
  </si>
  <si>
    <t>Finlandia</t>
  </si>
  <si>
    <t>Suiza</t>
  </si>
  <si>
    <t>Austria</t>
  </si>
  <si>
    <t>Rusia</t>
  </si>
  <si>
    <t>Países del Este</t>
  </si>
  <si>
    <t>Resto de Europa</t>
  </si>
  <si>
    <t>Usa</t>
  </si>
  <si>
    <t>Resto de América</t>
  </si>
  <si>
    <t>Resto del Mundo</t>
  </si>
  <si>
    <t>Total Extranjero</t>
  </si>
  <si>
    <t>Alojados
acumulado</t>
  </si>
  <si>
    <t>total hotelero</t>
  </si>
  <si>
    <t>extrahotelero</t>
  </si>
  <si>
    <t>var
periodo acumulado</t>
  </si>
  <si>
    <t>Alojados
periodo acumulado</t>
  </si>
  <si>
    <t>CUOTAS DE NACIONALIDAD TOTAL Y POR ZONAS, PARA EL MES ACTUAL Y ACUMULADO ANUAL</t>
  </si>
  <si>
    <t>Cuota mes</t>
  </si>
  <si>
    <t>Cuota periodo acumulado</t>
  </si>
  <si>
    <t>Res. 
Tenerife</t>
  </si>
  <si>
    <t xml:space="preserve">GASTO TURÍSTICO </t>
  </si>
  <si>
    <t>Gasto por turista</t>
  </si>
  <si>
    <t>total</t>
  </si>
  <si>
    <t>I trimestre 2022
Encuesta sobre el gasto turístico ISTAC</t>
  </si>
  <si>
    <t>Gasto Transporte Nacional o Internacional</t>
  </si>
  <si>
    <t>Gasto en alojamiento</t>
  </si>
  <si>
    <t xml:space="preserve"> </t>
  </si>
  <si>
    <t>Gasto en Alimentación</t>
  </si>
  <si>
    <t>otros gastos</t>
  </si>
  <si>
    <t>Gasto por turista y día</t>
  </si>
  <si>
    <t>PLAZAS ALOJATIVAS AUTORIZADAS A FECHA DEL PERÍODO ANALIZADO</t>
  </si>
  <si>
    <t>Hotelera</t>
  </si>
  <si>
    <t>Apartamentos</t>
  </si>
  <si>
    <t>Vivienda vacacional</t>
  </si>
  <si>
    <t>Hoteles Rurales</t>
  </si>
  <si>
    <t>Casas Rurales</t>
  </si>
  <si>
    <t>,</t>
  </si>
  <si>
    <t>PLAZAS ALOJATIVAS ESTIMADAS (no deben ser tomadas como cifra de plazas autorizadas)</t>
  </si>
  <si>
    <t>Hoteleras</t>
  </si>
  <si>
    <t>Extrahoteleras</t>
  </si>
  <si>
    <t>PASAJEROS DE CRUCEROS - PUERTO DE SANTA CRUZ DE TENERIFE</t>
  </si>
  <si>
    <t>PUERTO DE SANTA CRUZ DE TENERIFE</t>
  </si>
  <si>
    <t>Pasajeros Cruceros</t>
  </si>
  <si>
    <t>Nº Buques Cruceros</t>
  </si>
  <si>
    <t>Turismo de Tenerife - Investigación Turística</t>
  </si>
  <si>
    <t>INDICADORES TURÍSTICOS DE TENERIFE definitivo</t>
  </si>
  <si>
    <t>abril 2022</t>
  </si>
  <si>
    <t>acumulado abril 2022</t>
  </si>
  <si>
    <t>El número de plazas autorizadas por Policía Turística a fecha de abril 2022 asciendían a 154.279 plazas, registrando un descenso del -5,4% respecto al cierre del año 2021.</t>
  </si>
  <si>
    <t>Las plazas hoteleras autorizadas ascienden a 71.891 y representan el 47% del total. Con respecto al año 2021, las plazas hoteleras se reducen un -16,3%.</t>
  </si>
  <si>
    <t>Las plazas extrahoteleras autorizadas, el 26% del total, ascienden a  39.635 (no incluye oferta rural). Disminuye un -16,8% respecto al cierre de 2021.</t>
  </si>
  <si>
    <t>Las plazas de vivienda vacacional autorizadas, el 23% del total, ascienden a  35.598 plazas. Aumentan un +26,9% respecto al cierre de 2021.</t>
  </si>
  <si>
    <t>Las plazas de hoteles rurales autorizadas por Policía Turística ascienden a 1.130, con un incremento del 108,1% respecto a 2021.</t>
  </si>
  <si>
    <t>Las plazas de casas rurales autorizadas por Policía Turística ascienden a 6.025, registrando un incremento del 473,8% respecto a 2021.</t>
  </si>
  <si>
    <t>abril 2022 Policía Turística Cabildo de Tenerife</t>
  </si>
  <si>
    <t>Las plazas estimadas por el STDE del Cabildo de Tenerife en abril de 2022 ascienden a 124.702. Se incremantan un 163,7% respecto al mismo período del año anterior.</t>
  </si>
  <si>
    <t>La oferta extrahotelera estimada por el STDE del Cabildo de Tenerife en abril de 2022, asciende a 37.850 plazas, incluyendo oferta rural. Supone el 30,4% del total de las plazas turísticas, registrando un incremento del 77,9%.</t>
  </si>
  <si>
    <t>Las plazas estimadas para la zona de La Laguna, Bajamar, La Punta ascienden a 823 en abril de 2022, registrando un incremento respecto al mismo periodo del año anterior del 39,7%.</t>
  </si>
  <si>
    <t>Las plazas extrahoteleras se estiman en 198, registrándose un incremento del 260,0% respecto al II semestre del año anterior.</t>
  </si>
  <si>
    <t>Las plazas totales estimadas para la zona Norte se sitúan en las 21.929 plazas,  registrándose un incremento del 203,1% con respecto al I semestre del año anterior.</t>
  </si>
  <si>
    <t>Las plazas extrahoteleras estimadas se sitúan en las 31.629 en abril de  2022, con un incremento del 79,9%  respecto a abril del año anterior.</t>
  </si>
  <si>
    <t>Por el Puerto de Santa Cruz de Tenerife han pasado en los primeros cuatro meses del año 2022, 192.438 cruceristas, un 474,3% más en comparación al mismo período del año 2021</t>
  </si>
  <si>
    <t>El número de buques de crucero en el Puerto de Santa Cruz de Tenerife hasta abril 2022 ascienden a un total de 169 cruceros, cifra que se incrementa un +85,7% respecto al mismo período del año anterior.</t>
  </si>
  <si>
    <t>Acumulado  
FUENTE: Autoridad Portuaria de S/C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</si>
</sst>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#,##0.0"/>
    <numFmt numFmtId="166" formatCode="#,##0.00\ &quot;€&quot;"/>
  </numFmts>
  <fonts count="24" x14ac:knownFonts="1">
    <font>
      <sz val="10"/>
      <name val="Arial"/>
      <family val="2"/>
    </font>
    <font>
      <sz val="10"/>
      <name val="Arial"/>
      <family val="2"/>
    </font>
    <font>
      <sz val="10"/>
      <color theme="1" tint="0.499984740745262"/>
      <name val="Arial"/>
      <family val="2"/>
    </font>
    <font>
      <b/>
      <sz val="18"/>
      <color theme="0"/>
      <name val="Arial"/>
      <family val="2"/>
    </font>
    <font>
      <b/>
      <sz val="18"/>
      <color theme="1" tint="0.499984740745262"/>
      <name val="Arial"/>
      <family val="2"/>
    </font>
    <font>
      <sz val="12"/>
      <color theme="1" tint="0.499984740745262"/>
      <name val="Arial"/>
      <family val="2"/>
    </font>
    <font>
      <b/>
      <sz val="12"/>
      <color theme="1" tint="0.499984740745262"/>
      <name val="Arial"/>
      <family val="2"/>
    </font>
    <font>
      <b/>
      <sz val="14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34998626667073579"/>
      <name val="Arial"/>
      <family val="2"/>
    </font>
    <font>
      <sz val="11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b/>
      <sz val="16"/>
      <color theme="9" tint="-0.249977111117893"/>
      <name val="Arial"/>
      <family val="2"/>
    </font>
    <font>
      <b/>
      <sz val="14"/>
      <color theme="0" tint="-0.499984740745262"/>
      <name val="Arial"/>
      <family val="2"/>
    </font>
    <font>
      <b/>
      <sz val="9"/>
      <color theme="1" tint="0.499984740745262"/>
      <name val="Arial"/>
      <family val="2"/>
    </font>
    <font>
      <sz val="8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b/>
      <sz val="12"/>
      <color theme="0"/>
      <name val="Arial"/>
      <family val="2"/>
    </font>
    <font>
      <b/>
      <sz val="8"/>
      <color theme="1" tint="0.499984740745262"/>
      <name val="Arial"/>
      <family val="2"/>
    </font>
    <font>
      <sz val="10"/>
      <color theme="1" tint="0.34998626667073579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76">
    <border>
      <left/>
      <right/>
      <top/>
      <bottom/>
      <diagonal/>
    </border>
    <border>
      <left/>
      <right/>
      <top style="medium">
        <color theme="9"/>
      </top>
      <bottom style="medium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theme="0" tint="-0.24994659260841701"/>
      </right>
      <top/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theme="0" tint="-0.24994659260841701"/>
      </left>
      <right style="medium">
        <color indexed="9"/>
      </right>
      <top/>
      <bottom/>
      <diagonal/>
    </border>
    <border>
      <left style="medium">
        <color indexed="9"/>
      </left>
      <right/>
      <top style="medium">
        <color theme="9"/>
      </top>
      <bottom style="medium">
        <color theme="9"/>
      </bottom>
      <diagonal/>
    </border>
    <border>
      <left/>
      <right style="medium">
        <color indexed="9"/>
      </right>
      <top style="medium">
        <color theme="9"/>
      </top>
      <bottom style="medium">
        <color theme="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/>
      <bottom style="thin">
        <color theme="0" tint="-4.9989318521683403E-2"/>
      </bottom>
      <diagonal/>
    </border>
    <border>
      <left/>
      <right/>
      <top style="medium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 style="medium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medium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/>
      <top style="medium">
        <color theme="0" tint="-4.9989318521683403E-2"/>
      </top>
      <bottom/>
      <diagonal/>
    </border>
    <border>
      <left/>
      <right style="thin">
        <color theme="0" tint="-4.9989318521683403E-2"/>
      </right>
      <top style="medium">
        <color theme="0" tint="-4.9989318521683403E-2"/>
      </top>
      <bottom/>
      <diagonal/>
    </border>
    <border>
      <left style="thin">
        <color theme="0" tint="-4.9989318521683403E-2"/>
      </left>
      <right style="medium">
        <color theme="0" tint="-0.24994659260841701"/>
      </right>
      <top style="medium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24994659260841701"/>
      </right>
      <top style="thin">
        <color theme="0" tint="-4.9989318521683403E-2"/>
      </top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 style="medium">
        <color theme="0" tint="-0.24994659260841701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indexed="9"/>
      </left>
      <right/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theme="0" tint="-0.24994659260841701"/>
      </top>
      <bottom style="medium">
        <color indexed="9"/>
      </bottom>
      <diagonal/>
    </border>
    <border>
      <left/>
      <right style="medium">
        <color indexed="9"/>
      </right>
      <top style="medium">
        <color theme="0" tint="-0.24994659260841701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9"/>
      </top>
      <bottom/>
      <diagonal/>
    </border>
    <border>
      <left/>
      <right style="medium">
        <color indexed="9"/>
      </right>
      <top style="medium">
        <color theme="9"/>
      </top>
      <bottom/>
      <diagonal/>
    </border>
    <border>
      <left/>
      <right/>
      <top/>
      <bottom style="thin">
        <color theme="0" tint="-4.9989318521683403E-2"/>
      </bottom>
      <diagonal/>
    </border>
    <border>
      <left style="medium">
        <color indexed="9"/>
      </left>
      <right/>
      <top style="medium">
        <color indexed="9"/>
      </top>
      <bottom style="medium">
        <color theme="9"/>
      </bottom>
      <diagonal/>
    </border>
    <border>
      <left/>
      <right style="medium">
        <color indexed="9"/>
      </right>
      <top style="medium">
        <color indexed="9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theme="0" tint="-0.24994659260841701"/>
      </right>
      <top style="medium">
        <color theme="9"/>
      </top>
      <bottom/>
      <diagonal/>
    </border>
    <border>
      <left style="thick">
        <color theme="0" tint="-0.14990691854609822"/>
      </left>
      <right style="thick">
        <color theme="0" tint="-0.14996795556505021"/>
      </right>
      <top style="thick">
        <color theme="0" tint="-0.14996795556505021"/>
      </top>
      <bottom/>
      <diagonal/>
    </border>
    <border>
      <left style="thick">
        <color theme="0" tint="-0.14996795556505021"/>
      </left>
      <right/>
      <top style="thick">
        <color theme="0" tint="-0.14996795556505021"/>
      </top>
      <bottom style="medium">
        <color rgb="FFECECEC"/>
      </bottom>
      <diagonal/>
    </border>
    <border>
      <left/>
      <right style="thick">
        <color theme="0" tint="-0.14996795556505021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06918546098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/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/>
      <diagonal/>
    </border>
    <border>
      <left style="thick">
        <color theme="0" tint="-0.14996795556505021"/>
      </left>
      <right/>
      <top style="medium">
        <color rgb="FFECECEC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/>
      <bottom style="medium">
        <color indexed="9"/>
      </bottom>
      <diagonal/>
    </border>
    <border>
      <left style="medium">
        <color theme="0" tint="-0.24994659260841701"/>
      </left>
      <right/>
      <top/>
      <bottom style="thin">
        <color theme="0" tint="-4.9989318521683403E-2"/>
      </bottom>
      <diagonal/>
    </border>
    <border>
      <left/>
      <right style="medium">
        <color theme="0" tint="-0.24994659260841701"/>
      </right>
      <top/>
      <bottom style="thin">
        <color theme="0" tint="-4.9989318521683403E-2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4.9989318521683403E-2"/>
      </bottom>
      <diagonal/>
    </border>
    <border>
      <left style="thick">
        <color theme="0" tint="-0.14990691854609822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medium">
        <color theme="0" tint="-0.24994659260841701"/>
      </right>
      <top style="thin">
        <color theme="0" tint="-4.9989318521683403E-2"/>
      </top>
      <bottom style="thin">
        <color theme="0" tint="-4.9989318521683403E-2"/>
      </bottom>
      <diagonal/>
    </border>
    <border>
      <left style="medium">
        <color theme="0" tint="-0.24994659260841701"/>
      </left>
      <right/>
      <top style="thin">
        <color theme="0" tint="-4.9989318521683403E-2"/>
      </top>
      <bottom/>
      <diagonal/>
    </border>
    <border>
      <left/>
      <right style="medium">
        <color theme="0" tint="-0.24994659260841701"/>
      </right>
      <top style="thin">
        <color theme="0" tint="-4.9989318521683403E-2"/>
      </top>
      <bottom/>
      <diagonal/>
    </border>
    <border>
      <left style="medium">
        <color theme="0" tint="-0.24994659260841701"/>
      </left>
      <right/>
      <top style="thin">
        <color theme="0" tint="-4.9989318521683403E-2"/>
      </top>
      <bottom style="thick">
        <color theme="0" tint="-0.14993743705557422"/>
      </bottom>
      <diagonal/>
    </border>
    <border>
      <left style="thick">
        <color theme="0" tint="-0.14990691854609822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/>
      <diagonal/>
    </border>
    <border>
      <left/>
      <right style="medium">
        <color theme="0" tint="-0.24994659260841701"/>
      </right>
      <top style="thick">
        <color theme="0" tint="-0.14993743705557422"/>
      </top>
      <bottom/>
      <diagonal/>
    </border>
    <border>
      <left style="medium">
        <color theme="0" tint="-0.24994659260841701"/>
      </left>
      <right/>
      <top style="thick">
        <color theme="0" tint="-0.14993743705557422"/>
      </top>
      <bottom style="medium">
        <color theme="0" tint="-0.24994659260841701"/>
      </bottom>
      <diagonal/>
    </border>
    <border>
      <left style="thick">
        <color theme="0" tint="-0.14990691854609822"/>
      </left>
      <right/>
      <top style="medium">
        <color theme="0" tint="-0.24994659260841701"/>
      </top>
      <bottom style="medium">
        <color theme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9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theme="9"/>
      </top>
      <bottom/>
      <diagonal/>
    </border>
    <border>
      <left/>
      <right style="thick">
        <color theme="0" tint="-0.14990691854609822"/>
      </right>
      <top style="thick">
        <color theme="0" tint="-0.14996795556505021"/>
      </top>
      <bottom style="medium">
        <color rgb="FFECECEC"/>
      </bottom>
      <diagonal/>
    </border>
    <border>
      <left style="thick">
        <color theme="0" tint="-0.14996795556505021"/>
      </left>
      <right style="medium">
        <color rgb="FFECECEC"/>
      </right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6795556505021"/>
      </right>
      <top style="medium">
        <color rgb="FFECECEC"/>
      </top>
      <bottom style="thick">
        <color theme="0" tint="-0.14996795556505021"/>
      </bottom>
      <diagonal/>
    </border>
    <border>
      <left style="thick">
        <color theme="0" tint="-0.14996795556505021"/>
      </left>
      <right/>
      <top style="medium">
        <color rgb="FFECECEC"/>
      </top>
      <bottom style="thick">
        <color theme="0" tint="-0.14996795556505021"/>
      </bottom>
      <diagonal/>
    </border>
    <border>
      <left style="medium">
        <color rgb="FFECECEC"/>
      </left>
      <right style="thick">
        <color theme="0" tint="-0.14990691854609822"/>
      </right>
      <top style="medium">
        <color rgb="FFECECEC"/>
      </top>
      <bottom style="thick">
        <color theme="0" tint="-0.1499679555650502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ck">
        <color theme="0" tint="-0.14996795556505021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indexed="9"/>
      </top>
      <bottom style="medium">
        <color indexed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indexed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medium">
        <color indexed="9"/>
      </top>
      <bottom style="medium">
        <color indexed="9"/>
      </bottom>
      <diagonal/>
    </border>
    <border>
      <left style="medium">
        <color theme="0" tint="-0.24994659260841701"/>
      </left>
      <right/>
      <top style="medium">
        <color indexed="9"/>
      </top>
      <bottom style="medium">
        <color theme="0" tint="-0.24994659260841701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indexed="9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4.9989318521683403E-2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medium">
        <color theme="0" tint="-0.24994659260841701"/>
      </right>
      <top style="medium">
        <color theme="0" tint="-0.24994659260841701"/>
      </top>
      <bottom style="medium">
        <color theme="9"/>
      </bottom>
      <diagonal/>
    </border>
    <border>
      <left style="medium">
        <color theme="0" tint="-4.9989318521683403E-2"/>
      </left>
      <right style="thick">
        <color theme="0" tint="-0.14990691854609822"/>
      </right>
      <top style="medium">
        <color theme="0" tint="-0.24994659260841701"/>
      </top>
      <bottom style="medium">
        <color theme="9"/>
      </bottom>
      <diagonal/>
    </border>
    <border>
      <left style="thick">
        <color theme="0" tint="-0.14990691854609822"/>
      </left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thick">
        <color theme="0" tint="-4.9989318521683403E-2"/>
      </left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4.9989318521683403E-2"/>
      </left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medium">
        <color indexed="9"/>
      </bottom>
      <diagonal/>
    </border>
    <border>
      <left style="thick">
        <color theme="0" tint="-0.14990691854609822"/>
      </left>
      <right/>
      <top/>
      <bottom/>
      <diagonal/>
    </border>
    <border>
      <left/>
      <right style="thick">
        <color theme="0" tint="-4.9989318521683403E-2"/>
      </right>
      <top/>
      <bottom/>
      <diagonal/>
    </border>
    <border>
      <left style="thick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n">
        <color theme="0" tint="-4.9989318521683403E-2"/>
      </left>
      <right/>
      <top/>
      <bottom style="thick">
        <color theme="0" tint="-4.9989318521683403E-2"/>
      </bottom>
      <diagonal/>
    </border>
    <border>
      <left/>
      <right style="thin">
        <color theme="0" tint="-4.9989318521683403E-2"/>
      </right>
      <top/>
      <bottom style="thick">
        <color theme="0" tint="-4.9989318521683403E-2"/>
      </bottom>
      <diagonal/>
    </border>
    <border>
      <left/>
      <right/>
      <top/>
      <bottom style="thick">
        <color theme="0" tint="-4.9989318521683403E-2"/>
      </bottom>
      <diagonal/>
    </border>
    <border>
      <left/>
      <right style="thick">
        <color theme="0" tint="-4.9989318521683403E-2"/>
      </right>
      <top/>
      <bottom style="thick">
        <color theme="0" tint="-4.9989318521683403E-2"/>
      </bottom>
      <diagonal/>
    </border>
    <border>
      <left/>
      <right style="thick">
        <color theme="0" tint="-0.14990691854609822"/>
      </right>
      <top/>
      <bottom/>
      <diagonal/>
    </border>
    <border>
      <left style="thick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/>
      <top style="thick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 style="thick">
        <color theme="0" tint="-4.9989318521683403E-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ck">
        <color theme="0" tint="-0.14990691854609822"/>
      </left>
      <right/>
      <top/>
      <bottom style="thick">
        <color theme="0" tint="-4.9989318521683403E-2"/>
      </bottom>
      <diagonal/>
    </border>
    <border>
      <left/>
      <right style="medium">
        <color theme="0" tint="-4.9989318521683403E-2"/>
      </right>
      <top/>
      <bottom style="thick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/>
      <right/>
      <top style="thin">
        <color theme="0" tint="-4.9989318521683403E-2"/>
      </top>
      <bottom style="thick">
        <color theme="0" tint="-4.9989318521683403E-2"/>
      </bottom>
      <diagonal/>
    </border>
    <border>
      <left/>
      <right style="thick">
        <color theme="0" tint="-4.9989318521683403E-2"/>
      </right>
      <top style="thin">
        <color theme="0" tint="-4.9989318521683403E-2"/>
      </top>
      <bottom style="thick">
        <color theme="0" tint="-4.9989318521683403E-2"/>
      </bottom>
      <diagonal/>
    </border>
    <border>
      <left style="thick">
        <color theme="0" tint="-0.14990691854609822"/>
      </left>
      <right/>
      <top style="thick">
        <color theme="0" tint="-4.9989318521683403E-2"/>
      </top>
      <bottom/>
      <diagonal/>
    </border>
    <border>
      <left/>
      <right style="medium">
        <color theme="0" tint="-4.9989318521683403E-2"/>
      </right>
      <top style="thick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/>
      <top style="thick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/>
      <right/>
      <top style="thick">
        <color theme="0" tint="-4.9989318521683403E-2"/>
      </top>
      <bottom style="thin">
        <color theme="0" tint="-4.9989318521683403E-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n">
        <color theme="0" tint="-4.9989318521683403E-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ck">
        <color theme="0" tint="-4.9989318521683403E-2"/>
      </right>
      <top style="thin">
        <color theme="0" tint="-4.9989318521683403E-2"/>
      </top>
      <bottom/>
      <diagonal/>
    </border>
    <border>
      <left style="medium">
        <color theme="0" tint="-4.9989318521683403E-2"/>
      </left>
      <right style="thin">
        <color theme="0" tint="-4.9989318521683403E-2"/>
      </right>
      <top/>
      <bottom style="thick">
        <color theme="0" tint="-4.9989318521683403E-2"/>
      </bottom>
      <diagonal/>
    </border>
    <border>
      <left style="thick">
        <color theme="0" tint="-0.14990691854609822"/>
      </left>
      <right/>
      <top/>
      <bottom style="thick">
        <color theme="0" tint="-0.1498458815271462"/>
      </bottom>
      <diagonal/>
    </border>
    <border>
      <left/>
      <right style="medium">
        <color theme="0" tint="-4.9989318521683403E-2"/>
      </right>
      <top/>
      <bottom style="thick">
        <color theme="0" tint="-0.1498458815271462"/>
      </bottom>
      <diagonal/>
    </border>
    <border>
      <left style="medium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 style="thin">
        <color theme="0" tint="-4.9989318521683403E-2"/>
      </left>
      <right/>
      <top style="thick">
        <color theme="0" tint="-4.9989318521683403E-2"/>
      </top>
      <bottom style="thick">
        <color theme="0" tint="-0.1498458815271462"/>
      </bottom>
      <diagonal/>
    </border>
    <border>
      <left/>
      <right style="thin">
        <color theme="0" tint="-4.9989318521683403E-2"/>
      </right>
      <top style="thick">
        <color theme="0" tint="-4.9989318521683403E-2"/>
      </top>
      <bottom style="thick">
        <color theme="0" tint="-0.149845881527146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ck">
        <color theme="0" tint="-4.9989318521683403E-2"/>
      </top>
      <bottom/>
      <diagonal/>
    </border>
    <border>
      <left/>
      <right/>
      <top style="thick">
        <color theme="0" tint="-4.9989318521683403E-2"/>
      </top>
      <bottom style="thick">
        <color theme="0" tint="-0.1498458815271462"/>
      </bottom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0.1498458815271462"/>
      </bottom>
      <diagonal/>
    </border>
    <border>
      <left/>
      <right style="thick">
        <color theme="0" tint="-0.14990691854609822"/>
      </right>
      <top/>
      <bottom style="thick">
        <color theme="0" tint="-0.1498458815271462"/>
      </bottom>
      <diagonal/>
    </border>
    <border>
      <left/>
      <right/>
      <top style="thick">
        <color theme="0" tint="-0.1498458815271462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452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0" fontId="5" fillId="3" borderId="3" xfId="0" applyFont="1" applyFill="1" applyBorder="1" applyAlignment="1" applyProtection="1">
      <alignment vertical="center" wrapText="1"/>
      <protection hidden="1"/>
    </xf>
    <xf numFmtId="0" fontId="2" fillId="0" borderId="4" xfId="0" applyFont="1" applyBorder="1" applyAlignment="1" applyProtection="1">
      <alignment vertical="center" wrapText="1"/>
      <protection hidden="1"/>
    </xf>
    <xf numFmtId="17" fontId="6" fillId="0" borderId="0" xfId="0" applyNumberFormat="1" applyFont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vertical="center" wrapText="1"/>
      <protection hidden="1"/>
    </xf>
    <xf numFmtId="17" fontId="6" fillId="0" borderId="4" xfId="0" applyNumberFormat="1" applyFont="1" applyBorder="1" applyAlignment="1" applyProtection="1">
      <alignment horizontal="center" vertical="center" wrapText="1"/>
      <protection hidden="1"/>
    </xf>
    <xf numFmtId="17" fontId="6" fillId="0" borderId="6" xfId="0" applyNumberFormat="1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8" xfId="0" applyFont="1" applyFill="1" applyBorder="1" applyAlignment="1" applyProtection="1">
      <alignment horizontal="center" vertical="center" wrapText="1"/>
      <protection hidden="1"/>
    </xf>
    <xf numFmtId="0" fontId="2" fillId="3" borderId="5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6" fillId="4" borderId="0" xfId="0" applyFont="1" applyFill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8" fillId="6" borderId="14" xfId="0" applyFont="1" applyFill="1" applyBorder="1" applyAlignment="1" applyProtection="1">
      <alignment horizontal="center" vertical="center" wrapText="1"/>
      <protection hidden="1"/>
    </xf>
    <xf numFmtId="3" fontId="9" fillId="6" borderId="14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5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16" xfId="0" applyFont="1" applyFill="1" applyBorder="1" applyAlignment="1" applyProtection="1">
      <alignment vertical="center" wrapText="1"/>
      <protection hidden="1"/>
    </xf>
    <xf numFmtId="0" fontId="8" fillId="6" borderId="18" xfId="0" applyFont="1" applyFill="1" applyBorder="1" applyAlignment="1" applyProtection="1">
      <alignment horizontal="center" vertical="center" wrapText="1"/>
      <protection hidden="1"/>
    </xf>
    <xf numFmtId="3" fontId="9" fillId="6" borderId="18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21" xfId="0" applyFont="1" applyFill="1" applyBorder="1" applyAlignment="1" applyProtection="1">
      <alignment horizontal="center" vertical="center" wrapText="1"/>
      <protection hidden="1"/>
    </xf>
    <xf numFmtId="3" fontId="9" fillId="6" borderId="21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0" fontId="11" fillId="3" borderId="0" xfId="0" applyFont="1" applyFill="1" applyAlignment="1" applyProtection="1">
      <alignment vertical="center" wrapText="1"/>
      <protection hidden="1"/>
    </xf>
    <xf numFmtId="164" fontId="10" fillId="7" borderId="24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27" xfId="0" applyFont="1" applyFill="1" applyBorder="1" applyAlignment="1" applyProtection="1">
      <alignment horizontal="center" vertical="center" wrapText="1"/>
      <protection hidden="1"/>
    </xf>
    <xf numFmtId="0" fontId="8" fillId="6" borderId="29" xfId="0" applyFont="1" applyFill="1" applyBorder="1" applyAlignment="1" applyProtection="1">
      <alignment horizontal="center" vertical="center" wrapText="1"/>
      <protection hidden="1"/>
    </xf>
    <xf numFmtId="3" fontId="9" fillId="6" borderId="29" xfId="0" applyNumberFormat="1" applyFont="1" applyFill="1" applyBorder="1" applyAlignment="1" applyProtection="1">
      <alignment horizontal="center" vertical="center" wrapText="1"/>
      <protection hidden="1"/>
    </xf>
    <xf numFmtId="164" fontId="10" fillId="7" borderId="3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0" applyFont="1" applyBorder="1" applyAlignment="1" applyProtection="1">
      <alignment horizontal="center" vertical="center" wrapText="1"/>
      <protection hidden="1"/>
    </xf>
    <xf numFmtId="3" fontId="10" fillId="0" borderId="18" xfId="0" applyNumberFormat="1" applyFont="1" applyBorder="1" applyAlignment="1" applyProtection="1">
      <alignment horizontal="center" vertical="center" wrapText="1"/>
      <protection hidden="1"/>
    </xf>
    <xf numFmtId="164" fontId="10" fillId="7" borderId="33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3" fontId="10" fillId="0" borderId="21" xfId="0" applyNumberFormat="1" applyFont="1" applyBorder="1" applyAlignment="1" applyProtection="1">
      <alignment horizontal="center" vertical="center" wrapText="1"/>
      <protection hidden="1"/>
    </xf>
    <xf numFmtId="0" fontId="12" fillId="0" borderId="29" xfId="0" applyFont="1" applyBorder="1" applyAlignment="1" applyProtection="1">
      <alignment horizontal="center" vertical="center" wrapText="1"/>
      <protection hidden="1"/>
    </xf>
    <xf numFmtId="3" fontId="10" fillId="0" borderId="29" xfId="0" applyNumberFormat="1" applyFont="1" applyBorder="1" applyAlignment="1" applyProtection="1">
      <alignment horizontal="center" vertical="center" wrapText="1"/>
      <protection hidden="1"/>
    </xf>
    <xf numFmtId="164" fontId="10" fillId="7" borderId="34" xfId="1" applyNumberFormat="1" applyFont="1" applyFill="1" applyBorder="1" applyAlignment="1" applyProtection="1">
      <alignment horizontal="center" vertical="center" wrapText="1"/>
      <protection hidden="1"/>
    </xf>
    <xf numFmtId="0" fontId="12" fillId="8" borderId="18" xfId="0" applyFont="1" applyFill="1" applyBorder="1" applyAlignment="1" applyProtection="1">
      <alignment horizontal="center" vertical="center" wrapText="1"/>
      <protection hidden="1"/>
    </xf>
    <xf numFmtId="3" fontId="10" fillId="8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21" xfId="0" applyFont="1" applyFill="1" applyBorder="1" applyAlignment="1" applyProtection="1">
      <alignment horizontal="center" vertical="center" wrapText="1"/>
      <protection hidden="1"/>
    </xf>
    <xf numFmtId="3" fontId="10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8" borderId="29" xfId="0" applyFont="1" applyFill="1" applyBorder="1" applyAlignment="1" applyProtection="1">
      <alignment horizontal="center" vertical="center" wrapText="1"/>
      <protection hidden="1"/>
    </xf>
    <xf numFmtId="3" fontId="10" fillId="8" borderId="29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18" xfId="0" applyFont="1" applyFill="1" applyBorder="1" applyAlignment="1" applyProtection="1">
      <alignment horizontal="center" vertical="center" wrapText="1"/>
      <protection hidden="1"/>
    </xf>
    <xf numFmtId="3" fontId="10" fillId="7" borderId="18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1" xfId="0" applyFont="1" applyFill="1" applyBorder="1" applyAlignment="1" applyProtection="1">
      <alignment horizontal="center" vertical="center" wrapText="1"/>
      <protection hidden="1"/>
    </xf>
    <xf numFmtId="3" fontId="10" fillId="7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29" xfId="0" applyFont="1" applyFill="1" applyBorder="1" applyAlignment="1" applyProtection="1">
      <alignment horizontal="center" vertical="center" wrapText="1"/>
      <protection hidden="1"/>
    </xf>
    <xf numFmtId="3" fontId="10" fillId="7" borderId="29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  <xf numFmtId="2" fontId="9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3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19" xfId="1" applyNumberFormat="1" applyFont="1" applyFill="1" applyBorder="1" applyAlignment="1" applyProtection="1">
      <alignment horizontal="center" vertical="center" wrapText="1"/>
      <protection hidden="1"/>
    </xf>
    <xf numFmtId="2" fontId="9" fillId="6" borderId="21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2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24" xfId="1" applyNumberFormat="1" applyFont="1" applyFill="1" applyBorder="1" applyAlignment="1" applyProtection="1">
      <alignment horizontal="center" vertical="center" wrapText="1"/>
      <protection hidden="1"/>
    </xf>
    <xf numFmtId="2" fontId="9" fillId="6" borderId="2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4" xfId="1" applyNumberFormat="1" applyFont="1" applyFill="1" applyBorder="1" applyAlignment="1" applyProtection="1">
      <alignment horizontal="center" vertical="center" wrapText="1"/>
      <protection hidden="1"/>
    </xf>
    <xf numFmtId="2" fontId="10" fillId="7" borderId="30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8" xfId="0" applyNumberFormat="1" applyFont="1" applyBorder="1" applyAlignment="1" applyProtection="1">
      <alignment horizontal="center" vertical="center" wrapText="1"/>
      <protection hidden="1"/>
    </xf>
    <xf numFmtId="2" fontId="10" fillId="0" borderId="21" xfId="0" applyNumberFormat="1" applyFont="1" applyBorder="1" applyAlignment="1" applyProtection="1">
      <alignment horizontal="center" vertical="center" wrapText="1"/>
      <protection hidden="1"/>
    </xf>
    <xf numFmtId="2" fontId="10" fillId="0" borderId="29" xfId="0" applyNumberFormat="1" applyFont="1" applyBorder="1" applyAlignment="1" applyProtection="1">
      <alignment horizontal="center" vertical="center" wrapText="1"/>
      <protection hidden="1"/>
    </xf>
    <xf numFmtId="2" fontId="10" fillId="8" borderId="18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21" xfId="0" applyNumberFormat="1" applyFont="1" applyFill="1" applyBorder="1" applyAlignment="1" applyProtection="1">
      <alignment horizontal="center" vertical="center" wrapText="1"/>
      <protection hidden="1"/>
    </xf>
    <xf numFmtId="2" fontId="10" fillId="8" borderId="29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18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21" xfId="0" applyNumberFormat="1" applyFont="1" applyFill="1" applyBorder="1" applyAlignment="1" applyProtection="1">
      <alignment horizontal="center" vertical="center" wrapText="1"/>
      <protection hidden="1"/>
    </xf>
    <xf numFmtId="0" fontId="12" fillId="7" borderId="37" xfId="0" applyFont="1" applyFill="1" applyBorder="1" applyAlignment="1" applyProtection="1">
      <alignment horizontal="center" vertical="center" wrapText="1"/>
      <protection hidden="1"/>
    </xf>
    <xf numFmtId="2" fontId="10" fillId="7" borderId="37" xfId="0" applyNumberFormat="1" applyFont="1" applyFill="1" applyBorder="1" applyAlignment="1" applyProtection="1">
      <alignment horizontal="center" vertical="center" wrapText="1"/>
      <protection hidden="1"/>
    </xf>
    <xf numFmtId="2" fontId="10" fillId="7" borderId="38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39" xfId="0" applyFont="1" applyFill="1" applyBorder="1" applyAlignment="1" applyProtection="1">
      <alignment vertical="center" wrapText="1"/>
      <protection hidden="1"/>
    </xf>
    <xf numFmtId="2" fontId="10" fillId="7" borderId="4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164" fontId="9" fillId="6" borderId="18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21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29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8" xfId="1" applyNumberFormat="1" applyFont="1" applyBorder="1" applyAlignment="1" applyProtection="1">
      <alignment horizontal="center" vertical="center" wrapText="1"/>
      <protection hidden="1"/>
    </xf>
    <xf numFmtId="164" fontId="10" fillId="0" borderId="21" xfId="1" applyNumberFormat="1" applyFont="1" applyBorder="1" applyAlignment="1" applyProtection="1">
      <alignment horizontal="center" vertical="center" wrapText="1"/>
      <protection hidden="1"/>
    </xf>
    <xf numFmtId="164" fontId="10" fillId="0" borderId="29" xfId="1" applyNumberFormat="1" applyFont="1" applyBorder="1" applyAlignment="1" applyProtection="1">
      <alignment horizontal="center" vertical="center" wrapText="1"/>
      <protection hidden="1"/>
    </xf>
    <xf numFmtId="164" fontId="10" fillId="8" borderId="18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21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29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18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1" xfId="1" applyNumberFormat="1" applyFont="1" applyFill="1" applyBorder="1" applyAlignment="1" applyProtection="1">
      <alignment horizontal="center" vertical="center" wrapText="1"/>
      <protection hidden="1"/>
    </xf>
    <xf numFmtId="164" fontId="10" fillId="7" borderId="29" xfId="1" applyNumberFormat="1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2" fillId="3" borderId="16" xfId="0" applyFont="1" applyFill="1" applyBorder="1" applyAlignment="1" applyProtection="1">
      <alignment vertical="center" wrapText="1"/>
      <protection hidden="1"/>
    </xf>
    <xf numFmtId="0" fontId="2" fillId="3" borderId="49" xfId="0" applyFont="1" applyFill="1" applyBorder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 wrapText="1"/>
      <protection hidden="1"/>
    </xf>
    <xf numFmtId="4" fontId="10" fillId="0" borderId="18" xfId="0" applyNumberFormat="1" applyFont="1" applyBorder="1" applyAlignment="1" applyProtection="1">
      <alignment horizontal="center" vertical="center" wrapText="1"/>
      <protection hidden="1"/>
    </xf>
    <xf numFmtId="4" fontId="10" fillId="8" borderId="21" xfId="0" applyNumberFormat="1" applyFont="1" applyFill="1" applyBorder="1" applyAlignment="1" applyProtection="1">
      <alignment horizontal="center" vertical="center" wrapText="1"/>
      <protection hidden="1"/>
    </xf>
    <xf numFmtId="4" fontId="10" fillId="0" borderId="21" xfId="0" applyNumberFormat="1" applyFont="1" applyBorder="1" applyAlignment="1" applyProtection="1">
      <alignment horizontal="center" vertical="center" wrapText="1"/>
      <protection hidden="1"/>
    </xf>
    <xf numFmtId="2" fontId="2" fillId="0" borderId="0" xfId="0" applyNumberFormat="1" applyFont="1" applyAlignment="1" applyProtection="1">
      <alignment vertical="center" wrapText="1"/>
      <protection hidden="1"/>
    </xf>
    <xf numFmtId="4" fontId="10" fillId="0" borderId="29" xfId="0" applyNumberFormat="1" applyFont="1" applyBorder="1" applyAlignment="1" applyProtection="1">
      <alignment horizontal="center" vertical="center" wrapText="1"/>
      <protection hidden="1"/>
    </xf>
    <xf numFmtId="0" fontId="6" fillId="4" borderId="48" xfId="0" applyFont="1" applyFill="1" applyBorder="1" applyAlignment="1" applyProtection="1">
      <alignment horizontal="center" vertical="center" wrapText="1"/>
      <protection hidden="1"/>
    </xf>
    <xf numFmtId="0" fontId="13" fillId="4" borderId="0" xfId="0" applyFont="1" applyFill="1" applyAlignment="1" applyProtection="1">
      <alignment horizontal="center" vertical="center" wrapText="1"/>
      <protection hidden="1"/>
    </xf>
    <xf numFmtId="164" fontId="6" fillId="4" borderId="0" xfId="1" applyNumberFormat="1" applyFont="1" applyFill="1" applyAlignment="1" applyProtection="1">
      <alignment horizontal="center" vertical="center" wrapText="1"/>
      <protection hidden="1"/>
    </xf>
    <xf numFmtId="0" fontId="2" fillId="4" borderId="0" xfId="0" applyFont="1" applyFill="1" applyAlignment="1" applyProtection="1">
      <alignment vertical="center" wrapText="1"/>
      <protection hidden="1"/>
    </xf>
    <xf numFmtId="165" fontId="6" fillId="4" borderId="0" xfId="0" applyNumberFormat="1" applyFont="1" applyFill="1" applyAlignment="1" applyProtection="1">
      <alignment horizontal="center" vertical="center" wrapText="1"/>
      <protection hidden="1"/>
    </xf>
    <xf numFmtId="0" fontId="13" fillId="4" borderId="6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vertical="center" wrapText="1"/>
      <protection hidden="1"/>
    </xf>
    <xf numFmtId="0" fontId="2" fillId="0" borderId="53" xfId="0" applyFont="1" applyBorder="1" applyAlignment="1" applyProtection="1">
      <alignment vertical="center" wrapText="1"/>
      <protection hidden="1"/>
    </xf>
    <xf numFmtId="0" fontId="14" fillId="0" borderId="53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vertical="center" wrapText="1"/>
      <protection hidden="1"/>
    </xf>
    <xf numFmtId="0" fontId="14" fillId="0" borderId="4" xfId="0" applyFont="1" applyBorder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20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2" fillId="4" borderId="56" xfId="0" applyFont="1" applyFill="1" applyBorder="1" applyAlignment="1" applyProtection="1">
      <alignment vertical="center" wrapText="1"/>
      <protection hidden="1"/>
    </xf>
    <xf numFmtId="0" fontId="2" fillId="4" borderId="59" xfId="0" applyFont="1" applyFill="1" applyBorder="1" applyAlignment="1" applyProtection="1">
      <alignment vertical="center" wrapText="1"/>
      <protection hidden="1"/>
    </xf>
    <xf numFmtId="0" fontId="5" fillId="4" borderId="60" xfId="0" applyFont="1" applyFill="1" applyBorder="1" applyAlignment="1" applyProtection="1">
      <alignment horizontal="center" vertical="center" wrapText="1"/>
      <protection hidden="1"/>
    </xf>
    <xf numFmtId="0" fontId="5" fillId="4" borderId="61" xfId="0" applyFont="1" applyFill="1" applyBorder="1" applyAlignment="1" applyProtection="1">
      <alignment horizontal="center" vertical="center" wrapText="1"/>
      <protection hidden="1"/>
    </xf>
    <xf numFmtId="0" fontId="5" fillId="4" borderId="62" xfId="0" applyFont="1" applyFill="1" applyBorder="1" applyAlignment="1" applyProtection="1">
      <alignment vertical="center" wrapText="1"/>
      <protection hidden="1"/>
    </xf>
    <xf numFmtId="0" fontId="5" fillId="4" borderId="62" xfId="0" applyFont="1" applyFill="1" applyBorder="1" applyAlignment="1" applyProtection="1">
      <alignment horizontal="center" vertical="center" wrapText="1"/>
      <protection hidden="1"/>
    </xf>
    <xf numFmtId="0" fontId="6" fillId="0" borderId="63" xfId="0" applyFont="1" applyBorder="1" applyAlignment="1" applyProtection="1">
      <alignment horizontal="left" vertical="center" wrapText="1"/>
      <protection hidden="1"/>
    </xf>
    <xf numFmtId="3" fontId="10" fillId="0" borderId="64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65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64" xfId="0" applyNumberFormat="1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right" vertical="center" wrapText="1"/>
      <protection hidden="1"/>
    </xf>
    <xf numFmtId="3" fontId="10" fillId="0" borderId="67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68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69" xfId="0" applyNumberFormat="1" applyFont="1" applyBorder="1" applyAlignment="1" applyProtection="1">
      <alignment horizontal="center" vertical="center" wrapText="1"/>
      <protection hidden="1"/>
    </xf>
    <xf numFmtId="3" fontId="10" fillId="0" borderId="67" xfId="0" applyNumberFormat="1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right" vertical="center" wrapText="1"/>
      <protection hidden="1"/>
    </xf>
    <xf numFmtId="3" fontId="10" fillId="0" borderId="71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72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71" xfId="0" applyNumberFormat="1" applyFont="1" applyBorder="1" applyAlignment="1" applyProtection="1">
      <alignment horizontal="center" vertical="center" wrapText="1"/>
      <protection hidden="1"/>
    </xf>
    <xf numFmtId="3" fontId="14" fillId="8" borderId="66" xfId="0" applyNumberFormat="1" applyFont="1" applyFill="1" applyBorder="1" applyAlignment="1" applyProtection="1">
      <alignment horizontal="left" vertical="center" wrapText="1"/>
      <protection hidden="1"/>
    </xf>
    <xf numFmtId="3" fontId="10" fillId="8" borderId="71" xfId="0" applyNumberFormat="1" applyFont="1" applyFill="1" applyBorder="1" applyAlignment="1" applyProtection="1">
      <alignment horizontal="right" vertical="center" wrapText="1" indent="1"/>
      <protection hidden="1"/>
    </xf>
    <xf numFmtId="3" fontId="10" fillId="8" borderId="7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left" vertical="center" wrapText="1"/>
      <protection hidden="1"/>
    </xf>
    <xf numFmtId="3" fontId="14" fillId="8" borderId="66" xfId="0" applyNumberFormat="1" applyFont="1" applyFill="1" applyBorder="1" applyAlignment="1" applyProtection="1">
      <alignment horizontal="right" vertical="center" wrapText="1"/>
      <protection hidden="1"/>
    </xf>
    <xf numFmtId="3" fontId="10" fillId="0" borderId="73" xfId="0" applyNumberFormat="1" applyFont="1" applyBorder="1" applyAlignment="1" applyProtection="1">
      <alignment horizontal="right" vertical="center" wrapText="1" indent="1"/>
      <protection hidden="1"/>
    </xf>
    <xf numFmtId="164" fontId="10" fillId="7" borderId="74" xfId="1" applyNumberFormat="1" applyFont="1" applyFill="1" applyBorder="1" applyAlignment="1" applyProtection="1">
      <alignment horizontal="center" vertical="center" wrapText="1"/>
      <protection hidden="1"/>
    </xf>
    <xf numFmtId="3" fontId="10" fillId="0" borderId="75" xfId="0" applyNumberFormat="1" applyFont="1" applyBorder="1" applyAlignment="1" applyProtection="1">
      <alignment horizontal="center" vertical="center" wrapText="1"/>
      <protection hidden="1"/>
    </xf>
    <xf numFmtId="3" fontId="10" fillId="0" borderId="73" xfId="0" applyNumberFormat="1" applyFont="1" applyBorder="1" applyAlignment="1" applyProtection="1">
      <alignment horizontal="center" vertical="center" wrapText="1"/>
      <protection hidden="1"/>
    </xf>
    <xf numFmtId="3" fontId="6" fillId="4" borderId="76" xfId="0" applyNumberFormat="1" applyFont="1" applyFill="1" applyBorder="1" applyAlignment="1" applyProtection="1">
      <alignment horizontal="left" vertical="center" wrapText="1"/>
      <protection hidden="1"/>
    </xf>
    <xf numFmtId="3" fontId="10" fillId="4" borderId="77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78" xfId="1" applyNumberFormat="1" applyFont="1" applyFill="1" applyBorder="1" applyAlignment="1" applyProtection="1">
      <alignment horizontal="center" vertical="center" wrapText="1"/>
      <protection hidden="1"/>
    </xf>
    <xf numFmtId="3" fontId="10" fillId="4" borderId="79" xfId="0" applyNumberFormat="1" applyFont="1" applyFill="1" applyBorder="1" applyAlignment="1" applyProtection="1">
      <alignment horizontal="center" vertical="center" wrapText="1"/>
      <protection hidden="1"/>
    </xf>
    <xf numFmtId="3" fontId="10" fillId="4" borderId="77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80" xfId="0" applyFont="1" applyFill="1" applyBorder="1" applyAlignment="1" applyProtection="1">
      <alignment horizontal="left" vertical="center" wrapText="1"/>
      <protection hidden="1"/>
    </xf>
    <xf numFmtId="3" fontId="9" fillId="6" borderId="8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82" xfId="1" applyNumberFormat="1" applyFont="1" applyFill="1" applyBorder="1" applyAlignment="1" applyProtection="1">
      <alignment horizontal="center" vertical="center" wrapText="1"/>
      <protection hidden="1"/>
    </xf>
    <xf numFmtId="3" fontId="9" fillId="6" borderId="8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vertical="center" wrapText="1"/>
      <protection hidden="1"/>
    </xf>
    <xf numFmtId="164" fontId="16" fillId="7" borderId="68" xfId="1" applyNumberFormat="1" applyFont="1" applyFill="1" applyBorder="1" applyAlignment="1" applyProtection="1">
      <alignment horizontal="center" vertical="center" wrapText="1"/>
      <protection hidden="1"/>
    </xf>
    <xf numFmtId="3" fontId="16" fillId="0" borderId="67" xfId="0" applyNumberFormat="1" applyFont="1" applyBorder="1" applyAlignment="1" applyProtection="1">
      <alignment horizontal="right" vertical="center" wrapText="1" indent="1"/>
      <protection hidden="1"/>
    </xf>
    <xf numFmtId="3" fontId="16" fillId="0" borderId="69" xfId="0" applyNumberFormat="1" applyFont="1" applyBorder="1" applyAlignment="1" applyProtection="1">
      <alignment horizontal="center" vertical="center" wrapText="1"/>
      <protection hidden="1"/>
    </xf>
    <xf numFmtId="164" fontId="16" fillId="7" borderId="72" xfId="1" applyNumberFormat="1" applyFont="1" applyFill="1" applyBorder="1" applyAlignment="1" applyProtection="1">
      <alignment horizontal="center" vertical="center" wrapText="1"/>
      <protection hidden="1"/>
    </xf>
    <xf numFmtId="3" fontId="16" fillId="0" borderId="71" xfId="0" applyNumberFormat="1" applyFont="1" applyBorder="1" applyAlignment="1" applyProtection="1">
      <alignment horizontal="right" vertical="center" wrapText="1" indent="1"/>
      <protection hidden="1"/>
    </xf>
    <xf numFmtId="3" fontId="16" fillId="0" borderId="71" xfId="0" applyNumberFormat="1" applyFont="1" applyBorder="1" applyAlignment="1" applyProtection="1">
      <alignment horizontal="center" vertical="center" wrapText="1"/>
      <protection hidden="1"/>
    </xf>
    <xf numFmtId="0" fontId="6" fillId="0" borderId="54" xfId="0" applyFont="1" applyBorder="1" applyAlignment="1" applyProtection="1">
      <alignment horizontal="center" vertical="center" wrapText="1"/>
      <protection hidden="1"/>
    </xf>
    <xf numFmtId="0" fontId="2" fillId="10" borderId="9" xfId="0" applyFont="1" applyFill="1" applyBorder="1" applyAlignment="1" applyProtection="1">
      <alignment vertical="center" wrapText="1"/>
      <protection hidden="1"/>
    </xf>
    <xf numFmtId="0" fontId="18" fillId="9" borderId="88" xfId="0" applyFont="1" applyFill="1" applyBorder="1" applyAlignment="1" applyProtection="1">
      <alignment horizontal="center" vertical="center" wrapText="1"/>
      <protection hidden="1"/>
    </xf>
    <xf numFmtId="0" fontId="13" fillId="10" borderId="89" xfId="0" applyFont="1" applyFill="1" applyBorder="1" applyAlignment="1" applyProtection="1">
      <alignment horizontal="center" vertical="center" wrapText="1"/>
      <protection hidden="1"/>
    </xf>
    <xf numFmtId="10" fontId="6" fillId="0" borderId="89" xfId="1" applyNumberFormat="1" applyFont="1" applyBorder="1" applyAlignment="1" applyProtection="1">
      <alignment horizontal="center" vertical="center" wrapText="1"/>
      <protection hidden="1"/>
    </xf>
    <xf numFmtId="3" fontId="6" fillId="10" borderId="89" xfId="0" applyNumberFormat="1" applyFont="1" applyFill="1" applyBorder="1" applyAlignment="1" applyProtection="1">
      <alignment horizontal="center" vertical="center" wrapText="1"/>
      <protection hidden="1"/>
    </xf>
    <xf numFmtId="0" fontId="19" fillId="10" borderId="89" xfId="0" applyFont="1" applyFill="1" applyBorder="1" applyAlignment="1" applyProtection="1">
      <alignment horizontal="right" vertical="center" wrapText="1"/>
      <protection hidden="1"/>
    </xf>
    <xf numFmtId="0" fontId="14" fillId="0" borderId="87" xfId="0" applyFont="1" applyBorder="1" applyAlignment="1" applyProtection="1">
      <alignment horizontal="center" vertical="center" wrapText="1"/>
      <protection hidden="1"/>
    </xf>
    <xf numFmtId="0" fontId="14" fillId="0" borderId="90" xfId="0" applyFont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14" fillId="0" borderId="48" xfId="0" applyFont="1" applyBorder="1" applyAlignment="1" applyProtection="1">
      <alignment horizontal="center" vertical="center" wrapText="1"/>
      <protection hidden="1"/>
    </xf>
    <xf numFmtId="0" fontId="5" fillId="4" borderId="92" xfId="0" applyFont="1" applyFill="1" applyBorder="1" applyAlignment="1" applyProtection="1">
      <alignment horizontal="center" vertical="center" wrapText="1"/>
      <protection hidden="1"/>
    </xf>
    <xf numFmtId="0" fontId="5" fillId="4" borderId="93" xfId="0" applyFont="1" applyFill="1" applyBorder="1" applyAlignment="1" applyProtection="1">
      <alignment horizontal="center" vertical="center" wrapText="1"/>
      <protection hidden="1"/>
    </xf>
    <xf numFmtId="0" fontId="5" fillId="4" borderId="94" xfId="0" applyFont="1" applyFill="1" applyBorder="1" applyAlignment="1" applyProtection="1">
      <alignment horizontal="center" vertical="center" wrapText="1"/>
      <protection hidden="1"/>
    </xf>
    <xf numFmtId="0" fontId="5" fillId="4" borderId="95" xfId="0" applyFont="1" applyFill="1" applyBorder="1" applyAlignment="1" applyProtection="1">
      <alignment horizontal="center" vertical="center" wrapText="1"/>
      <protection hidden="1"/>
    </xf>
    <xf numFmtId="164" fontId="10" fillId="0" borderId="96" xfId="1" applyNumberFormat="1" applyFont="1" applyBorder="1" applyAlignment="1" applyProtection="1">
      <alignment horizontal="center" vertical="center" wrapText="1"/>
      <protection hidden="1"/>
    </xf>
    <xf numFmtId="164" fontId="10" fillId="0" borderId="97" xfId="0" applyNumberFormat="1" applyFont="1" applyBorder="1" applyAlignment="1" applyProtection="1">
      <alignment horizontal="center" vertical="center" wrapText="1"/>
      <protection hidden="1"/>
    </xf>
    <xf numFmtId="164" fontId="10" fillId="0" borderId="98" xfId="1" applyNumberFormat="1" applyFont="1" applyBorder="1" applyAlignment="1" applyProtection="1">
      <alignment horizontal="center" vertical="center" wrapText="1"/>
      <protection hidden="1"/>
    </xf>
    <xf numFmtId="164" fontId="10" fillId="0" borderId="98" xfId="1" applyNumberFormat="1" applyFont="1" applyBorder="1" applyAlignment="1" applyProtection="1">
      <alignment vertical="center" wrapText="1"/>
      <protection hidden="1"/>
    </xf>
    <xf numFmtId="164" fontId="10" fillId="0" borderId="99" xfId="0" applyNumberFormat="1" applyFont="1" applyBorder="1" applyAlignment="1" applyProtection="1">
      <alignment horizontal="center" vertical="center" wrapText="1"/>
      <protection hidden="1"/>
    </xf>
    <xf numFmtId="164" fontId="2" fillId="0" borderId="70" xfId="0" applyNumberFormat="1" applyFont="1" applyBorder="1" applyAlignment="1" applyProtection="1">
      <alignment horizontal="right" vertical="center" wrapText="1"/>
      <protection hidden="1"/>
    </xf>
    <xf numFmtId="164" fontId="10" fillId="0" borderId="100" xfId="1" applyNumberFormat="1" applyFont="1" applyBorder="1" applyAlignment="1" applyProtection="1">
      <alignment horizontal="center" vertical="center" wrapText="1"/>
      <protection hidden="1"/>
    </xf>
    <xf numFmtId="164" fontId="10" fillId="0" borderId="101" xfId="0" applyNumberFormat="1" applyFont="1" applyBorder="1" applyAlignment="1" applyProtection="1">
      <alignment horizontal="center" vertical="center" wrapText="1"/>
      <protection hidden="1"/>
    </xf>
    <xf numFmtId="164" fontId="10" fillId="0" borderId="102" xfId="1" applyNumberFormat="1" applyFont="1" applyBorder="1" applyAlignment="1" applyProtection="1">
      <alignment horizontal="center" vertical="center" wrapText="1"/>
      <protection hidden="1"/>
    </xf>
    <xf numFmtId="164" fontId="10" fillId="0" borderId="102" xfId="1" applyNumberFormat="1" applyFont="1" applyBorder="1" applyAlignment="1" applyProtection="1">
      <alignment vertical="center" wrapText="1"/>
      <protection hidden="1"/>
    </xf>
    <xf numFmtId="164" fontId="10" fillId="0" borderId="103" xfId="0" applyNumberFormat="1" applyFont="1" applyBorder="1" applyAlignment="1" applyProtection="1">
      <alignment horizontal="center" vertical="center" wrapText="1"/>
      <protection hidden="1"/>
    </xf>
    <xf numFmtId="164" fontId="10" fillId="0" borderId="104" xfId="1" applyNumberFormat="1" applyFont="1" applyBorder="1" applyAlignment="1" applyProtection="1">
      <alignment horizontal="center" vertical="center" wrapText="1"/>
      <protection hidden="1"/>
    </xf>
    <xf numFmtId="164" fontId="10" fillId="0" borderId="104" xfId="1" applyNumberFormat="1" applyFont="1" applyBorder="1" applyAlignment="1" applyProtection="1">
      <alignment vertical="center" wrapText="1"/>
      <protection hidden="1"/>
    </xf>
    <xf numFmtId="164" fontId="14" fillId="8" borderId="66" xfId="0" applyNumberFormat="1" applyFont="1" applyFill="1" applyBorder="1" applyAlignment="1" applyProtection="1">
      <alignment horizontal="left" vertical="center" wrapText="1"/>
      <protection hidden="1"/>
    </xf>
    <xf numFmtId="164" fontId="10" fillId="8" borderId="100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101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104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104" xfId="1" applyNumberFormat="1" applyFont="1" applyFill="1" applyBorder="1" applyAlignment="1" applyProtection="1">
      <alignment vertical="center" wrapText="1"/>
      <protection hidden="1"/>
    </xf>
    <xf numFmtId="164" fontId="10" fillId="8" borderId="103" xfId="0" applyNumberFormat="1" applyFont="1" applyFill="1" applyBorder="1" applyAlignment="1" applyProtection="1">
      <alignment horizontal="center" vertical="center" wrapText="1"/>
      <protection hidden="1"/>
    </xf>
    <xf numFmtId="164" fontId="2" fillId="0" borderId="70" xfId="0" applyNumberFormat="1" applyFont="1" applyBorder="1" applyAlignment="1" applyProtection="1">
      <alignment horizontal="left" vertical="center" wrapText="1"/>
      <protection hidden="1"/>
    </xf>
    <xf numFmtId="164" fontId="14" fillId="8" borderId="66" xfId="0" applyNumberFormat="1" applyFont="1" applyFill="1" applyBorder="1" applyAlignment="1" applyProtection="1">
      <alignment horizontal="right" vertical="center" wrapText="1"/>
      <protection hidden="1"/>
    </xf>
    <xf numFmtId="164" fontId="10" fillId="0" borderId="105" xfId="1" applyNumberFormat="1" applyFont="1" applyBorder="1" applyAlignment="1" applyProtection="1">
      <alignment horizontal="center" vertical="center" wrapText="1"/>
      <protection hidden="1"/>
    </xf>
    <xf numFmtId="164" fontId="10" fillId="0" borderId="105" xfId="1" applyNumberFormat="1" applyFont="1" applyBorder="1" applyAlignment="1" applyProtection="1">
      <alignment vertical="center" wrapText="1"/>
      <protection hidden="1"/>
    </xf>
    <xf numFmtId="164" fontId="10" fillId="0" borderId="106" xfId="0" applyNumberFormat="1" applyFont="1" applyBorder="1" applyAlignment="1" applyProtection="1">
      <alignment horizontal="center" vertical="center" wrapText="1"/>
      <protection hidden="1"/>
    </xf>
    <xf numFmtId="3" fontId="6" fillId="8" borderId="63" xfId="0" applyNumberFormat="1" applyFont="1" applyFill="1" applyBorder="1" applyAlignment="1" applyProtection="1">
      <alignment horizontal="left" vertical="center" wrapText="1"/>
      <protection hidden="1"/>
    </xf>
    <xf numFmtId="164" fontId="10" fillId="8" borderId="96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97" xfId="0" applyNumberFormat="1" applyFont="1" applyFill="1" applyBorder="1" applyAlignment="1" applyProtection="1">
      <alignment horizontal="center" vertical="center" wrapText="1"/>
      <protection hidden="1"/>
    </xf>
    <xf numFmtId="164" fontId="10" fillId="8" borderId="64" xfId="1" applyNumberFormat="1" applyFont="1" applyFill="1" applyBorder="1" applyAlignment="1" applyProtection="1">
      <alignment horizontal="center" vertical="center" wrapText="1"/>
      <protection hidden="1"/>
    </xf>
    <xf numFmtId="164" fontId="10" fillId="8" borderId="64" xfId="1" applyNumberFormat="1" applyFont="1" applyFill="1" applyBorder="1" applyAlignment="1" applyProtection="1">
      <alignment vertical="center" wrapText="1"/>
      <protection hidden="1"/>
    </xf>
    <xf numFmtId="164" fontId="10" fillId="8" borderId="99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80" xfId="0" applyNumberFormat="1" applyFont="1" applyFill="1" applyBorder="1" applyAlignment="1" applyProtection="1">
      <alignment horizontal="left" vertical="center" wrapText="1"/>
      <protection hidden="1"/>
    </xf>
    <xf numFmtId="164" fontId="9" fillId="6" borderId="107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108" xfId="0" applyNumberFormat="1" applyFont="1" applyFill="1" applyBorder="1" applyAlignment="1" applyProtection="1">
      <alignment horizontal="center" vertical="center" wrapText="1"/>
      <protection hidden="1"/>
    </xf>
    <xf numFmtId="164" fontId="9" fillId="6" borderId="81" xfId="1" applyNumberFormat="1" applyFont="1" applyFill="1" applyBorder="1" applyAlignment="1" applyProtection="1">
      <alignment horizontal="center" vertical="center" wrapText="1"/>
      <protection hidden="1"/>
    </xf>
    <xf numFmtId="164" fontId="9" fillId="6" borderId="81" xfId="1" applyNumberFormat="1" applyFont="1" applyFill="1" applyBorder="1" applyAlignment="1" applyProtection="1">
      <alignment vertical="center" wrapText="1"/>
      <protection hidden="1"/>
    </xf>
    <xf numFmtId="164" fontId="9" fillId="6" borderId="10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 applyProtection="1">
      <alignment horizontal="center" vertical="center" wrapText="1"/>
      <protection hidden="1"/>
    </xf>
    <xf numFmtId="10" fontId="21" fillId="0" borderId="0" xfId="1" applyNumberFormat="1" applyFont="1" applyAlignment="1" applyProtection="1">
      <alignment horizontal="center" vertical="center" wrapText="1"/>
      <protection hidden="1"/>
    </xf>
    <xf numFmtId="164" fontId="21" fillId="0" borderId="0" xfId="0" applyNumberFormat="1" applyFont="1" applyAlignment="1" applyProtection="1">
      <alignment horizontal="center" vertical="center" wrapText="1"/>
      <protection hidden="1"/>
    </xf>
    <xf numFmtId="166" fontId="10" fillId="8" borderId="71" xfId="0" applyNumberFormat="1" applyFont="1" applyFill="1" applyBorder="1" applyAlignment="1" applyProtection="1">
      <alignment horizontal="right" vertical="center" wrapText="1" indent="1"/>
      <protection hidden="1"/>
    </xf>
    <xf numFmtId="164" fontId="10" fillId="7" borderId="113" xfId="1" applyNumberFormat="1" applyFont="1" applyFill="1" applyBorder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vertical="center" wrapText="1"/>
      <protection hidden="1"/>
    </xf>
    <xf numFmtId="0" fontId="0" fillId="0" borderId="0" xfId="0" applyAlignment="1">
      <alignment horizontal="left"/>
    </xf>
    <xf numFmtId="1" fontId="0" fillId="0" borderId="0" xfId="0" applyNumberFormat="1"/>
    <xf numFmtId="164" fontId="0" fillId="0" borderId="0" xfId="1" applyNumberFormat="1" applyFont="1"/>
    <xf numFmtId="166" fontId="10" fillId="0" borderId="71" xfId="0" applyNumberFormat="1" applyFont="1" applyBorder="1" applyAlignment="1" applyProtection="1">
      <alignment horizontal="right" vertical="center" wrapText="1" indent="1"/>
      <protection hidden="1"/>
    </xf>
    <xf numFmtId="164" fontId="10" fillId="0" borderId="113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6" fillId="4" borderId="118" xfId="0" applyFont="1" applyFill="1" applyBorder="1" applyAlignment="1" applyProtection="1">
      <alignment horizontal="center" vertical="center" wrapText="1"/>
      <protection hidden="1"/>
    </xf>
    <xf numFmtId="0" fontId="6" fillId="4" borderId="87" xfId="0" applyFont="1" applyFill="1" applyBorder="1" applyAlignment="1" applyProtection="1">
      <alignment horizontal="center" vertical="center" wrapText="1"/>
      <protection hidden="1"/>
    </xf>
    <xf numFmtId="0" fontId="12" fillId="6" borderId="121" xfId="0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/>
    <xf numFmtId="0" fontId="12" fillId="0" borderId="127" xfId="0" applyFont="1" applyBorder="1" applyAlignment="1" applyProtection="1">
      <alignment horizontal="center" vertical="center" wrapText="1"/>
      <protection hidden="1"/>
    </xf>
    <xf numFmtId="164" fontId="13" fillId="0" borderId="0" xfId="1" applyNumberFormat="1" applyFont="1" applyAlignment="1" applyProtection="1">
      <alignment vertical="center" wrapText="1"/>
      <protection hidden="1"/>
    </xf>
    <xf numFmtId="0" fontId="12" fillId="8" borderId="127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8" fillId="6" borderId="133" xfId="0" applyFont="1" applyFill="1" applyBorder="1" applyAlignment="1" applyProtection="1">
      <alignment horizontal="center" vertical="center" wrapText="1"/>
      <protection hidden="1"/>
    </xf>
    <xf numFmtId="164" fontId="10" fillId="7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6" borderId="137" xfId="0" applyFont="1" applyFill="1" applyBorder="1" applyAlignment="1" applyProtection="1">
      <alignment horizontal="center" vertical="center" wrapText="1"/>
      <protection hidden="1"/>
    </xf>
    <xf numFmtId="0" fontId="8" fillId="6" borderId="143" xfId="0" applyFont="1" applyFill="1" applyBorder="1" applyAlignment="1" applyProtection="1">
      <alignment horizontal="center" vertical="center" wrapText="1"/>
      <protection hidden="1"/>
    </xf>
    <xf numFmtId="164" fontId="10" fillId="7" borderId="14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Font="1"/>
    <xf numFmtId="0" fontId="12" fillId="0" borderId="151" xfId="0" applyFont="1" applyBorder="1" applyAlignment="1" applyProtection="1">
      <alignment horizontal="center" vertical="center" wrapText="1"/>
      <protection hidden="1"/>
    </xf>
    <xf numFmtId="3" fontId="10" fillId="0" borderId="152" xfId="0" applyNumberFormat="1" applyFont="1" applyBorder="1" applyAlignment="1" applyProtection="1">
      <alignment horizontal="center" vertical="center" wrapText="1"/>
      <protection hidden="1"/>
    </xf>
    <xf numFmtId="164" fontId="10" fillId="7" borderId="15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43" xfId="0" applyFont="1" applyBorder="1" applyAlignment="1" applyProtection="1">
      <alignment horizontal="center" vertical="center" wrapText="1"/>
      <protection hidden="1"/>
    </xf>
    <xf numFmtId="0" fontId="12" fillId="8" borderId="151" xfId="0" applyFont="1" applyFill="1" applyBorder="1" applyAlignment="1" applyProtection="1">
      <alignment horizontal="center" vertical="center" wrapText="1"/>
      <protection hidden="1"/>
    </xf>
    <xf numFmtId="0" fontId="12" fillId="8" borderId="137" xfId="0" applyFont="1" applyFill="1" applyBorder="1" applyAlignment="1" applyProtection="1">
      <alignment horizontal="center" vertical="center" wrapText="1"/>
      <protection hidden="1"/>
    </xf>
    <xf numFmtId="0" fontId="12" fillId="8" borderId="143" xfId="0" applyFont="1" applyFill="1" applyBorder="1" applyAlignment="1" applyProtection="1">
      <alignment horizontal="center" vertical="center" wrapText="1"/>
      <protection hidden="1"/>
    </xf>
    <xf numFmtId="0" fontId="12" fillId="0" borderId="137" xfId="0" applyFont="1" applyBorder="1" applyAlignment="1" applyProtection="1">
      <alignment horizontal="center" vertical="center" wrapText="1"/>
      <protection hidden="1"/>
    </xf>
    <xf numFmtId="0" fontId="12" fillId="7" borderId="151" xfId="0" applyFont="1" applyFill="1" applyBorder="1" applyAlignment="1" applyProtection="1">
      <alignment horizontal="center" vertical="center" wrapText="1"/>
      <protection hidden="1"/>
    </xf>
    <xf numFmtId="0" fontId="12" fillId="7" borderId="137" xfId="0" applyFont="1" applyFill="1" applyBorder="1" applyAlignment="1" applyProtection="1">
      <alignment horizontal="center" vertical="center" wrapText="1"/>
      <protection hidden="1"/>
    </xf>
    <xf numFmtId="0" fontId="12" fillId="7" borderId="160" xfId="0" applyFont="1" applyFill="1" applyBorder="1" applyAlignment="1" applyProtection="1">
      <alignment horizontal="center" vertical="center" wrapText="1"/>
      <protection hidden="1"/>
    </xf>
    <xf numFmtId="164" fontId="10" fillId="7" borderId="2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65" xfId="0" applyFont="1" applyBorder="1" applyAlignment="1" applyProtection="1">
      <alignment horizontal="center" vertical="center" wrapText="1"/>
      <protection hidden="1"/>
    </xf>
    <xf numFmtId="0" fontId="12" fillId="8" borderId="168" xfId="0" applyFont="1" applyFill="1" applyBorder="1" applyAlignment="1" applyProtection="1">
      <alignment horizontal="center" vertical="center" wrapText="1"/>
      <protection hidden="1"/>
    </xf>
    <xf numFmtId="164" fontId="10" fillId="7" borderId="17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75" xfId="0" applyFont="1" applyBorder="1" applyAlignment="1" applyProtection="1">
      <alignment vertical="center" wrapText="1"/>
      <protection hidden="1"/>
    </xf>
    <xf numFmtId="0" fontId="2" fillId="0" borderId="0" xfId="0" applyFont="1"/>
    <xf numFmtId="0" fontId="23" fillId="2" borderId="0" xfId="0" applyFont="1" applyFill="1" applyAlignment="1" applyProtection="1">
      <alignment horizontal="center" vertical="center" wrapText="1"/>
      <protection hidden="1"/>
    </xf>
    <xf numFmtId="0" fontId="7" fillId="5" borderId="11" xfId="0" applyFont="1" applyFill="1" applyBorder="1" applyAlignment="1" applyProtection="1">
      <alignment horizontal="center" vertical="center" wrapText="1"/>
      <protection hidden="1"/>
    </xf>
    <xf numFmtId="0" fontId="7" fillId="5" borderId="1" xfId="0" applyFont="1" applyFill="1" applyBorder="1" applyAlignment="1" applyProtection="1">
      <alignment horizontal="center" vertical="center" wrapText="1"/>
      <protection hidden="1"/>
    </xf>
    <xf numFmtId="0" fontId="7" fillId="5" borderId="12" xfId="0" applyFont="1" applyFill="1" applyBorder="1" applyAlignment="1" applyProtection="1">
      <alignment horizontal="center" vertical="center" wrapText="1"/>
      <protection hidden="1"/>
    </xf>
    <xf numFmtId="0" fontId="12" fillId="0" borderId="119" xfId="0" applyFont="1" applyBorder="1" applyAlignment="1" applyProtection="1">
      <alignment horizontal="center" vertical="center" wrapText="1"/>
      <protection hidden="1"/>
    </xf>
    <xf numFmtId="0" fontId="12" fillId="0" borderId="132" xfId="0" applyFont="1" applyBorder="1" applyAlignment="1" applyProtection="1">
      <alignment horizontal="center" vertical="center" wrapText="1"/>
      <protection hidden="1"/>
    </xf>
    <xf numFmtId="0" fontId="12" fillId="0" borderId="166" xfId="0" applyFont="1" applyBorder="1" applyAlignment="1" applyProtection="1">
      <alignment horizontal="center" vertical="center" wrapText="1"/>
      <protection hidden="1"/>
    </xf>
    <xf numFmtId="0" fontId="12" fillId="0" borderId="167" xfId="0" applyFont="1" applyBorder="1" applyAlignment="1" applyProtection="1">
      <alignment horizontal="center" vertical="center" wrapText="1"/>
      <protection hidden="1"/>
    </xf>
    <xf numFmtId="3" fontId="10" fillId="0" borderId="122" xfId="0" applyNumberFormat="1" applyFont="1" applyBorder="1" applyAlignment="1" applyProtection="1">
      <alignment horizontal="center" vertical="center" wrapText="1"/>
      <protection hidden="1"/>
    </xf>
    <xf numFmtId="3" fontId="10" fillId="0" borderId="123" xfId="0" applyNumberFormat="1" applyFont="1" applyBorder="1" applyAlignment="1" applyProtection="1">
      <alignment horizontal="center" vertical="center" wrapText="1"/>
      <protection hidden="1"/>
    </xf>
    <xf numFmtId="0" fontId="2" fillId="0" borderId="122" xfId="0" applyFont="1" applyBorder="1" applyAlignment="1" applyProtection="1">
      <alignment horizontal="left" vertical="center" wrapText="1"/>
      <protection hidden="1"/>
    </xf>
    <xf numFmtId="0" fontId="2" fillId="0" borderId="124" xfId="0" applyFont="1" applyBorder="1" applyAlignment="1" applyProtection="1">
      <alignment horizontal="left" vertical="center" wrapText="1"/>
      <protection hidden="1"/>
    </xf>
    <xf numFmtId="0" fontId="2" fillId="0" borderId="125" xfId="0" applyFont="1" applyBorder="1" applyAlignment="1" applyProtection="1">
      <alignment horizontal="left" vertical="center" wrapText="1"/>
      <protection hidden="1"/>
    </xf>
    <xf numFmtId="0" fontId="12" fillId="0" borderId="126" xfId="0" applyFont="1" applyBorder="1" applyAlignment="1" applyProtection="1">
      <alignment horizontal="center" vertical="center" wrapText="1"/>
      <protection hidden="1"/>
    </xf>
    <xf numFmtId="0" fontId="12" fillId="0" borderId="174" xfId="0" applyFont="1" applyBorder="1" applyAlignment="1" applyProtection="1">
      <alignment horizontal="center" vertical="center" wrapText="1"/>
      <protection hidden="1"/>
    </xf>
    <xf numFmtId="3" fontId="10" fillId="8" borderId="169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170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69" xfId="0" applyFont="1" applyFill="1" applyBorder="1" applyAlignment="1" applyProtection="1">
      <alignment horizontal="left" vertical="center" wrapText="1"/>
      <protection hidden="1"/>
    </xf>
    <xf numFmtId="0" fontId="0" fillId="0" borderId="172" xfId="0" applyBorder="1" applyAlignment="1">
      <alignment horizontal="left" vertical="center" wrapText="1"/>
    </xf>
    <xf numFmtId="0" fontId="0" fillId="0" borderId="173" xfId="0" applyBorder="1" applyAlignment="1">
      <alignment horizontal="left" vertical="center" wrapText="1"/>
    </xf>
    <xf numFmtId="0" fontId="12" fillId="7" borderId="149" xfId="0" applyFont="1" applyFill="1" applyBorder="1" applyAlignment="1" applyProtection="1">
      <alignment horizontal="center" vertical="center" wrapText="1"/>
      <protection hidden="1"/>
    </xf>
    <xf numFmtId="0" fontId="12" fillId="7" borderId="150" xfId="0" applyFont="1" applyFill="1" applyBorder="1" applyAlignment="1" applyProtection="1">
      <alignment horizontal="center" vertical="center" wrapText="1"/>
      <protection hidden="1"/>
    </xf>
    <xf numFmtId="0" fontId="12" fillId="7" borderId="119" xfId="0" applyFont="1" applyFill="1" applyBorder="1" applyAlignment="1" applyProtection="1">
      <alignment horizontal="center" vertical="center" wrapText="1"/>
      <protection hidden="1"/>
    </xf>
    <xf numFmtId="0" fontId="12" fillId="7" borderId="132" xfId="0" applyFont="1" applyFill="1" applyBorder="1" applyAlignment="1" applyProtection="1">
      <alignment horizontal="center" vertical="center" wrapText="1"/>
      <protection hidden="1"/>
    </xf>
    <xf numFmtId="3" fontId="10" fillId="7" borderId="156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157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56" xfId="0" applyFont="1" applyFill="1" applyBorder="1" applyAlignment="1" applyProtection="1">
      <alignment horizontal="left" vertical="center" wrapText="1"/>
      <protection hidden="1"/>
    </xf>
    <xf numFmtId="0" fontId="0" fillId="0" borderId="158" xfId="0" applyBorder="1" applyAlignment="1">
      <alignment horizontal="left" vertical="center" wrapText="1"/>
    </xf>
    <xf numFmtId="0" fontId="0" fillId="0" borderId="159" xfId="0" applyBorder="1" applyAlignment="1">
      <alignment horizontal="left" vertical="center" wrapText="1"/>
    </xf>
    <xf numFmtId="3" fontId="10" fillId="7" borderId="24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138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24" xfId="0" applyFont="1" applyFill="1" applyBorder="1" applyAlignment="1" applyProtection="1">
      <alignment horizontal="left" vertical="center" wrapText="1"/>
      <protection hidden="1"/>
    </xf>
    <xf numFmtId="0" fontId="0" fillId="0" borderId="139" xfId="0" applyBorder="1" applyAlignment="1">
      <alignment horizontal="left" vertical="center" wrapText="1"/>
    </xf>
    <xf numFmtId="0" fontId="0" fillId="0" borderId="140" xfId="0" applyBorder="1" applyAlignment="1">
      <alignment horizontal="left" vertical="center" wrapText="1"/>
    </xf>
    <xf numFmtId="3" fontId="10" fillId="7" borderId="161" xfId="0" applyNumberFormat="1" applyFont="1" applyFill="1" applyBorder="1" applyAlignment="1" applyProtection="1">
      <alignment horizontal="center" vertical="center" wrapText="1"/>
      <protection hidden="1"/>
    </xf>
    <xf numFmtId="3" fontId="10" fillId="7" borderId="162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61" xfId="0" applyFont="1" applyFill="1" applyBorder="1" applyAlignment="1" applyProtection="1">
      <alignment horizontal="left" vertical="center" wrapText="1"/>
      <protection hidden="1"/>
    </xf>
    <xf numFmtId="0" fontId="0" fillId="0" borderId="163" xfId="0" applyBorder="1" applyAlignment="1">
      <alignment horizontal="left" vertical="center" wrapText="1"/>
    </xf>
    <xf numFmtId="0" fontId="0" fillId="0" borderId="164" xfId="0" applyBorder="1" applyAlignment="1">
      <alignment horizontal="left" vertical="center" wrapText="1"/>
    </xf>
    <xf numFmtId="0" fontId="12" fillId="0" borderId="149" xfId="0" applyFont="1" applyBorder="1" applyAlignment="1" applyProtection="1">
      <alignment horizontal="center" vertical="center" wrapText="1"/>
      <protection hidden="1"/>
    </xf>
    <xf numFmtId="0" fontId="12" fillId="0" borderId="150" xfId="0" applyFont="1" applyBorder="1" applyAlignment="1" applyProtection="1">
      <alignment horizontal="center" vertical="center" wrapText="1"/>
      <protection hidden="1"/>
    </xf>
    <xf numFmtId="0" fontId="12" fillId="0" borderId="141" xfId="0" applyFont="1" applyBorder="1" applyAlignment="1" applyProtection="1">
      <alignment horizontal="center" vertical="center" wrapText="1"/>
      <protection hidden="1"/>
    </xf>
    <xf numFmtId="0" fontId="12" fillId="0" borderId="142" xfId="0" applyFont="1" applyBorder="1" applyAlignment="1" applyProtection="1">
      <alignment horizontal="center" vertical="center" wrapText="1"/>
      <protection hidden="1"/>
    </xf>
    <xf numFmtId="3" fontId="10" fillId="0" borderId="156" xfId="0" applyNumberFormat="1" applyFont="1" applyBorder="1" applyAlignment="1" applyProtection="1">
      <alignment horizontal="center" vertical="center" wrapText="1"/>
      <protection hidden="1"/>
    </xf>
    <xf numFmtId="3" fontId="10" fillId="0" borderId="157" xfId="0" applyNumberFormat="1" applyFont="1" applyBorder="1" applyAlignment="1" applyProtection="1">
      <alignment horizontal="center" vertical="center" wrapText="1"/>
      <protection hidden="1"/>
    </xf>
    <xf numFmtId="0" fontId="2" fillId="0" borderId="156" xfId="0" applyFont="1" applyBorder="1" applyAlignment="1" applyProtection="1">
      <alignment horizontal="left" vertical="center" wrapText="1"/>
      <protection hidden="1"/>
    </xf>
    <xf numFmtId="3" fontId="10" fillId="0" borderId="24" xfId="0" applyNumberFormat="1" applyFont="1" applyBorder="1" applyAlignment="1" applyProtection="1">
      <alignment horizontal="center" vertical="center" wrapText="1"/>
      <protection hidden="1"/>
    </xf>
    <xf numFmtId="3" fontId="10" fillId="0" borderId="138" xfId="0" applyNumberFormat="1" applyFont="1" applyBorder="1" applyAlignment="1" applyProtection="1">
      <alignment horizontal="center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3" fontId="10" fillId="0" borderId="144" xfId="0" applyNumberFormat="1" applyFont="1" applyBorder="1" applyAlignment="1" applyProtection="1">
      <alignment horizontal="center" vertical="center" wrapText="1"/>
      <protection hidden="1"/>
    </xf>
    <xf numFmtId="3" fontId="10" fillId="0" borderId="145" xfId="0" applyNumberFormat="1" applyFont="1" applyBorder="1" applyAlignment="1" applyProtection="1">
      <alignment horizontal="center" vertical="center" wrapText="1"/>
      <protection hidden="1"/>
    </xf>
    <xf numFmtId="0" fontId="2" fillId="0" borderId="144" xfId="0" applyFont="1" applyBorder="1" applyAlignment="1" applyProtection="1">
      <alignment horizontal="left" vertical="center" wrapText="1"/>
      <protection hidden="1"/>
    </xf>
    <xf numFmtId="0" fontId="0" fillId="0" borderId="147" xfId="0" applyBorder="1" applyAlignment="1">
      <alignment horizontal="left" vertical="center" wrapText="1"/>
    </xf>
    <xf numFmtId="0" fontId="0" fillId="0" borderId="148" xfId="0" applyBorder="1" applyAlignment="1">
      <alignment horizontal="left" vertical="center" wrapText="1"/>
    </xf>
    <xf numFmtId="0" fontId="0" fillId="0" borderId="124" xfId="0" applyBorder="1" applyAlignment="1">
      <alignment horizontal="left" vertical="center" wrapText="1"/>
    </xf>
    <xf numFmtId="0" fontId="0" fillId="0" borderId="125" xfId="0" applyBorder="1" applyAlignment="1">
      <alignment horizontal="left" vertical="center" wrapText="1"/>
    </xf>
    <xf numFmtId="0" fontId="12" fillId="8" borderId="149" xfId="0" applyFont="1" applyFill="1" applyBorder="1" applyAlignment="1" applyProtection="1">
      <alignment horizontal="center" vertical="center" wrapText="1"/>
      <protection hidden="1"/>
    </xf>
    <xf numFmtId="0" fontId="12" fillId="8" borderId="150" xfId="0" applyFont="1" applyFill="1" applyBorder="1" applyAlignment="1" applyProtection="1">
      <alignment horizontal="center" vertical="center" wrapText="1"/>
      <protection hidden="1"/>
    </xf>
    <xf numFmtId="0" fontId="12" fillId="8" borderId="119" xfId="0" applyFont="1" applyFill="1" applyBorder="1" applyAlignment="1" applyProtection="1">
      <alignment horizontal="center" vertical="center" wrapText="1"/>
      <protection hidden="1"/>
    </xf>
    <xf numFmtId="0" fontId="12" fillId="8" borderId="132" xfId="0" applyFont="1" applyFill="1" applyBorder="1" applyAlignment="1" applyProtection="1">
      <alignment horizontal="center" vertical="center" wrapText="1"/>
      <protection hidden="1"/>
    </xf>
    <xf numFmtId="0" fontId="12" fillId="8" borderId="141" xfId="0" applyFont="1" applyFill="1" applyBorder="1" applyAlignment="1" applyProtection="1">
      <alignment horizontal="center" vertical="center" wrapText="1"/>
      <protection hidden="1"/>
    </xf>
    <xf numFmtId="0" fontId="12" fillId="8" borderId="142" xfId="0" applyFont="1" applyFill="1" applyBorder="1" applyAlignment="1" applyProtection="1">
      <alignment horizontal="center" vertical="center" wrapText="1"/>
      <protection hidden="1"/>
    </xf>
    <xf numFmtId="3" fontId="10" fillId="8" borderId="156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157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24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138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144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145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44" xfId="0" applyFont="1" applyFill="1" applyBorder="1" applyAlignment="1" applyProtection="1">
      <alignment horizontal="left" vertical="center" wrapText="1"/>
      <protection hidden="1"/>
    </xf>
    <xf numFmtId="0" fontId="8" fillId="6" borderId="119" xfId="0" applyFont="1" applyFill="1" applyBorder="1" applyAlignment="1" applyProtection="1">
      <alignment horizontal="center" vertical="center" wrapText="1"/>
      <protection hidden="1"/>
    </xf>
    <xf numFmtId="0" fontId="8" fillId="6" borderId="132" xfId="0" applyFont="1" applyFill="1" applyBorder="1" applyAlignment="1" applyProtection="1">
      <alignment horizontal="center" vertical="center" wrapText="1"/>
      <protection hidden="1"/>
    </xf>
    <xf numFmtId="0" fontId="8" fillId="6" borderId="141" xfId="0" applyFont="1" applyFill="1" applyBorder="1" applyAlignment="1" applyProtection="1">
      <alignment horizontal="center" vertical="center" wrapText="1"/>
      <protection hidden="1"/>
    </xf>
    <xf numFmtId="0" fontId="8" fillId="6" borderId="142" xfId="0" applyFont="1" applyFill="1" applyBorder="1" applyAlignment="1" applyProtection="1">
      <alignment horizontal="center" vertical="center" wrapText="1"/>
      <protection hidden="1"/>
    </xf>
    <xf numFmtId="3" fontId="9" fillId="6" borderId="134" xfId="0" applyNumberFormat="1" applyFont="1" applyFill="1" applyBorder="1" applyAlignment="1" applyProtection="1">
      <alignment horizontal="center" vertical="center" wrapText="1"/>
      <protection hidden="1"/>
    </xf>
    <xf numFmtId="3" fontId="9" fillId="6" borderId="135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134" xfId="0" applyFont="1" applyFill="1" applyBorder="1" applyAlignment="1" applyProtection="1">
      <alignment horizontal="left" vertical="center" wrapText="1"/>
      <protection hidden="1"/>
    </xf>
    <xf numFmtId="0" fontId="0" fillId="0" borderId="49" xfId="0" applyBorder="1" applyAlignment="1">
      <alignment horizontal="left" vertical="center" wrapText="1"/>
    </xf>
    <xf numFmtId="0" fontId="0" fillId="0" borderId="136" xfId="0" applyBorder="1" applyAlignment="1">
      <alignment horizontal="left" vertical="center" wrapText="1"/>
    </xf>
    <xf numFmtId="3" fontId="9" fillId="6" borderId="24" xfId="0" applyNumberFormat="1" applyFont="1" applyFill="1" applyBorder="1" applyAlignment="1" applyProtection="1">
      <alignment horizontal="center" vertical="center" wrapText="1"/>
      <protection hidden="1"/>
    </xf>
    <xf numFmtId="3" fontId="9" fillId="6" borderId="138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24" xfId="0" applyFont="1" applyFill="1" applyBorder="1" applyAlignment="1" applyProtection="1">
      <alignment horizontal="left" vertical="center" wrapText="1"/>
      <protection hidden="1"/>
    </xf>
    <xf numFmtId="3" fontId="9" fillId="6" borderId="144" xfId="0" applyNumberFormat="1" applyFont="1" applyFill="1" applyBorder="1" applyAlignment="1" applyProtection="1">
      <alignment horizontal="center" vertical="center" wrapText="1"/>
      <protection hidden="1"/>
    </xf>
    <xf numFmtId="3" fontId="9" fillId="6" borderId="145" xfId="0" applyNumberFormat="1" applyFont="1" applyFill="1" applyBorder="1" applyAlignment="1" applyProtection="1">
      <alignment horizontal="center" vertical="center" wrapText="1"/>
      <protection hidden="1"/>
    </xf>
    <xf numFmtId="0" fontId="22" fillId="6" borderId="144" xfId="0" applyFont="1" applyFill="1" applyBorder="1" applyAlignment="1" applyProtection="1">
      <alignment horizontal="left" vertical="center" wrapText="1"/>
      <protection hidden="1"/>
    </xf>
    <xf numFmtId="0" fontId="2" fillId="0" borderId="153" xfId="0" applyFont="1" applyBorder="1" applyAlignment="1" applyProtection="1">
      <alignment horizontal="left" vertical="center" wrapText="1"/>
      <protection hidden="1"/>
    </xf>
    <xf numFmtId="0" fontId="0" fillId="0" borderId="154" xfId="0" applyBorder="1" applyAlignment="1">
      <alignment horizontal="left" vertical="center" wrapText="1"/>
    </xf>
    <xf numFmtId="0" fontId="0" fillId="0" borderId="155" xfId="0" applyBorder="1" applyAlignment="1">
      <alignment horizontal="left" vertical="center" wrapText="1"/>
    </xf>
    <xf numFmtId="3" fontId="10" fillId="8" borderId="128" xfId="0" applyNumberFormat="1" applyFont="1" applyFill="1" applyBorder="1" applyAlignment="1" applyProtection="1">
      <alignment horizontal="center" vertical="center" wrapText="1"/>
      <protection hidden="1"/>
    </xf>
    <xf numFmtId="3" fontId="10" fillId="8" borderId="129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128" xfId="0" applyFont="1" applyFill="1" applyBorder="1" applyAlignment="1" applyProtection="1">
      <alignment horizontal="left" vertical="center" wrapText="1"/>
      <protection hidden="1"/>
    </xf>
    <xf numFmtId="0" fontId="0" fillId="0" borderId="130" xfId="0" applyBorder="1" applyAlignment="1">
      <alignment horizontal="left" vertical="center" wrapText="1"/>
    </xf>
    <xf numFmtId="0" fontId="0" fillId="0" borderId="131" xfId="0" applyBorder="1" applyAlignment="1">
      <alignment horizontal="left" vertical="center" wrapText="1"/>
    </xf>
    <xf numFmtId="3" fontId="10" fillId="0" borderId="128" xfId="0" applyNumberFormat="1" applyFont="1" applyBorder="1" applyAlignment="1" applyProtection="1">
      <alignment horizontal="center" vertical="center" wrapText="1"/>
      <protection hidden="1"/>
    </xf>
    <xf numFmtId="3" fontId="10" fillId="0" borderId="129" xfId="0" applyNumberFormat="1" applyFont="1" applyBorder="1" applyAlignment="1" applyProtection="1">
      <alignment horizontal="center" vertical="center" wrapText="1"/>
      <protection hidden="1"/>
    </xf>
    <xf numFmtId="0" fontId="2" fillId="0" borderId="128" xfId="0" applyFont="1" applyBorder="1" applyAlignment="1" applyProtection="1">
      <alignment horizontal="left" vertical="center" wrapText="1"/>
      <protection hidden="1"/>
    </xf>
    <xf numFmtId="0" fontId="2" fillId="0" borderId="130" xfId="0" applyFont="1" applyBorder="1" applyAlignment="1" applyProtection="1">
      <alignment horizontal="left" vertical="center" wrapText="1"/>
      <protection hidden="1"/>
    </xf>
    <xf numFmtId="0" fontId="2" fillId="0" borderId="131" xfId="0" applyFont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hidden="1"/>
    </xf>
    <xf numFmtId="0" fontId="20" fillId="5" borderId="50" xfId="0" applyFont="1" applyFill="1" applyBorder="1" applyAlignment="1" applyProtection="1">
      <alignment horizontal="center" vertical="center" wrapText="1"/>
      <protection hidden="1"/>
    </xf>
    <xf numFmtId="0" fontId="20" fillId="5" borderId="46" xfId="0" applyFont="1" applyFill="1" applyBorder="1" applyAlignment="1" applyProtection="1">
      <alignment horizontal="center" vertical="center" wrapText="1"/>
      <protection hidden="1"/>
    </xf>
    <xf numFmtId="0" fontId="20" fillId="5" borderId="51" xfId="0" applyFont="1" applyFill="1" applyBorder="1" applyAlignment="1" applyProtection="1">
      <alignment horizontal="center" vertical="center" wrapText="1"/>
      <protection hidden="1"/>
    </xf>
    <xf numFmtId="0" fontId="12" fillId="0" borderId="120" xfId="0" applyFont="1" applyBorder="1" applyAlignment="1" applyProtection="1">
      <alignment horizontal="center" vertical="center" wrapText="1"/>
      <protection hidden="1"/>
    </xf>
    <xf numFmtId="3" fontId="10" fillId="6" borderId="122" xfId="0" applyNumberFormat="1" applyFont="1" applyFill="1" applyBorder="1" applyAlignment="1" applyProtection="1">
      <alignment horizontal="center" vertical="center" wrapText="1"/>
      <protection hidden="1"/>
    </xf>
    <xf numFmtId="3" fontId="10" fillId="6" borderId="123" xfId="0" applyNumberFormat="1" applyFont="1" applyFill="1" applyBorder="1" applyAlignment="1" applyProtection="1">
      <alignment horizontal="center" vertical="center" wrapText="1"/>
      <protection hidden="1"/>
    </xf>
    <xf numFmtId="0" fontId="2" fillId="6" borderId="122" xfId="0" applyFont="1" applyFill="1" applyBorder="1" applyAlignment="1" applyProtection="1">
      <alignment horizontal="left" vertical="center" wrapText="1"/>
      <protection hidden="1"/>
    </xf>
    <xf numFmtId="0" fontId="12" fillId="0" borderId="112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110" xfId="0" applyFont="1" applyBorder="1" applyAlignment="1" applyProtection="1">
      <alignment horizontal="center" vertical="center" wrapText="1"/>
      <protection hidden="1"/>
    </xf>
    <xf numFmtId="0" fontId="12" fillId="8" borderId="111" xfId="0" applyFont="1" applyFill="1" applyBorder="1" applyAlignment="1" applyProtection="1">
      <alignment horizontal="center" vertical="center" wrapText="1"/>
      <protection hidden="1"/>
    </xf>
    <xf numFmtId="0" fontId="12" fillId="8" borderId="115" xfId="0" applyFont="1" applyFill="1" applyBorder="1" applyAlignment="1" applyProtection="1">
      <alignment horizontal="center" vertical="center" wrapText="1"/>
      <protection hidden="1"/>
    </xf>
    <xf numFmtId="0" fontId="12" fillId="8" borderId="112" xfId="0" applyFont="1" applyFill="1" applyBorder="1" applyAlignment="1" applyProtection="1">
      <alignment horizontal="center" vertical="center" wrapText="1"/>
      <protection hidden="1"/>
    </xf>
    <xf numFmtId="0" fontId="12" fillId="8" borderId="0" xfId="0" applyFont="1" applyFill="1" applyAlignment="1" applyProtection="1">
      <alignment horizontal="center" vertical="center" wrapText="1"/>
      <protection hidden="1"/>
    </xf>
    <xf numFmtId="0" fontId="12" fillId="8" borderId="20" xfId="0" applyFont="1" applyFill="1" applyBorder="1" applyAlignment="1" applyProtection="1">
      <alignment horizontal="center" vertical="center" wrapText="1"/>
      <protection hidden="1"/>
    </xf>
    <xf numFmtId="0" fontId="12" fillId="0" borderId="114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117" xfId="0" applyFont="1" applyBorder="1" applyAlignment="1" applyProtection="1">
      <alignment horizontal="center" vertical="center" wrapText="1"/>
      <protection hidden="1"/>
    </xf>
    <xf numFmtId="0" fontId="12" fillId="0" borderId="116" xfId="0" applyFont="1" applyBorder="1" applyAlignment="1" applyProtection="1">
      <alignment horizontal="center" vertical="center" wrapText="1"/>
      <protection hidden="1"/>
    </xf>
    <xf numFmtId="0" fontId="12" fillId="0" borderId="111" xfId="0" applyFont="1" applyBorder="1" applyAlignment="1" applyProtection="1">
      <alignment horizontal="center" vertical="center" wrapText="1"/>
      <protection hidden="1"/>
    </xf>
    <xf numFmtId="0" fontId="6" fillId="4" borderId="57" xfId="0" applyFont="1" applyFill="1" applyBorder="1" applyAlignment="1" applyProtection="1">
      <alignment horizontal="center" vertical="center" wrapText="1"/>
      <protection hidden="1"/>
    </xf>
    <xf numFmtId="0" fontId="6" fillId="4" borderId="58" xfId="0" applyFont="1" applyFill="1" applyBorder="1" applyAlignment="1" applyProtection="1">
      <alignment horizontal="center" vertical="center" wrapText="1"/>
      <protection hidden="1"/>
    </xf>
    <xf numFmtId="0" fontId="6" fillId="4" borderId="91" xfId="0" applyFont="1" applyFill="1" applyBorder="1" applyAlignment="1" applyProtection="1">
      <alignment horizontal="center" vertical="center" wrapText="1"/>
      <protection hidden="1"/>
    </xf>
    <xf numFmtId="0" fontId="17" fillId="6" borderId="86" xfId="0" applyFont="1" applyFill="1" applyBorder="1" applyAlignment="1" applyProtection="1">
      <alignment horizontal="center" vertical="center"/>
      <protection hidden="1"/>
    </xf>
    <xf numFmtId="0" fontId="17" fillId="6" borderId="87" xfId="0" applyFont="1" applyFill="1" applyBorder="1" applyAlignment="1" applyProtection="1">
      <alignment horizontal="center" vertical="center"/>
      <protection hidden="1"/>
    </xf>
    <xf numFmtId="0" fontId="6" fillId="9" borderId="7" xfId="0" applyFont="1" applyFill="1" applyBorder="1" applyAlignment="1" applyProtection="1">
      <alignment horizontal="center" vertical="center" wrapText="1"/>
      <protection hidden="1"/>
    </xf>
    <xf numFmtId="0" fontId="6" fillId="9" borderId="0" xfId="0" applyFont="1" applyFill="1" applyAlignment="1" applyProtection="1">
      <alignment horizontal="center" vertical="center" wrapText="1"/>
      <protection hidden="1"/>
    </xf>
    <xf numFmtId="3" fontId="6" fillId="9" borderId="7" xfId="0" applyNumberFormat="1" applyFont="1" applyFill="1" applyBorder="1" applyAlignment="1" applyProtection="1">
      <alignment horizontal="center" vertical="center" wrapText="1"/>
      <protection hidden="1"/>
    </xf>
    <xf numFmtId="3" fontId="6" fillId="9" borderId="0" xfId="0" applyNumberFormat="1" applyFont="1" applyFill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vertical="center" wrapText="1"/>
      <protection hidden="1"/>
    </xf>
    <xf numFmtId="0" fontId="2" fillId="0" borderId="84" xfId="0" applyFont="1" applyBorder="1" applyAlignment="1" applyProtection="1">
      <alignment vertical="center" wrapText="1"/>
      <protection hidden="1"/>
    </xf>
    <xf numFmtId="0" fontId="2" fillId="0" borderId="85" xfId="0" applyFont="1" applyBorder="1" applyAlignment="1" applyProtection="1">
      <alignment vertical="center" wrapText="1"/>
      <protection hidden="1"/>
    </xf>
    <xf numFmtId="0" fontId="6" fillId="9" borderId="83" xfId="0" applyFont="1" applyFill="1" applyBorder="1" applyAlignment="1" applyProtection="1">
      <alignment horizontal="center" vertical="center" wrapText="1"/>
      <protection hidden="1"/>
    </xf>
    <xf numFmtId="0" fontId="6" fillId="9" borderId="84" xfId="0" applyFont="1" applyFill="1" applyBorder="1" applyAlignment="1" applyProtection="1">
      <alignment horizontal="center" vertical="center" wrapText="1"/>
      <protection hidden="1"/>
    </xf>
    <xf numFmtId="0" fontId="6" fillId="9" borderId="85" xfId="0" applyFont="1" applyFill="1" applyBorder="1" applyAlignment="1" applyProtection="1">
      <alignment horizontal="center" vertical="center" wrapText="1"/>
      <protection hidden="1"/>
    </xf>
    <xf numFmtId="17" fontId="6" fillId="9" borderId="7" xfId="0" applyNumberFormat="1" applyFont="1" applyFill="1" applyBorder="1" applyAlignment="1" applyProtection="1">
      <alignment horizontal="center" vertical="center" wrapText="1"/>
      <protection hidden="1"/>
    </xf>
    <xf numFmtId="17" fontId="6" fillId="9" borderId="0" xfId="0" applyNumberFormat="1" applyFont="1" applyFill="1" applyAlignment="1" applyProtection="1">
      <alignment horizontal="center" vertical="center" wrapText="1"/>
      <protection hidden="1"/>
    </xf>
    <xf numFmtId="0" fontId="6" fillId="0" borderId="47" xfId="0" applyFont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6" fillId="0" borderId="55" xfId="0" applyFont="1" applyBorder="1" applyAlignment="1" applyProtection="1">
      <alignment horizontal="center" vertical="center" wrapText="1"/>
      <protection hidden="1"/>
    </xf>
    <xf numFmtId="0" fontId="15" fillId="0" borderId="53" xfId="0" applyFont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2" fillId="0" borderId="46" xfId="0" applyFont="1" applyBorder="1" applyAlignment="1" applyProtection="1">
      <alignment vertical="center" wrapText="1"/>
      <protection hidden="1"/>
    </xf>
    <xf numFmtId="0" fontId="2" fillId="0" borderId="51" xfId="0" applyFont="1" applyBorder="1" applyAlignment="1" applyProtection="1">
      <alignment vertical="center" wrapText="1"/>
      <protection hidden="1"/>
    </xf>
    <xf numFmtId="0" fontId="12" fillId="0" borderId="31" xfId="0" applyFont="1" applyBorder="1" applyAlignment="1" applyProtection="1">
      <alignment horizontal="center" vertical="center" wrapText="1"/>
      <protection hidden="1"/>
    </xf>
    <xf numFmtId="0" fontId="12" fillId="0" borderId="32" xfId="0" applyFont="1" applyBorder="1" applyAlignment="1" applyProtection="1">
      <alignment horizontal="center" vertical="center" wrapText="1"/>
      <protection hidden="1"/>
    </xf>
    <xf numFmtId="0" fontId="12" fillId="0" borderId="4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5" xfId="0" applyFont="1" applyBorder="1" applyAlignment="1" applyProtection="1">
      <alignment horizontal="center" vertical="center" wrapText="1"/>
      <protection hidden="1"/>
    </xf>
    <xf numFmtId="0" fontId="12" fillId="0" borderId="26" xfId="0" applyFont="1" applyBorder="1" applyAlignment="1" applyProtection="1">
      <alignment horizontal="center" vertical="center" wrapText="1"/>
      <protection hidden="1"/>
    </xf>
    <xf numFmtId="0" fontId="12" fillId="0" borderId="17" xfId="0" applyFont="1" applyBorder="1" applyAlignment="1" applyProtection="1">
      <alignment horizontal="center" vertical="center" wrapText="1"/>
      <protection hidden="1"/>
    </xf>
    <xf numFmtId="0" fontId="12" fillId="0" borderId="23" xfId="0" applyFont="1" applyBorder="1" applyAlignment="1" applyProtection="1">
      <alignment horizontal="center" vertical="center" wrapText="1"/>
      <protection hidden="1"/>
    </xf>
    <xf numFmtId="0" fontId="12" fillId="0" borderId="28" xfId="0" applyFont="1" applyBorder="1" applyAlignment="1" applyProtection="1">
      <alignment horizontal="center" vertical="center" wrapText="1"/>
      <protection hidden="1"/>
    </xf>
    <xf numFmtId="0" fontId="12" fillId="8" borderId="17" xfId="0" applyFont="1" applyFill="1" applyBorder="1" applyAlignment="1" applyProtection="1">
      <alignment horizontal="center" vertical="center" wrapText="1"/>
      <protection hidden="1"/>
    </xf>
    <xf numFmtId="0" fontId="12" fillId="8" borderId="23" xfId="0" applyFont="1" applyFill="1" applyBorder="1" applyAlignment="1" applyProtection="1">
      <alignment horizontal="center" vertical="center" wrapText="1"/>
      <protection hidden="1"/>
    </xf>
    <xf numFmtId="0" fontId="12" fillId="8" borderId="28" xfId="0" applyFont="1" applyFill="1" applyBorder="1" applyAlignment="1" applyProtection="1">
      <alignment horizontal="center" vertical="center" wrapText="1"/>
      <protection hidden="1"/>
    </xf>
    <xf numFmtId="0" fontId="12" fillId="7" borderId="31" xfId="0" applyFont="1" applyFill="1" applyBorder="1" applyAlignment="1" applyProtection="1">
      <alignment horizontal="center" vertical="center" wrapText="1"/>
      <protection hidden="1"/>
    </xf>
    <xf numFmtId="0" fontId="12" fillId="7" borderId="32" xfId="0" applyFont="1" applyFill="1" applyBorder="1" applyAlignment="1" applyProtection="1">
      <alignment horizontal="center" vertical="center" wrapText="1"/>
      <protection hidden="1"/>
    </xf>
    <xf numFmtId="0" fontId="12" fillId="7" borderId="4" xfId="0" applyFont="1" applyFill="1" applyBorder="1" applyAlignment="1" applyProtection="1">
      <alignment horizontal="center" vertical="center" wrapText="1"/>
      <protection hidden="1"/>
    </xf>
    <xf numFmtId="0" fontId="12" fillId="7" borderId="13" xfId="0" applyFont="1" applyFill="1" applyBorder="1" applyAlignment="1" applyProtection="1">
      <alignment horizontal="center" vertical="center" wrapText="1"/>
      <protection hidden="1"/>
    </xf>
    <xf numFmtId="0" fontId="12" fillId="7" borderId="25" xfId="0" applyFont="1" applyFill="1" applyBorder="1" applyAlignment="1" applyProtection="1">
      <alignment horizontal="center" vertical="center" wrapText="1"/>
      <protection hidden="1"/>
    </xf>
    <xf numFmtId="0" fontId="12" fillId="7" borderId="26" xfId="0" applyFont="1" applyFill="1" applyBorder="1" applyAlignment="1" applyProtection="1">
      <alignment horizontal="center" vertical="center" wrapText="1"/>
      <protection hidden="1"/>
    </xf>
    <xf numFmtId="0" fontId="12" fillId="7" borderId="17" xfId="0" applyFont="1" applyFill="1" applyBorder="1" applyAlignment="1" applyProtection="1">
      <alignment horizontal="center" vertical="center" wrapText="1"/>
      <protection hidden="1"/>
    </xf>
    <xf numFmtId="0" fontId="12" fillId="7" borderId="23" xfId="0" applyFont="1" applyFill="1" applyBorder="1" applyAlignment="1" applyProtection="1">
      <alignment horizontal="center" vertical="center" wrapText="1"/>
      <protection hidden="1"/>
    </xf>
    <xf numFmtId="0" fontId="12" fillId="7" borderId="28" xfId="0" applyFont="1" applyFill="1" applyBorder="1" applyAlignment="1" applyProtection="1">
      <alignment horizontal="center" vertical="center" wrapText="1"/>
      <protection hidden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7" fontId="4" fillId="0" borderId="2" xfId="0" applyNumberFormat="1" applyFont="1" applyBorder="1" applyAlignment="1" applyProtection="1">
      <alignment horizontal="center" vertical="center" wrapText="1"/>
      <protection hidden="1"/>
    </xf>
    <xf numFmtId="17" fontId="4" fillId="0" borderId="3" xfId="0" applyNumberFormat="1" applyFont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6" fillId="4" borderId="48" xfId="0" applyFont="1" applyFill="1" applyBorder="1" applyAlignment="1" applyProtection="1">
      <alignment horizontal="center" vertical="center" wrapText="1"/>
      <protection hidden="1"/>
    </xf>
    <xf numFmtId="0" fontId="8" fillId="6" borderId="31" xfId="0" applyFont="1" applyFill="1" applyBorder="1" applyAlignment="1" applyProtection="1">
      <alignment horizontal="center" vertical="center" wrapText="1"/>
      <protection hidden="1"/>
    </xf>
    <xf numFmtId="0" fontId="8" fillId="6" borderId="32" xfId="0" applyFont="1" applyFill="1" applyBorder="1" applyAlignment="1" applyProtection="1">
      <alignment horizontal="center" vertical="center" wrapText="1"/>
      <protection hidden="1"/>
    </xf>
    <xf numFmtId="0" fontId="8" fillId="6" borderId="4" xfId="0" applyFont="1" applyFill="1" applyBorder="1" applyAlignment="1" applyProtection="1">
      <alignment horizontal="center" vertical="center" wrapText="1"/>
      <protection hidden="1"/>
    </xf>
    <xf numFmtId="0" fontId="8" fillId="6" borderId="13" xfId="0" applyFont="1" applyFill="1" applyBorder="1" applyAlignment="1" applyProtection="1">
      <alignment horizontal="center" vertical="center" wrapText="1"/>
      <protection hidden="1"/>
    </xf>
    <xf numFmtId="0" fontId="8" fillId="6" borderId="25" xfId="0" applyFont="1" applyFill="1" applyBorder="1" applyAlignment="1" applyProtection="1">
      <alignment horizontal="center" vertical="center" wrapText="1"/>
      <protection hidden="1"/>
    </xf>
    <xf numFmtId="0" fontId="8" fillId="6" borderId="26" xfId="0" applyFont="1" applyFill="1" applyBorder="1" applyAlignment="1" applyProtection="1">
      <alignment horizontal="center" vertical="center" wrapText="1"/>
      <protection hidden="1"/>
    </xf>
    <xf numFmtId="0" fontId="8" fillId="6" borderId="17" xfId="0" applyFont="1" applyFill="1" applyBorder="1" applyAlignment="1" applyProtection="1">
      <alignment horizontal="center" vertical="center" wrapText="1"/>
      <protection hidden="1"/>
    </xf>
    <xf numFmtId="0" fontId="8" fillId="6" borderId="23" xfId="0" applyFont="1" applyFill="1" applyBorder="1" applyAlignment="1" applyProtection="1">
      <alignment horizontal="center" vertical="center" wrapText="1"/>
      <protection hidden="1"/>
    </xf>
    <xf numFmtId="0" fontId="8" fillId="6" borderId="28" xfId="0" applyFont="1" applyFill="1" applyBorder="1" applyAlignment="1" applyProtection="1">
      <alignment horizontal="center" vertical="center" wrapText="1"/>
      <protection hidden="1"/>
    </xf>
    <xf numFmtId="0" fontId="12" fillId="8" borderId="31" xfId="0" applyFont="1" applyFill="1" applyBorder="1" applyAlignment="1" applyProtection="1">
      <alignment horizontal="center" vertical="center" wrapText="1"/>
      <protection hidden="1"/>
    </xf>
    <xf numFmtId="0" fontId="12" fillId="8" borderId="32" xfId="0" applyFont="1" applyFill="1" applyBorder="1" applyAlignment="1" applyProtection="1">
      <alignment horizontal="center" vertical="center" wrapText="1"/>
      <protection hidden="1"/>
    </xf>
    <xf numFmtId="0" fontId="12" fillId="8" borderId="4" xfId="0" applyFont="1" applyFill="1" applyBorder="1" applyAlignment="1" applyProtection="1">
      <alignment horizontal="center" vertical="center" wrapText="1"/>
      <protection hidden="1"/>
    </xf>
    <xf numFmtId="0" fontId="12" fillId="8" borderId="13" xfId="0" applyFont="1" applyFill="1" applyBorder="1" applyAlignment="1" applyProtection="1">
      <alignment horizontal="center" vertical="center" wrapText="1"/>
      <protection hidden="1"/>
    </xf>
    <xf numFmtId="0" fontId="12" fillId="8" borderId="25" xfId="0" applyFont="1" applyFill="1" applyBorder="1" applyAlignment="1" applyProtection="1">
      <alignment horizontal="center" vertical="center" wrapText="1"/>
      <protection hidden="1"/>
    </xf>
    <xf numFmtId="0" fontId="12" fillId="8" borderId="26" xfId="0" applyFont="1" applyFill="1" applyBorder="1" applyAlignment="1" applyProtection="1">
      <alignment horizontal="center" vertical="center" wrapText="1"/>
      <protection hidden="1"/>
    </xf>
    <xf numFmtId="0" fontId="12" fillId="7" borderId="35" xfId="0" applyFont="1" applyFill="1" applyBorder="1" applyAlignment="1" applyProtection="1">
      <alignment horizontal="center" vertical="center" wrapText="1"/>
      <protection hidden="1"/>
    </xf>
    <xf numFmtId="0" fontId="12" fillId="7" borderId="36" xfId="0" applyFont="1" applyFill="1" applyBorder="1" applyAlignment="1" applyProtection="1">
      <alignment horizontal="center" vertical="center" wrapText="1"/>
      <protection hidden="1"/>
    </xf>
    <xf numFmtId="0" fontId="12" fillId="7" borderId="40" xfId="0" applyFont="1" applyFill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 applyProtection="1">
      <alignment horizontal="center" vertical="center" wrapText="1"/>
      <protection hidden="1"/>
    </xf>
    <xf numFmtId="0" fontId="3" fillId="2" borderId="46" xfId="0" applyFont="1" applyFill="1" applyBorder="1" applyAlignment="1" applyProtection="1">
      <alignment horizontal="center" vertical="center" wrapText="1"/>
      <protection hidden="1"/>
    </xf>
    <xf numFmtId="0" fontId="12" fillId="0" borderId="42" xfId="0" applyFont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6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2" xr:uid="{250C5B46-8685-42F3-BE35-8D80DBD9B25E}"/>
    <cellStyle name="Porcentaje" xfId="1" builtinId="5"/>
  </cellStyles>
  <dxfs count="39"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6"/>
      </font>
    </dxf>
    <dxf>
      <font>
        <color theme="8"/>
      </font>
    </dxf>
    <dxf>
      <font>
        <color theme="8"/>
      </font>
    </dxf>
    <dxf>
      <font>
        <color theme="6"/>
      </font>
    </dxf>
    <dxf>
      <font>
        <color theme="6"/>
      </font>
    </dxf>
    <dxf>
      <font>
        <color theme="8"/>
      </font>
    </dxf>
    <dxf>
      <font>
        <b/>
        <i val="0"/>
        <color theme="9"/>
      </font>
    </dxf>
  </dxfs>
  <tableStyles count="1" defaultTableStyle="TableStyleMedium2" defaultPivotStyle="PivotStyleLight16">
    <tableStyle name="Invisible" pivot="0" table="0" count="0" xr9:uid="{A08711D0-1E14-440B-9323-DC59989FBD4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298</xdr:row>
      <xdr:rowOff>0</xdr:rowOff>
    </xdr:from>
    <xdr:to>
      <xdr:col>2</xdr:col>
      <xdr:colOff>1200149</xdr:colOff>
      <xdr:row>299</xdr:row>
      <xdr:rowOff>16755</xdr:rowOff>
    </xdr:to>
    <xdr:pic>
      <xdr:nvPicPr>
        <xdr:cNvPr id="2" name="2298 Imagen">
          <a:extLst>
            <a:ext uri="{FF2B5EF4-FFF2-40B4-BE49-F238E27FC236}">
              <a16:creationId xmlns:a16="http://schemas.microsoft.com/office/drawing/2014/main" id="{E7344F29-F0C4-46B2-97D9-E07852B04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74961750"/>
          <a:ext cx="1200149" cy="654930"/>
        </a:xfrm>
        <a:prstGeom prst="rect">
          <a:avLst/>
        </a:prstGeom>
      </xdr:spPr>
    </xdr:pic>
    <xdr:clientData/>
  </xdr:twoCellAnchor>
  <xdr:twoCellAnchor editAs="oneCell">
    <xdr:from>
      <xdr:col>5</xdr:col>
      <xdr:colOff>752475</xdr:colOff>
      <xdr:row>321</xdr:row>
      <xdr:rowOff>9525</xdr:rowOff>
    </xdr:from>
    <xdr:to>
      <xdr:col>9</xdr:col>
      <xdr:colOff>257175</xdr:colOff>
      <xdr:row>322</xdr:row>
      <xdr:rowOff>285750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A1E653A-8E56-4667-AA38-9523D1B5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83619975"/>
          <a:ext cx="3838575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0</xdr:row>
      <xdr:rowOff>47625</xdr:rowOff>
    </xdr:from>
    <xdr:to>
      <xdr:col>3</xdr:col>
      <xdr:colOff>657225</xdr:colOff>
      <xdr:row>0</xdr:row>
      <xdr:rowOff>565846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ADC745EE-798E-4A23-A16D-6CC1A66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47625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60</xdr:row>
      <xdr:rowOff>85725</xdr:rowOff>
    </xdr:from>
    <xdr:to>
      <xdr:col>3</xdr:col>
      <xdr:colOff>657225</xdr:colOff>
      <xdr:row>60</xdr:row>
      <xdr:rowOff>603946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C9571AE-3CAC-4F21-8BA3-6A213A46EA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16687800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116</xdr:row>
      <xdr:rowOff>57150</xdr:rowOff>
    </xdr:from>
    <xdr:to>
      <xdr:col>3</xdr:col>
      <xdr:colOff>647700</xdr:colOff>
      <xdr:row>116</xdr:row>
      <xdr:rowOff>575371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CA36D67-F0BA-4480-833C-9E2ABDBE3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3823275"/>
          <a:ext cx="1895475" cy="518221"/>
        </a:xfrm>
        <a:prstGeom prst="rect">
          <a:avLst/>
        </a:prstGeom>
      </xdr:spPr>
    </xdr:pic>
    <xdr:clientData/>
  </xdr:twoCellAnchor>
  <xdr:twoCellAnchor editAs="oneCell">
    <xdr:from>
      <xdr:col>2</xdr:col>
      <xdr:colOff>133350</xdr:colOff>
      <xdr:row>241</xdr:row>
      <xdr:rowOff>38100</xdr:rowOff>
    </xdr:from>
    <xdr:to>
      <xdr:col>3</xdr:col>
      <xdr:colOff>647700</xdr:colOff>
      <xdr:row>241</xdr:row>
      <xdr:rowOff>556321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3103627F-113A-405D-9E4A-12AAC8C909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54473475"/>
          <a:ext cx="1895475" cy="5182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INVESTIGACION/Documentos%20compartidos/General/BOLETIN%20ESTAD&#205;STICO%20SPET/INDICADORES%20TURISTICOS%20DE%20TENERIFE/Indicadores%20Plantilla%20(bbdd%20sql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IZACIÓN"/>
      <sheetName val="Ind turísticos (vinculo)"/>
      <sheetName val="Hoja3"/>
      <sheetName val="Ind turísticos (vin com 2019)"/>
      <sheetName val="TTDD DATOS"/>
      <sheetName val="Hoja4"/>
      <sheetName val="gasto"/>
      <sheetName val="Hoja1"/>
      <sheetName val="Hoja2"/>
      <sheetName val="plazas autorizadas"/>
      <sheetName val="cruceros"/>
      <sheetName val="Ind turísticos invierno"/>
      <sheetName val="TTDD invierno"/>
      <sheetName val="Ind turísticos verano"/>
      <sheetName val="TTDD verano"/>
      <sheetName val="TTDD DATOS (2)"/>
      <sheetName val="para grafico de cam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B1" t="e">
            <v>#REF!</v>
          </cell>
          <cell r="C1" t="e">
            <v>#REF!</v>
          </cell>
          <cell r="D1" t="e">
            <v>#REF!</v>
          </cell>
          <cell r="E1" t="e">
            <v>#REF!</v>
          </cell>
          <cell r="F1" t="e">
            <v>#REF!</v>
          </cell>
          <cell r="G1" t="e">
            <v>#REF!</v>
          </cell>
          <cell r="H1" t="e">
            <v>#REF!</v>
          </cell>
          <cell r="I1" t="e">
            <v>#REF!</v>
          </cell>
          <cell r="J1" t="e">
            <v>#REF!</v>
          </cell>
          <cell r="K1" t="e">
            <v>#REF!</v>
          </cell>
        </row>
        <row r="2">
          <cell r="B2" t="e">
            <v>#REF!</v>
          </cell>
          <cell r="C2" t="e">
            <v>#REF!</v>
          </cell>
          <cell r="D2" t="e">
            <v>#REF!</v>
          </cell>
          <cell r="E2" t="e">
            <v>#REF!</v>
          </cell>
          <cell r="F2" t="e">
            <v>#REF!</v>
          </cell>
          <cell r="G2" t="e">
            <v>#REF!</v>
          </cell>
          <cell r="H2" t="e">
            <v>#REF!</v>
          </cell>
          <cell r="I2" t="e">
            <v>#REF!</v>
          </cell>
          <cell r="J2" t="e">
            <v>#REF!</v>
          </cell>
          <cell r="K2" t="e">
            <v>#REF!</v>
          </cell>
        </row>
        <row r="3">
          <cell r="B3" t="e">
            <v>#REF!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e">
            <v>#REF!</v>
          </cell>
          <cell r="H3" t="e">
            <v>#REF!</v>
          </cell>
          <cell r="I3" t="e">
            <v>#REF!</v>
          </cell>
          <cell r="J3" t="e">
            <v>#REF!</v>
          </cell>
          <cell r="K3" t="e">
            <v>#REF!</v>
          </cell>
        </row>
        <row r="4">
          <cell r="B4" t="e">
            <v>#REF!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</row>
        <row r="5">
          <cell r="B5" t="e">
            <v>#REF!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 t="e">
            <v>#REF!</v>
          </cell>
          <cell r="H5" t="e">
            <v>#REF!</v>
          </cell>
          <cell r="I5" t="e">
            <v>#REF!</v>
          </cell>
          <cell r="J5" t="e">
            <v>#REF!</v>
          </cell>
          <cell r="K5" t="e">
            <v>#REF!</v>
          </cell>
        </row>
        <row r="6">
          <cell r="B6" t="e">
            <v>#REF!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 t="e">
            <v>#REF!</v>
          </cell>
          <cell r="H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Tenerife azul">
      <a:dk1>
        <a:srgbClr val="373A36"/>
      </a:dk1>
      <a:lt1>
        <a:sysClr val="window" lastClr="FFFFFF"/>
      </a:lt1>
      <a:dk2>
        <a:srgbClr val="1F497D"/>
      </a:dk2>
      <a:lt2>
        <a:srgbClr val="EEECE1"/>
      </a:lt2>
      <a:accent1>
        <a:srgbClr val="1226AA"/>
      </a:accent1>
      <a:accent2>
        <a:srgbClr val="0071CE"/>
      </a:accent2>
      <a:accent3>
        <a:srgbClr val="1ECAD3"/>
      </a:accent3>
      <a:accent4>
        <a:srgbClr val="3CB4E5"/>
      </a:accent4>
      <a:accent5>
        <a:srgbClr val="F32735"/>
      </a:accent5>
      <a:accent6>
        <a:srgbClr val="0047BA"/>
      </a:accent6>
      <a:hlink>
        <a:srgbClr val="000B8C"/>
      </a:hlink>
      <a:folHlink>
        <a:srgbClr val="009AD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359E4C-77D1-4BE4-92EF-240F3AC9841A}">
  <sheetPr published="0" codeName="Hoja2">
    <tabColor theme="5" tint="0.39997558519241921"/>
  </sheetPr>
  <dimension ref="C1:T337"/>
  <sheetViews>
    <sheetView showGridLines="0" tabSelected="1" showRuler="0" zoomScaleNormal="100" workbookViewId="0">
      <selection activeCell="R283" sqref="R283"/>
    </sheetView>
  </sheetViews>
  <sheetFormatPr baseColWidth="10" defaultRowHeight="12.75" x14ac:dyDescent="0.2"/>
  <cols>
    <col min="1" max="2" width="2.85546875" style="2" customWidth="1"/>
    <col min="3" max="3" width="20.7109375" style="2" customWidth="1"/>
    <col min="4" max="4" width="16.42578125" style="2" customWidth="1"/>
    <col min="5" max="5" width="16.140625" style="2" customWidth="1"/>
    <col min="6" max="7" width="16" style="2" customWidth="1"/>
    <col min="8" max="8" width="16.85546875" style="2" customWidth="1"/>
    <col min="9" max="9" width="16.140625" style="2" customWidth="1"/>
    <col min="10" max="10" width="16.7109375" style="2" customWidth="1"/>
    <col min="11" max="11" width="16.140625" style="2" customWidth="1"/>
    <col min="12" max="13" width="15.7109375" style="2" customWidth="1"/>
    <col min="14" max="14" width="12.140625" style="2" bestFit="1" customWidth="1"/>
    <col min="15" max="17" width="8.85546875" style="2" customWidth="1"/>
    <col min="18" max="18" width="23.28515625" style="2" customWidth="1"/>
    <col min="19" max="19" width="2.7109375" style="2" customWidth="1"/>
    <col min="20" max="20" width="23.28515625" style="2" customWidth="1"/>
    <col min="21" max="21" width="2.7109375" style="2" customWidth="1"/>
    <col min="22" max="22" width="23.28515625" style="2" customWidth="1"/>
    <col min="23" max="16384" width="11.42578125" style="2"/>
  </cols>
  <sheetData>
    <row r="1" spans="3:13" ht="50.25" customHeight="1" thickBot="1" x14ac:dyDescent="0.25">
      <c r="C1" s="1"/>
      <c r="D1" s="1"/>
      <c r="E1" s="354" t="s">
        <v>95</v>
      </c>
      <c r="F1" s="354"/>
      <c r="G1" s="354"/>
      <c r="H1" s="354"/>
      <c r="I1" s="354"/>
      <c r="J1" s="354"/>
      <c r="K1" s="354"/>
      <c r="L1" s="1"/>
      <c r="M1" s="1"/>
    </row>
    <row r="2" spans="3:13" ht="15" customHeight="1" x14ac:dyDescent="0.2">
      <c r="C2" s="421" t="s">
        <v>96</v>
      </c>
      <c r="D2" s="421"/>
      <c r="E2" s="421"/>
      <c r="F2" s="421"/>
      <c r="G2" s="421"/>
      <c r="H2" s="3"/>
      <c r="I2" s="423" t="s">
        <v>97</v>
      </c>
      <c r="J2" s="423"/>
      <c r="K2" s="423"/>
      <c r="L2" s="423"/>
      <c r="M2" s="423"/>
    </row>
    <row r="3" spans="3:13" ht="16.5" customHeight="1" thickBot="1" x14ac:dyDescent="0.25">
      <c r="C3" s="422"/>
      <c r="D3" s="422"/>
      <c r="E3" s="422"/>
      <c r="F3" s="422"/>
      <c r="G3" s="422"/>
      <c r="H3" s="4"/>
      <c r="I3" s="424"/>
      <c r="J3" s="424"/>
      <c r="K3" s="424"/>
      <c r="L3" s="424"/>
      <c r="M3" s="424"/>
    </row>
    <row r="4" spans="3:13" ht="5.25" customHeight="1" x14ac:dyDescent="0.2">
      <c r="C4" s="5"/>
      <c r="E4" s="6"/>
      <c r="F4" s="6"/>
      <c r="G4" s="6"/>
      <c r="H4" s="7"/>
      <c r="I4" s="8"/>
      <c r="J4" s="6"/>
      <c r="K4" s="9"/>
      <c r="L4" s="10"/>
      <c r="M4" s="11"/>
    </row>
    <row r="5" spans="3:13" ht="81.75" customHeight="1" x14ac:dyDescent="0.2">
      <c r="C5" s="450" t="s">
        <v>0</v>
      </c>
      <c r="D5" s="451"/>
      <c r="E5" s="12" t="s">
        <v>1</v>
      </c>
      <c r="F5" s="12" t="s">
        <v>2</v>
      </c>
      <c r="G5" s="13" t="s">
        <v>3</v>
      </c>
      <c r="H5" s="14"/>
      <c r="I5" s="15" t="s">
        <v>0</v>
      </c>
      <c r="J5" s="12" t="s">
        <v>1</v>
      </c>
      <c r="K5" s="12" t="s">
        <v>4</v>
      </c>
      <c r="L5" s="13" t="s">
        <v>3</v>
      </c>
      <c r="M5" s="13" t="s">
        <v>5</v>
      </c>
    </row>
    <row r="6" spans="3:13" ht="5.25" customHeight="1" thickBot="1" x14ac:dyDescent="0.25"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3:13" ht="18.75" customHeight="1" thickBot="1" x14ac:dyDescent="0.25">
      <c r="C7" s="258" t="s">
        <v>6</v>
      </c>
      <c r="D7" s="259"/>
      <c r="E7" s="259"/>
      <c r="F7" s="259"/>
      <c r="G7" s="259"/>
      <c r="H7" s="259"/>
      <c r="I7" s="259"/>
      <c r="J7" s="259"/>
      <c r="K7" s="259"/>
      <c r="L7" s="259"/>
      <c r="M7" s="260"/>
    </row>
    <row r="8" spans="3:13" ht="5.25" customHeight="1" thickBot="1" x14ac:dyDescent="0.25"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</row>
    <row r="9" spans="3:13" ht="24.75" customHeight="1" x14ac:dyDescent="0.2">
      <c r="C9" s="429" t="s">
        <v>7</v>
      </c>
      <c r="D9" s="430"/>
      <c r="E9" s="19" t="s">
        <v>8</v>
      </c>
      <c r="F9" s="20">
        <v>406424</v>
      </c>
      <c r="G9" s="21">
        <v>3.2800846699032196</v>
      </c>
      <c r="H9" s="22"/>
      <c r="I9" s="433" t="s">
        <v>7</v>
      </c>
      <c r="J9" s="23" t="s">
        <v>8</v>
      </c>
      <c r="K9" s="24">
        <v>1337071</v>
      </c>
      <c r="L9" s="25">
        <v>3.6274399191538844</v>
      </c>
      <c r="M9" s="364" t="s">
        <v>9</v>
      </c>
    </row>
    <row r="10" spans="3:13" ht="24.75" customHeight="1" x14ac:dyDescent="0.2">
      <c r="C10" s="429"/>
      <c r="D10" s="430"/>
      <c r="E10" s="26" t="s">
        <v>10</v>
      </c>
      <c r="F10" s="27">
        <v>314614</v>
      </c>
      <c r="G10" s="28">
        <v>3.4497341027381765</v>
      </c>
      <c r="H10" s="29"/>
      <c r="I10" s="434"/>
      <c r="J10" s="26" t="s">
        <v>10</v>
      </c>
      <c r="K10" s="27">
        <v>1043885</v>
      </c>
      <c r="L10" s="30">
        <v>3.818279167878293</v>
      </c>
      <c r="M10" s="364"/>
    </row>
    <row r="11" spans="3:13" ht="24.75" customHeight="1" thickBot="1" x14ac:dyDescent="0.25">
      <c r="C11" s="431"/>
      <c r="D11" s="432"/>
      <c r="E11" s="31" t="s">
        <v>11</v>
      </c>
      <c r="F11" s="20">
        <v>91810</v>
      </c>
      <c r="G11" s="21">
        <v>2.7855110707953656</v>
      </c>
      <c r="H11" s="29"/>
      <c r="I11" s="435"/>
      <c r="J11" s="32" t="s">
        <v>11</v>
      </c>
      <c r="K11" s="33">
        <v>293186</v>
      </c>
      <c r="L11" s="34">
        <v>3.0555240479714492</v>
      </c>
      <c r="M11" s="364"/>
    </row>
    <row r="12" spans="3:13" ht="24.75" hidden="1" customHeight="1" x14ac:dyDescent="0.2">
      <c r="C12" s="400" t="s">
        <v>12</v>
      </c>
      <c r="D12" s="401"/>
      <c r="E12" s="35" t="s">
        <v>8</v>
      </c>
      <c r="F12" s="36">
        <v>17258</v>
      </c>
      <c r="G12" s="37">
        <v>0.72787344813776533</v>
      </c>
      <c r="H12" s="38"/>
      <c r="I12" s="406" t="s">
        <v>12</v>
      </c>
      <c r="J12" s="35" t="s">
        <v>8</v>
      </c>
      <c r="K12" s="36">
        <v>67045</v>
      </c>
      <c r="L12" s="25">
        <v>0.85018075447746777</v>
      </c>
      <c r="M12" s="364"/>
    </row>
    <row r="13" spans="3:13" ht="46.5" customHeight="1" thickBot="1" x14ac:dyDescent="0.25">
      <c r="C13" s="402"/>
      <c r="D13" s="403"/>
      <c r="E13" s="39" t="s">
        <v>10</v>
      </c>
      <c r="F13" s="40">
        <v>17258</v>
      </c>
      <c r="G13" s="28">
        <v>0.72787344813776533</v>
      </c>
      <c r="H13" s="38"/>
      <c r="I13" s="407"/>
      <c r="J13" s="39" t="s">
        <v>10</v>
      </c>
      <c r="K13" s="40">
        <v>67045</v>
      </c>
      <c r="L13" s="30">
        <v>0.85018075447746777</v>
      </c>
      <c r="M13" s="364"/>
    </row>
    <row r="14" spans="3:13" ht="24.75" hidden="1" customHeight="1" x14ac:dyDescent="0.2">
      <c r="C14" s="404"/>
      <c r="D14" s="405"/>
      <c r="E14" s="41" t="s">
        <v>11</v>
      </c>
      <c r="F14" s="42">
        <v>0</v>
      </c>
      <c r="G14" s="43" t="s">
        <v>37</v>
      </c>
      <c r="H14" s="38"/>
      <c r="I14" s="408"/>
      <c r="J14" s="41" t="s">
        <v>11</v>
      </c>
      <c r="K14" s="42">
        <v>0</v>
      </c>
      <c r="L14" s="34" t="s">
        <v>37</v>
      </c>
      <c r="M14" s="364"/>
    </row>
    <row r="15" spans="3:13" ht="24.75" customHeight="1" x14ac:dyDescent="0.2">
      <c r="C15" s="436" t="s">
        <v>13</v>
      </c>
      <c r="D15" s="437"/>
      <c r="E15" s="44" t="s">
        <v>8</v>
      </c>
      <c r="F15" s="45">
        <v>3987</v>
      </c>
      <c r="G15" s="37">
        <v>1.07981220657277</v>
      </c>
      <c r="H15" s="38"/>
      <c r="I15" s="409" t="s">
        <v>13</v>
      </c>
      <c r="J15" s="44" t="s">
        <v>8</v>
      </c>
      <c r="K15" s="45">
        <v>17324</v>
      </c>
      <c r="L15" s="25">
        <v>1.4973331411272883</v>
      </c>
      <c r="M15" s="364"/>
    </row>
    <row r="16" spans="3:13" ht="24.75" customHeight="1" x14ac:dyDescent="0.2">
      <c r="C16" s="438"/>
      <c r="D16" s="439"/>
      <c r="E16" s="46" t="s">
        <v>10</v>
      </c>
      <c r="F16" s="47">
        <v>3472</v>
      </c>
      <c r="G16" s="28">
        <v>0.85966791644349216</v>
      </c>
      <c r="H16" s="38"/>
      <c r="I16" s="410"/>
      <c r="J16" s="46" t="s">
        <v>10</v>
      </c>
      <c r="K16" s="47">
        <v>15473</v>
      </c>
      <c r="L16" s="30">
        <v>1.2922962962962963</v>
      </c>
      <c r="M16" s="364"/>
    </row>
    <row r="17" spans="3:13" ht="24.75" customHeight="1" thickBot="1" x14ac:dyDescent="0.25">
      <c r="C17" s="440"/>
      <c r="D17" s="441"/>
      <c r="E17" s="48" t="s">
        <v>11</v>
      </c>
      <c r="F17" s="49">
        <v>515</v>
      </c>
      <c r="G17" s="43">
        <v>9.3000000000000007</v>
      </c>
      <c r="H17" s="38"/>
      <c r="I17" s="411"/>
      <c r="J17" s="48" t="s">
        <v>11</v>
      </c>
      <c r="K17" s="49">
        <v>1851</v>
      </c>
      <c r="L17" s="34">
        <v>8.8983957219251337</v>
      </c>
      <c r="M17" s="364"/>
    </row>
    <row r="18" spans="3:13" ht="24.75" customHeight="1" x14ac:dyDescent="0.2">
      <c r="C18" s="400" t="s">
        <v>14</v>
      </c>
      <c r="D18" s="401"/>
      <c r="E18" s="35" t="s">
        <v>8</v>
      </c>
      <c r="F18" s="36">
        <v>68808</v>
      </c>
      <c r="G18" s="37">
        <v>3.4957856909506697</v>
      </c>
      <c r="H18" s="38"/>
      <c r="I18" s="406" t="s">
        <v>14</v>
      </c>
      <c r="J18" s="35" t="s">
        <v>8</v>
      </c>
      <c r="K18" s="36">
        <v>213786</v>
      </c>
      <c r="L18" s="25">
        <v>3.4928127101546735</v>
      </c>
      <c r="M18" s="364"/>
    </row>
    <row r="19" spans="3:13" ht="24.75" customHeight="1" x14ac:dyDescent="0.2">
      <c r="C19" s="402"/>
      <c r="D19" s="403"/>
      <c r="E19" s="39" t="s">
        <v>10</v>
      </c>
      <c r="F19" s="40">
        <v>53134</v>
      </c>
      <c r="G19" s="28">
        <v>4.8666225019322074</v>
      </c>
      <c r="H19" s="38"/>
      <c r="I19" s="407"/>
      <c r="J19" s="39" t="s">
        <v>10</v>
      </c>
      <c r="K19" s="40">
        <v>170605</v>
      </c>
      <c r="L19" s="30">
        <v>4.9966608084358528</v>
      </c>
      <c r="M19" s="364"/>
    </row>
    <row r="20" spans="3:13" ht="24.75" customHeight="1" thickBot="1" x14ac:dyDescent="0.25">
      <c r="C20" s="404"/>
      <c r="D20" s="405"/>
      <c r="E20" s="41" t="s">
        <v>11</v>
      </c>
      <c r="F20" s="42">
        <v>15674</v>
      </c>
      <c r="G20" s="43">
        <v>1.5086427656850194</v>
      </c>
      <c r="H20" s="38"/>
      <c r="I20" s="408"/>
      <c r="J20" s="41" t="s">
        <v>11</v>
      </c>
      <c r="K20" s="42">
        <v>43181</v>
      </c>
      <c r="L20" s="34">
        <v>1.2567680568621302</v>
      </c>
      <c r="M20" s="364"/>
    </row>
    <row r="21" spans="3:13" ht="24.75" customHeight="1" x14ac:dyDescent="0.2">
      <c r="C21" s="412" t="s">
        <v>15</v>
      </c>
      <c r="D21" s="413"/>
      <c r="E21" s="50" t="s">
        <v>8</v>
      </c>
      <c r="F21" s="51">
        <v>316371</v>
      </c>
      <c r="G21" s="37">
        <v>3.6698894415988903</v>
      </c>
      <c r="H21" s="38"/>
      <c r="I21" s="418" t="s">
        <v>15</v>
      </c>
      <c r="J21" s="50" t="s">
        <v>8</v>
      </c>
      <c r="K21" s="51">
        <v>1038916</v>
      </c>
      <c r="L21" s="25">
        <v>4.2421260835780528</v>
      </c>
      <c r="M21" s="364"/>
    </row>
    <row r="22" spans="3:13" ht="24.75" customHeight="1" x14ac:dyDescent="0.2">
      <c r="C22" s="414"/>
      <c r="D22" s="415"/>
      <c r="E22" s="52" t="s">
        <v>10</v>
      </c>
      <c r="F22" s="53">
        <v>240750</v>
      </c>
      <c r="G22" s="28">
        <v>3.8351140745501286</v>
      </c>
      <c r="H22" s="38"/>
      <c r="I22" s="419"/>
      <c r="J22" s="52" t="s">
        <v>10</v>
      </c>
      <c r="K22" s="53">
        <v>790762</v>
      </c>
      <c r="L22" s="30">
        <v>4.445494236092939</v>
      </c>
      <c r="M22" s="364"/>
    </row>
    <row r="23" spans="3:13" ht="24.75" customHeight="1" thickBot="1" x14ac:dyDescent="0.25">
      <c r="C23" s="416"/>
      <c r="D23" s="417"/>
      <c r="E23" s="54" t="s">
        <v>11</v>
      </c>
      <c r="F23" s="55">
        <v>75621</v>
      </c>
      <c r="G23" s="43">
        <v>3.2116959064327482</v>
      </c>
      <c r="H23" s="38"/>
      <c r="I23" s="420"/>
      <c r="J23" s="54" t="s">
        <v>11</v>
      </c>
      <c r="K23" s="55">
        <v>248154</v>
      </c>
      <c r="L23" s="34">
        <v>3.6846258400664498</v>
      </c>
      <c r="M23" s="364"/>
    </row>
    <row r="24" spans="3:13" ht="5.25" customHeight="1" thickBot="1" x14ac:dyDescent="0.25"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</row>
    <row r="25" spans="3:13" ht="20.100000000000001" customHeight="1" thickBot="1" x14ac:dyDescent="0.25">
      <c r="C25" s="258" t="s">
        <v>16</v>
      </c>
      <c r="D25" s="259"/>
      <c r="E25" s="259"/>
      <c r="F25" s="259"/>
      <c r="G25" s="259"/>
      <c r="H25" s="259"/>
      <c r="I25" s="259"/>
      <c r="J25" s="259"/>
      <c r="K25" s="259"/>
      <c r="L25" s="259"/>
      <c r="M25" s="260"/>
    </row>
    <row r="26" spans="3:13" ht="5.25" customHeight="1" thickBot="1" x14ac:dyDescent="0.25"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57"/>
    </row>
    <row r="27" spans="3:13" ht="24.95" customHeight="1" x14ac:dyDescent="0.2">
      <c r="C27" s="427" t="s">
        <v>7</v>
      </c>
      <c r="D27" s="428"/>
      <c r="E27" s="23" t="s">
        <v>8</v>
      </c>
      <c r="F27" s="20">
        <v>2575372</v>
      </c>
      <c r="G27" s="21">
        <v>5.7975801470704678</v>
      </c>
      <c r="H27" s="22"/>
      <c r="I27" s="433" t="s">
        <v>7</v>
      </c>
      <c r="J27" s="23" t="s">
        <v>8</v>
      </c>
      <c r="K27" s="24">
        <v>8918852</v>
      </c>
      <c r="L27" s="25">
        <v>6.396945298685961</v>
      </c>
      <c r="M27" s="364" t="s">
        <v>9</v>
      </c>
    </row>
    <row r="28" spans="3:13" ht="24.95" customHeight="1" x14ac:dyDescent="0.2">
      <c r="C28" s="429"/>
      <c r="D28" s="430"/>
      <c r="E28" s="26" t="s">
        <v>10</v>
      </c>
      <c r="F28" s="27">
        <v>1966490</v>
      </c>
      <c r="G28" s="28">
        <v>6.2993819713813775</v>
      </c>
      <c r="H28" s="29"/>
      <c r="I28" s="434"/>
      <c r="J28" s="26" t="s">
        <v>10</v>
      </c>
      <c r="K28" s="27">
        <v>6683631</v>
      </c>
      <c r="L28" s="30">
        <v>6.855886363102095</v>
      </c>
      <c r="M28" s="364"/>
    </row>
    <row r="29" spans="3:13" ht="24.95" customHeight="1" thickBot="1" x14ac:dyDescent="0.25">
      <c r="C29" s="431"/>
      <c r="D29" s="432"/>
      <c r="E29" s="32" t="s">
        <v>11</v>
      </c>
      <c r="F29" s="20">
        <v>608882</v>
      </c>
      <c r="G29" s="21">
        <v>4.5625473913083194</v>
      </c>
      <c r="H29" s="29"/>
      <c r="I29" s="435"/>
      <c r="J29" s="32" t="s">
        <v>11</v>
      </c>
      <c r="K29" s="33">
        <v>2235221</v>
      </c>
      <c r="L29" s="34">
        <v>5.2969647968267566</v>
      </c>
      <c r="M29" s="364"/>
    </row>
    <row r="30" spans="3:13" ht="24.95" hidden="1" customHeight="1" x14ac:dyDescent="0.2">
      <c r="C30" s="400" t="s">
        <v>12</v>
      </c>
      <c r="D30" s="401"/>
      <c r="E30" s="35" t="s">
        <v>8</v>
      </c>
      <c r="F30" s="36">
        <v>49475</v>
      </c>
      <c r="G30" s="37">
        <v>1.5941170302013421</v>
      </c>
      <c r="H30" s="38"/>
      <c r="I30" s="406" t="s">
        <v>12</v>
      </c>
      <c r="J30" s="35" t="s">
        <v>8</v>
      </c>
      <c r="K30" s="36">
        <v>186311</v>
      </c>
      <c r="L30" s="25">
        <v>1.5669390060759705</v>
      </c>
      <c r="M30" s="364"/>
    </row>
    <row r="31" spans="3:13" ht="48" customHeight="1" thickBot="1" x14ac:dyDescent="0.25">
      <c r="C31" s="402"/>
      <c r="D31" s="403"/>
      <c r="E31" s="39" t="s">
        <v>10</v>
      </c>
      <c r="F31" s="40">
        <v>49475</v>
      </c>
      <c r="G31" s="28">
        <v>1.5941170302013421</v>
      </c>
      <c r="H31" s="38"/>
      <c r="I31" s="407"/>
      <c r="J31" s="39" t="s">
        <v>10</v>
      </c>
      <c r="K31" s="40">
        <v>186311</v>
      </c>
      <c r="L31" s="30">
        <v>1.5669390060759705</v>
      </c>
      <c r="M31" s="364"/>
    </row>
    <row r="32" spans="3:13" ht="24.95" hidden="1" customHeight="1" x14ac:dyDescent="0.2">
      <c r="C32" s="404"/>
      <c r="D32" s="405"/>
      <c r="E32" s="41" t="s">
        <v>11</v>
      </c>
      <c r="F32" s="42">
        <v>0</v>
      </c>
      <c r="G32" s="43" t="s">
        <v>37</v>
      </c>
      <c r="H32" s="38"/>
      <c r="I32" s="408"/>
      <c r="J32" s="41" t="s">
        <v>11</v>
      </c>
      <c r="K32" s="42">
        <v>0</v>
      </c>
      <c r="L32" s="34" t="s">
        <v>37</v>
      </c>
      <c r="M32" s="364"/>
    </row>
    <row r="33" spans="3:13" ht="24.95" customHeight="1" x14ac:dyDescent="0.2">
      <c r="C33" s="436" t="s">
        <v>13</v>
      </c>
      <c r="D33" s="437"/>
      <c r="E33" s="44" t="s">
        <v>8</v>
      </c>
      <c r="F33" s="45">
        <v>13096</v>
      </c>
      <c r="G33" s="37">
        <v>1.9865450399087798</v>
      </c>
      <c r="H33" s="38"/>
      <c r="I33" s="409" t="s">
        <v>13</v>
      </c>
      <c r="J33" s="44" t="s">
        <v>8</v>
      </c>
      <c r="K33" s="45">
        <v>52353</v>
      </c>
      <c r="L33" s="25">
        <v>2.2394653796175978</v>
      </c>
      <c r="M33" s="364"/>
    </row>
    <row r="34" spans="3:13" ht="24.95" customHeight="1" x14ac:dyDescent="0.2">
      <c r="C34" s="438"/>
      <c r="D34" s="439"/>
      <c r="E34" s="46" t="s">
        <v>10</v>
      </c>
      <c r="F34" s="47">
        <v>11129</v>
      </c>
      <c r="G34" s="28">
        <v>1.663714696026807</v>
      </c>
      <c r="H34" s="38"/>
      <c r="I34" s="410"/>
      <c r="J34" s="46" t="s">
        <v>10</v>
      </c>
      <c r="K34" s="47">
        <v>45172</v>
      </c>
      <c r="L34" s="30">
        <v>1.9439520333680917</v>
      </c>
      <c r="M34" s="364"/>
    </row>
    <row r="35" spans="3:13" ht="24.95" customHeight="1" thickBot="1" x14ac:dyDescent="0.25">
      <c r="C35" s="440"/>
      <c r="D35" s="441"/>
      <c r="E35" s="48" t="s">
        <v>11</v>
      </c>
      <c r="F35" s="49">
        <v>1967</v>
      </c>
      <c r="G35" s="43">
        <v>8.5024154589371985</v>
      </c>
      <c r="H35" s="38"/>
      <c r="I35" s="411"/>
      <c r="J35" s="48" t="s">
        <v>11</v>
      </c>
      <c r="K35" s="49">
        <v>7181</v>
      </c>
      <c r="L35" s="34">
        <v>7.7894736842105257</v>
      </c>
      <c r="M35" s="364"/>
    </row>
    <row r="36" spans="3:13" ht="24.95" customHeight="1" x14ac:dyDescent="0.2">
      <c r="C36" s="400" t="s">
        <v>14</v>
      </c>
      <c r="D36" s="401"/>
      <c r="E36" s="35" t="s">
        <v>8</v>
      </c>
      <c r="F36" s="36">
        <v>411775</v>
      </c>
      <c r="G36" s="37">
        <v>6.7186586188798083</v>
      </c>
      <c r="H36" s="38"/>
      <c r="I36" s="406" t="s">
        <v>14</v>
      </c>
      <c r="J36" s="35" t="s">
        <v>8</v>
      </c>
      <c r="K36" s="36">
        <v>1383680</v>
      </c>
      <c r="L36" s="25">
        <v>7.2880400601381261</v>
      </c>
      <c r="M36" s="364"/>
    </row>
    <row r="37" spans="3:13" ht="24.95" customHeight="1" x14ac:dyDescent="0.2">
      <c r="C37" s="402"/>
      <c r="D37" s="403"/>
      <c r="E37" s="39" t="s">
        <v>10</v>
      </c>
      <c r="F37" s="40">
        <v>314421</v>
      </c>
      <c r="G37" s="28">
        <v>9.3707698396991894</v>
      </c>
      <c r="H37" s="38"/>
      <c r="I37" s="407"/>
      <c r="J37" s="39" t="s">
        <v>10</v>
      </c>
      <c r="K37" s="40">
        <v>1062111</v>
      </c>
      <c r="L37" s="30">
        <v>10.735773795054254</v>
      </c>
      <c r="M37" s="364"/>
    </row>
    <row r="38" spans="3:13" ht="24.95" customHeight="1" thickBot="1" x14ac:dyDescent="0.25">
      <c r="C38" s="404"/>
      <c r="D38" s="405"/>
      <c r="E38" s="41" t="s">
        <v>11</v>
      </c>
      <c r="F38" s="42">
        <v>97354</v>
      </c>
      <c r="G38" s="43">
        <v>3.2272687798523663</v>
      </c>
      <c r="H38" s="38"/>
      <c r="I38" s="408"/>
      <c r="J38" s="41" t="s">
        <v>11</v>
      </c>
      <c r="K38" s="42">
        <v>321569</v>
      </c>
      <c r="L38" s="34">
        <v>3.2064305989770689</v>
      </c>
      <c r="M38" s="364"/>
    </row>
    <row r="39" spans="3:13" ht="24.95" customHeight="1" x14ac:dyDescent="0.2">
      <c r="C39" s="412" t="s">
        <v>15</v>
      </c>
      <c r="D39" s="413"/>
      <c r="E39" s="50" t="s">
        <v>8</v>
      </c>
      <c r="F39" s="51">
        <v>2101026</v>
      </c>
      <c r="G39" s="37">
        <v>5.9556347889995731</v>
      </c>
      <c r="H39" s="38"/>
      <c r="I39" s="418" t="s">
        <v>15</v>
      </c>
      <c r="J39" s="50" t="s">
        <v>8</v>
      </c>
      <c r="K39" s="51">
        <v>7296508</v>
      </c>
      <c r="L39" s="25">
        <v>6.6800739324061613</v>
      </c>
      <c r="M39" s="364"/>
    </row>
    <row r="40" spans="3:13" ht="24.95" customHeight="1" x14ac:dyDescent="0.2">
      <c r="C40" s="414"/>
      <c r="D40" s="415"/>
      <c r="E40" s="52" t="s">
        <v>10</v>
      </c>
      <c r="F40" s="53">
        <v>1591465</v>
      </c>
      <c r="G40" s="28">
        <v>6.3734577482081383</v>
      </c>
      <c r="H40" s="38"/>
      <c r="I40" s="419"/>
      <c r="J40" s="52" t="s">
        <v>10</v>
      </c>
      <c r="K40" s="53">
        <v>5390037</v>
      </c>
      <c r="L40" s="30">
        <v>7.0166772513843174</v>
      </c>
      <c r="M40" s="364"/>
    </row>
    <row r="41" spans="3:13" ht="24.95" customHeight="1" thickBot="1" x14ac:dyDescent="0.25">
      <c r="C41" s="416"/>
      <c r="D41" s="417"/>
      <c r="E41" s="54" t="s">
        <v>11</v>
      </c>
      <c r="F41" s="55">
        <v>509561</v>
      </c>
      <c r="G41" s="43">
        <v>4.9097351085544627</v>
      </c>
      <c r="H41" s="38"/>
      <c r="I41" s="420"/>
      <c r="J41" s="54" t="s">
        <v>11</v>
      </c>
      <c r="K41" s="55">
        <v>1906471</v>
      </c>
      <c r="L41" s="34">
        <v>5.8651189755999189</v>
      </c>
      <c r="M41" s="364"/>
    </row>
    <row r="42" spans="3:13" ht="5.25" customHeight="1" thickBot="1" x14ac:dyDescent="0.25">
      <c r="C42" s="56"/>
      <c r="D42" s="56"/>
      <c r="F42" s="56"/>
      <c r="G42" s="56"/>
      <c r="H42" s="56"/>
      <c r="I42" s="56"/>
      <c r="J42" s="56"/>
      <c r="K42" s="56"/>
      <c r="L42" s="56"/>
      <c r="M42" s="56"/>
    </row>
    <row r="43" spans="3:13" ht="20.100000000000001" customHeight="1" thickBot="1" x14ac:dyDescent="0.25">
      <c r="C43" s="258" t="s">
        <v>17</v>
      </c>
      <c r="D43" s="259"/>
      <c r="E43" s="259"/>
      <c r="F43" s="259"/>
      <c r="G43" s="259"/>
      <c r="H43" s="259"/>
      <c r="I43" s="259"/>
      <c r="J43" s="259"/>
      <c r="K43" s="259"/>
      <c r="L43" s="259"/>
      <c r="M43" s="260"/>
    </row>
    <row r="44" spans="3:13" ht="5.25" customHeight="1" thickBot="1" x14ac:dyDescent="0.2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57"/>
    </row>
    <row r="45" spans="3:13" ht="24.75" customHeight="1" x14ac:dyDescent="0.2">
      <c r="C45" s="427" t="s">
        <v>7</v>
      </c>
      <c r="D45" s="428"/>
      <c r="E45" s="23" t="s">
        <v>8</v>
      </c>
      <c r="F45" s="58">
        <v>6.3366631891817411</v>
      </c>
      <c r="G45" s="59">
        <v>2.3467940905370912</v>
      </c>
      <c r="H45" s="22"/>
      <c r="I45" s="433" t="s">
        <v>7</v>
      </c>
      <c r="J45" s="23" t="s">
        <v>8</v>
      </c>
      <c r="K45" s="58">
        <v>6.6704400888210129</v>
      </c>
      <c r="L45" s="60">
        <v>2.4974930817885079</v>
      </c>
      <c r="M45" s="364" t="s">
        <v>9</v>
      </c>
    </row>
    <row r="46" spans="3:13" ht="24.75" customHeight="1" x14ac:dyDescent="0.2">
      <c r="C46" s="429"/>
      <c r="D46" s="430"/>
      <c r="E46" s="26" t="s">
        <v>10</v>
      </c>
      <c r="F46" s="61">
        <v>6.2504847209596521</v>
      </c>
      <c r="G46" s="62">
        <v>2.4401628155511887</v>
      </c>
      <c r="H46" s="29"/>
      <c r="I46" s="434"/>
      <c r="J46" s="26" t="s">
        <v>10</v>
      </c>
      <c r="K46" s="61">
        <v>6.4026506751222598</v>
      </c>
      <c r="L46" s="63">
        <v>2.4756898025668597</v>
      </c>
      <c r="M46" s="364"/>
    </row>
    <row r="47" spans="3:13" ht="24.75" customHeight="1" thickBot="1" x14ac:dyDescent="0.25">
      <c r="C47" s="431"/>
      <c r="D47" s="432"/>
      <c r="E47" s="32" t="s">
        <v>11</v>
      </c>
      <c r="F47" s="64">
        <v>6.6319790872453979</v>
      </c>
      <c r="G47" s="65">
        <v>2.1186817632030115</v>
      </c>
      <c r="H47" s="29"/>
      <c r="I47" s="435"/>
      <c r="J47" s="32" t="s">
        <v>11</v>
      </c>
      <c r="K47" s="64">
        <v>7.6239008683907148</v>
      </c>
      <c r="L47" s="66">
        <v>2.7137712569483901</v>
      </c>
      <c r="M47" s="364"/>
    </row>
    <row r="48" spans="3:13" ht="24.75" hidden="1" customHeight="1" x14ac:dyDescent="0.2">
      <c r="C48" s="400" t="s">
        <v>12</v>
      </c>
      <c r="D48" s="401"/>
      <c r="E48" s="35" t="s">
        <v>8</v>
      </c>
      <c r="F48" s="67">
        <v>2.866786417893151</v>
      </c>
      <c r="G48" s="59">
        <v>0.9572950282255499</v>
      </c>
      <c r="H48" s="38"/>
      <c r="I48" s="406" t="s">
        <v>12</v>
      </c>
      <c r="J48" s="35" t="s">
        <v>8</v>
      </c>
      <c r="K48" s="67">
        <v>2.7788947721679471</v>
      </c>
      <c r="L48" s="60">
        <v>0.77594198910091627</v>
      </c>
      <c r="M48" s="364"/>
    </row>
    <row r="49" spans="3:13" ht="50.25" customHeight="1" thickBot="1" x14ac:dyDescent="0.25">
      <c r="C49" s="402"/>
      <c r="D49" s="403"/>
      <c r="E49" s="39" t="s">
        <v>10</v>
      </c>
      <c r="F49" s="68">
        <v>2.866786417893151</v>
      </c>
      <c r="G49" s="62">
        <v>0.9572950282255499</v>
      </c>
      <c r="H49" s="38"/>
      <c r="I49" s="407"/>
      <c r="J49" s="39" t="s">
        <v>10</v>
      </c>
      <c r="K49" s="68">
        <v>2.7788947721679471</v>
      </c>
      <c r="L49" s="63">
        <v>0.77594198910091627</v>
      </c>
      <c r="M49" s="364"/>
    </row>
    <row r="50" spans="3:13" ht="24.75" hidden="1" customHeight="1" x14ac:dyDescent="0.2">
      <c r="C50" s="404"/>
      <c r="D50" s="405"/>
      <c r="E50" s="41" t="s">
        <v>11</v>
      </c>
      <c r="F50" s="69" t="s">
        <v>37</v>
      </c>
      <c r="G50" s="65" t="s">
        <v>37</v>
      </c>
      <c r="H50" s="38"/>
      <c r="I50" s="408"/>
      <c r="J50" s="41" t="s">
        <v>11</v>
      </c>
      <c r="K50" s="69" t="e">
        <v>#DIV/0!</v>
      </c>
      <c r="L50" s="66" t="s">
        <v>37</v>
      </c>
      <c r="M50" s="364"/>
    </row>
    <row r="51" spans="3:13" ht="24.75" customHeight="1" x14ac:dyDescent="0.2">
      <c r="C51" s="436" t="s">
        <v>13</v>
      </c>
      <c r="D51" s="437"/>
      <c r="E51" s="44" t="s">
        <v>8</v>
      </c>
      <c r="F51" s="70">
        <v>3.2846751943817405</v>
      </c>
      <c r="G51" s="59">
        <v>0.99724692103797441</v>
      </c>
      <c r="H51" s="38"/>
      <c r="I51" s="409" t="s">
        <v>13</v>
      </c>
      <c r="J51" s="44" t="s">
        <v>8</v>
      </c>
      <c r="K51" s="70">
        <v>3.0219926114061417</v>
      </c>
      <c r="L51" s="60">
        <v>0.69231119292553034</v>
      </c>
      <c r="M51" s="364"/>
    </row>
    <row r="52" spans="3:13" ht="24.75" customHeight="1" x14ac:dyDescent="0.2">
      <c r="C52" s="438"/>
      <c r="D52" s="439"/>
      <c r="E52" s="46" t="s">
        <v>10</v>
      </c>
      <c r="F52" s="71">
        <v>3.2053571428571428</v>
      </c>
      <c r="G52" s="62">
        <v>0.96754246690641965</v>
      </c>
      <c r="H52" s="38"/>
      <c r="I52" s="410"/>
      <c r="J52" s="46" t="s">
        <v>10</v>
      </c>
      <c r="K52" s="71">
        <v>2.9194080010340593</v>
      </c>
      <c r="L52" s="63">
        <v>0.64622281584887409</v>
      </c>
      <c r="M52" s="364"/>
    </row>
    <row r="53" spans="3:13" ht="24.75" customHeight="1" thickBot="1" x14ac:dyDescent="0.25">
      <c r="C53" s="440"/>
      <c r="D53" s="441"/>
      <c r="E53" s="48" t="s">
        <v>11</v>
      </c>
      <c r="F53" s="72">
        <v>3.8194174757281552</v>
      </c>
      <c r="G53" s="65">
        <v>-0.32058252427184453</v>
      </c>
      <c r="H53" s="38"/>
      <c r="I53" s="411"/>
      <c r="J53" s="48" t="s">
        <v>11</v>
      </c>
      <c r="K53" s="72">
        <v>3.8795245813074013</v>
      </c>
      <c r="L53" s="66">
        <v>-0.48945937591185018</v>
      </c>
      <c r="M53" s="364"/>
    </row>
    <row r="54" spans="3:13" ht="24.75" customHeight="1" x14ac:dyDescent="0.2">
      <c r="C54" s="400" t="s">
        <v>14</v>
      </c>
      <c r="D54" s="401"/>
      <c r="E54" s="35" t="s">
        <v>8</v>
      </c>
      <c r="F54" s="67">
        <v>5.9844058830368558</v>
      </c>
      <c r="G54" s="59">
        <v>2.498747601429538</v>
      </c>
      <c r="H54" s="38"/>
      <c r="I54" s="406" t="s">
        <v>14</v>
      </c>
      <c r="J54" s="35" t="s">
        <v>8</v>
      </c>
      <c r="K54" s="67">
        <v>6.4722666591825471</v>
      </c>
      <c r="L54" s="60">
        <v>2.9637553948920292</v>
      </c>
      <c r="M54" s="364"/>
    </row>
    <row r="55" spans="3:13" ht="24.75" customHeight="1" x14ac:dyDescent="0.2">
      <c r="C55" s="402"/>
      <c r="D55" s="403"/>
      <c r="E55" s="39" t="s">
        <v>10</v>
      </c>
      <c r="F55" s="68">
        <v>5.9175104452892686</v>
      </c>
      <c r="G55" s="62">
        <v>2.5700443969288842</v>
      </c>
      <c r="H55" s="38"/>
      <c r="I55" s="407"/>
      <c r="J55" s="39" t="s">
        <v>10</v>
      </c>
      <c r="K55" s="68">
        <v>6.2255561091409986</v>
      </c>
      <c r="L55" s="63">
        <v>3.0444664782095399</v>
      </c>
      <c r="M55" s="364"/>
    </row>
    <row r="56" spans="3:13" ht="24.75" customHeight="1" thickBot="1" x14ac:dyDescent="0.25">
      <c r="C56" s="404"/>
      <c r="D56" s="405"/>
      <c r="E56" s="41" t="s">
        <v>11</v>
      </c>
      <c r="F56" s="69">
        <v>6.2111777465867037</v>
      </c>
      <c r="G56" s="65">
        <v>2.5251982331424014</v>
      </c>
      <c r="H56" s="38"/>
      <c r="I56" s="408"/>
      <c r="J56" s="41" t="s">
        <v>11</v>
      </c>
      <c r="K56" s="69">
        <v>7.4470021537250179</v>
      </c>
      <c r="L56" s="66">
        <v>3.4516535595993778</v>
      </c>
      <c r="M56" s="364"/>
    </row>
    <row r="57" spans="3:13" ht="24.75" customHeight="1" x14ac:dyDescent="0.2">
      <c r="C57" s="412" t="s">
        <v>15</v>
      </c>
      <c r="D57" s="413"/>
      <c r="E57" s="50" t="s">
        <v>8</v>
      </c>
      <c r="F57" s="73">
        <v>6.6410195624757007</v>
      </c>
      <c r="G57" s="59">
        <v>2.1823571862819211</v>
      </c>
      <c r="H57" s="38"/>
      <c r="I57" s="418" t="s">
        <v>15</v>
      </c>
      <c r="J57" s="50" t="s">
        <v>8</v>
      </c>
      <c r="K57" s="73">
        <v>7.0231934054341254</v>
      </c>
      <c r="L57" s="60">
        <v>2.229428961931557</v>
      </c>
      <c r="M57" s="364"/>
    </row>
    <row r="58" spans="3:13" ht="24.75" customHeight="1" x14ac:dyDescent="0.2">
      <c r="C58" s="414"/>
      <c r="D58" s="415"/>
      <c r="E58" s="52" t="s">
        <v>10</v>
      </c>
      <c r="F58" s="74">
        <v>6.6104465212876429</v>
      </c>
      <c r="G58" s="62">
        <v>2.2756738670459979</v>
      </c>
      <c r="H58" s="38"/>
      <c r="I58" s="419"/>
      <c r="J58" s="52" t="s">
        <v>10</v>
      </c>
      <c r="K58" s="74">
        <v>6.81625697744707</v>
      </c>
      <c r="L58" s="63">
        <v>2.1861731012367871</v>
      </c>
      <c r="M58" s="364"/>
    </row>
    <row r="59" spans="3:13" ht="24.75" customHeight="1" thickBot="1" x14ac:dyDescent="0.25">
      <c r="C59" s="442"/>
      <c r="D59" s="443"/>
      <c r="E59" s="75" t="s">
        <v>11</v>
      </c>
      <c r="F59" s="76">
        <v>6.7383531029740418</v>
      </c>
      <c r="G59" s="77">
        <v>1.9361253112725656</v>
      </c>
      <c r="H59" s="78"/>
      <c r="I59" s="444"/>
      <c r="J59" s="75" t="s">
        <v>11</v>
      </c>
      <c r="K59" s="76">
        <v>7.6826124100357038</v>
      </c>
      <c r="L59" s="79">
        <v>2.4401446912408691</v>
      </c>
      <c r="M59" s="449"/>
    </row>
    <row r="60" spans="3:13" ht="13.5" thickBot="1" x14ac:dyDescent="0.25">
      <c r="C60" s="445"/>
      <c r="D60" s="446"/>
      <c r="E60" s="446"/>
      <c r="F60" s="446"/>
      <c r="G60" s="446"/>
      <c r="H60" s="446"/>
      <c r="I60" s="446"/>
      <c r="J60" s="446"/>
      <c r="K60" s="446"/>
      <c r="L60" s="446"/>
      <c r="M60" s="447"/>
    </row>
    <row r="61" spans="3:13" ht="50.25" customHeight="1" thickBot="1" x14ac:dyDescent="0.25">
      <c r="C61" s="80"/>
      <c r="D61" s="80"/>
      <c r="E61" s="448" t="s">
        <v>95</v>
      </c>
      <c r="F61" s="448"/>
      <c r="G61" s="448"/>
      <c r="H61" s="448"/>
      <c r="I61" s="448"/>
      <c r="J61" s="448"/>
      <c r="K61" s="448"/>
      <c r="L61" s="80"/>
      <c r="M61" s="80"/>
    </row>
    <row r="62" spans="3:13" ht="15" customHeight="1" x14ac:dyDescent="0.2">
      <c r="C62" s="421" t="s">
        <v>96</v>
      </c>
      <c r="D62" s="421"/>
      <c r="E62" s="421"/>
      <c r="F62" s="421"/>
      <c r="G62" s="421"/>
      <c r="H62" s="3"/>
      <c r="I62" s="423" t="str">
        <f>I2</f>
        <v>acumulado abril 2022</v>
      </c>
      <c r="J62" s="423"/>
      <c r="K62" s="423"/>
      <c r="L62" s="423"/>
      <c r="M62" s="423"/>
    </row>
    <row r="63" spans="3:13" ht="16.5" customHeight="1" thickBot="1" x14ac:dyDescent="0.25">
      <c r="C63" s="422"/>
      <c r="D63" s="422"/>
      <c r="E63" s="422"/>
      <c r="F63" s="422"/>
      <c r="G63" s="422"/>
      <c r="H63" s="4"/>
      <c r="I63" s="424"/>
      <c r="J63" s="424"/>
      <c r="K63" s="424"/>
      <c r="L63" s="424"/>
      <c r="M63" s="424"/>
    </row>
    <row r="64" spans="3:13" ht="81.75" customHeight="1" x14ac:dyDescent="0.2">
      <c r="C64" s="425" t="str">
        <f t="shared" ref="C64:G64" si="0">C5</f>
        <v>Ámbito</v>
      </c>
      <c r="D64" s="426"/>
      <c r="E64" s="12" t="str">
        <f t="shared" si="0"/>
        <v>Variable</v>
      </c>
      <c r="F64" s="12" t="str">
        <f t="shared" si="0"/>
        <v>Valor absoluto
mensual</v>
      </c>
      <c r="G64" s="12" t="str">
        <f t="shared" si="0"/>
        <v>Variación respecto al año anterior</v>
      </c>
      <c r="H64" s="14"/>
      <c r="I64" s="12" t="str">
        <f>I5</f>
        <v>Ámbito</v>
      </c>
      <c r="J64" s="12" t="str">
        <f t="shared" ref="J64:M64" si="1">J5</f>
        <v>Variable</v>
      </c>
      <c r="K64" s="12" t="str">
        <f t="shared" si="1"/>
        <v>Valor absoluto
acumulado</v>
      </c>
      <c r="L64" s="12" t="str">
        <f t="shared" si="1"/>
        <v>Variación respecto al año anterior</v>
      </c>
      <c r="M64" s="13" t="str">
        <f t="shared" si="1"/>
        <v>Fuente</v>
      </c>
    </row>
    <row r="65" spans="3:13" ht="5.25" customHeight="1" thickBot="1" x14ac:dyDescent="0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</row>
    <row r="66" spans="3:13" ht="20.100000000000001" customHeight="1" thickBot="1" x14ac:dyDescent="0.25">
      <c r="C66" s="258" t="s">
        <v>18</v>
      </c>
      <c r="D66" s="259"/>
      <c r="E66" s="259"/>
      <c r="F66" s="259"/>
      <c r="G66" s="259"/>
      <c r="H66" s="259"/>
      <c r="I66" s="259"/>
      <c r="J66" s="259"/>
      <c r="K66" s="259"/>
      <c r="L66" s="259"/>
      <c r="M66" s="260"/>
    </row>
    <row r="67" spans="3:13" ht="5.25" customHeight="1" thickBot="1" x14ac:dyDescent="0.2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57"/>
    </row>
    <row r="68" spans="3:13" ht="24.75" customHeight="1" x14ac:dyDescent="0.2">
      <c r="C68" s="427" t="s">
        <v>7</v>
      </c>
      <c r="D68" s="428"/>
      <c r="E68" s="23" t="s">
        <v>8</v>
      </c>
      <c r="F68" s="81">
        <v>0.68840702902385953</v>
      </c>
      <c r="G68" s="37">
        <v>1.5781330743359758</v>
      </c>
      <c r="H68" s="22"/>
      <c r="I68" s="433" t="s">
        <v>7</v>
      </c>
      <c r="J68" s="23" t="s">
        <v>8</v>
      </c>
      <c r="K68" s="81">
        <v>0.63679785962683122</v>
      </c>
      <c r="L68" s="25">
        <v>2.0042126328449634</v>
      </c>
      <c r="M68" s="364" t="s">
        <v>9</v>
      </c>
    </row>
    <row r="69" spans="3:13" ht="24.75" customHeight="1" x14ac:dyDescent="0.2">
      <c r="C69" s="429"/>
      <c r="D69" s="430"/>
      <c r="E69" s="26" t="s">
        <v>10</v>
      </c>
      <c r="F69" s="82">
        <v>0.75472835014353923</v>
      </c>
      <c r="G69" s="28">
        <v>1.1868226280954204</v>
      </c>
      <c r="H69" s="29"/>
      <c r="I69" s="434"/>
      <c r="J69" s="26" t="s">
        <v>10</v>
      </c>
      <c r="K69" s="82">
        <v>0.6817625984627057</v>
      </c>
      <c r="L69" s="30">
        <v>1.5834409545178594</v>
      </c>
      <c r="M69" s="364"/>
    </row>
    <row r="70" spans="3:13" ht="24.75" customHeight="1" thickBot="1" x14ac:dyDescent="0.25">
      <c r="C70" s="431"/>
      <c r="D70" s="432"/>
      <c r="E70" s="32" t="s">
        <v>11</v>
      </c>
      <c r="F70" s="83">
        <v>0.5362236900044034</v>
      </c>
      <c r="G70" s="43">
        <v>2.1267835745700352</v>
      </c>
      <c r="H70" s="29"/>
      <c r="I70" s="435"/>
      <c r="J70" s="32" t="s">
        <v>11</v>
      </c>
      <c r="K70" s="83">
        <v>0.53190115754996525</v>
      </c>
      <c r="L70" s="34">
        <v>2.6928251712952536</v>
      </c>
      <c r="M70" s="364"/>
    </row>
    <row r="71" spans="3:13" ht="24.75" hidden="1" customHeight="1" x14ac:dyDescent="0.2">
      <c r="C71" s="400" t="s">
        <v>12</v>
      </c>
      <c r="D71" s="401"/>
      <c r="E71" s="35" t="s">
        <v>8</v>
      </c>
      <c r="F71" s="84">
        <v>0.66418311182709089</v>
      </c>
      <c r="G71" s="37">
        <v>1.4060618286563393</v>
      </c>
      <c r="H71" s="38"/>
      <c r="I71" s="406" t="s">
        <v>12</v>
      </c>
      <c r="J71" s="35" t="s">
        <v>8</v>
      </c>
      <c r="K71" s="84">
        <v>0.64516587021261862</v>
      </c>
      <c r="L71" s="25">
        <v>1.0364489448438423</v>
      </c>
      <c r="M71" s="364"/>
    </row>
    <row r="72" spans="3:13" ht="43.5" customHeight="1" thickBot="1" x14ac:dyDescent="0.25">
      <c r="C72" s="402"/>
      <c r="D72" s="403"/>
      <c r="E72" s="39" t="s">
        <v>10</v>
      </c>
      <c r="F72" s="85">
        <v>0.66632996632996633</v>
      </c>
      <c r="G72" s="28">
        <v>1.4054539734594265</v>
      </c>
      <c r="H72" s="38"/>
      <c r="I72" s="407"/>
      <c r="J72" s="39" t="s">
        <v>10</v>
      </c>
      <c r="K72" s="85">
        <v>0.64731776804947538</v>
      </c>
      <c r="L72" s="30">
        <v>1.0388890975506904</v>
      </c>
      <c r="M72" s="364"/>
    </row>
    <row r="73" spans="3:13" ht="24.75" hidden="1" customHeight="1" x14ac:dyDescent="0.2">
      <c r="C73" s="404"/>
      <c r="D73" s="405"/>
      <c r="E73" s="41" t="s">
        <v>11</v>
      </c>
      <c r="F73" s="86">
        <v>0</v>
      </c>
      <c r="G73" s="43" t="s">
        <v>37</v>
      </c>
      <c r="H73" s="38"/>
      <c r="I73" s="408"/>
      <c r="J73" s="41" t="s">
        <v>11</v>
      </c>
      <c r="K73" s="86">
        <v>0</v>
      </c>
      <c r="L73" s="34" t="s">
        <v>37</v>
      </c>
      <c r="M73" s="364"/>
    </row>
    <row r="74" spans="3:13" ht="24.75" customHeight="1" x14ac:dyDescent="0.2">
      <c r="C74" s="436" t="s">
        <v>13</v>
      </c>
      <c r="D74" s="437"/>
      <c r="E74" s="44" t="s">
        <v>8</v>
      </c>
      <c r="F74" s="87">
        <v>0.53041717294451196</v>
      </c>
      <c r="G74" s="37">
        <v>1.1373937162895156</v>
      </c>
      <c r="H74" s="38"/>
      <c r="I74" s="409" t="s">
        <v>13</v>
      </c>
      <c r="J74" s="44" t="s">
        <v>8</v>
      </c>
      <c r="K74" s="87">
        <v>0.53010328068043744</v>
      </c>
      <c r="L74" s="25">
        <v>1.3640618554050175</v>
      </c>
      <c r="M74" s="364"/>
    </row>
    <row r="75" spans="3:13" ht="24.75" customHeight="1" x14ac:dyDescent="0.2">
      <c r="C75" s="438"/>
      <c r="D75" s="439"/>
      <c r="E75" s="46" t="s">
        <v>10</v>
      </c>
      <c r="F75" s="88">
        <v>0.59354666666666667</v>
      </c>
      <c r="G75" s="28">
        <v>1.275877836285304</v>
      </c>
      <c r="H75" s="38"/>
      <c r="I75" s="410"/>
      <c r="J75" s="46" t="s">
        <v>10</v>
      </c>
      <c r="K75" s="88">
        <v>0.60229333333333335</v>
      </c>
      <c r="L75" s="30">
        <v>1.5894217031630169</v>
      </c>
      <c r="M75" s="364"/>
    </row>
    <row r="76" spans="3:13" ht="24.75" customHeight="1" thickBot="1" x14ac:dyDescent="0.25">
      <c r="C76" s="440"/>
      <c r="D76" s="441"/>
      <c r="E76" s="48" t="s">
        <v>11</v>
      </c>
      <c r="F76" s="89">
        <v>0.33114478114478113</v>
      </c>
      <c r="G76" s="43">
        <v>1.639559849704777</v>
      </c>
      <c r="H76" s="38"/>
      <c r="I76" s="411"/>
      <c r="J76" s="48" t="s">
        <v>11</v>
      </c>
      <c r="K76" s="89">
        <v>0.30223063973063974</v>
      </c>
      <c r="L76" s="34">
        <v>1.2580365054049265</v>
      </c>
      <c r="M76" s="364"/>
    </row>
    <row r="77" spans="3:13" ht="24.75" customHeight="1" x14ac:dyDescent="0.2">
      <c r="C77" s="400" t="s">
        <v>14</v>
      </c>
      <c r="D77" s="401"/>
      <c r="E77" s="35" t="s">
        <v>8</v>
      </c>
      <c r="F77" s="84">
        <v>0.62592153464970279</v>
      </c>
      <c r="G77" s="37">
        <v>1.5462527451765484</v>
      </c>
      <c r="H77" s="38"/>
      <c r="I77" s="406" t="s">
        <v>14</v>
      </c>
      <c r="J77" s="35" t="s">
        <v>8</v>
      </c>
      <c r="K77" s="84">
        <v>0.58362461558967105</v>
      </c>
      <c r="L77" s="25">
        <v>2.1226743309178158</v>
      </c>
      <c r="M77" s="364"/>
    </row>
    <row r="78" spans="3:13" ht="24.75" customHeight="1" x14ac:dyDescent="0.2">
      <c r="C78" s="402"/>
      <c r="D78" s="403"/>
      <c r="E78" s="39" t="s">
        <v>10</v>
      </c>
      <c r="F78" s="85">
        <v>0.65858363704913914</v>
      </c>
      <c r="G78" s="28">
        <v>1.3466848179437463</v>
      </c>
      <c r="H78" s="38"/>
      <c r="I78" s="407"/>
      <c r="J78" s="39" t="s">
        <v>10</v>
      </c>
      <c r="K78" s="85">
        <v>0.6081594791675613</v>
      </c>
      <c r="L78" s="30">
        <v>2.084960222041528</v>
      </c>
      <c r="M78" s="364"/>
    </row>
    <row r="79" spans="3:13" ht="24.75" customHeight="1" thickBot="1" x14ac:dyDescent="0.25">
      <c r="C79" s="404"/>
      <c r="D79" s="405"/>
      <c r="E79" s="41" t="s">
        <v>11</v>
      </c>
      <c r="F79" s="86">
        <v>0.53950678858409529</v>
      </c>
      <c r="G79" s="43">
        <v>1.553228175761205</v>
      </c>
      <c r="H79" s="38"/>
      <c r="I79" s="408"/>
      <c r="J79" s="41" t="s">
        <v>11</v>
      </c>
      <c r="K79" s="86">
        <v>0.51500150543558332</v>
      </c>
      <c r="L79" s="34">
        <v>1.9249191416798541</v>
      </c>
      <c r="M79" s="364"/>
    </row>
    <row r="80" spans="3:13" ht="24.75" customHeight="1" x14ac:dyDescent="0.2">
      <c r="C80" s="412" t="s">
        <v>15</v>
      </c>
      <c r="D80" s="413"/>
      <c r="E80" s="50" t="s">
        <v>8</v>
      </c>
      <c r="F80" s="90">
        <v>0.70409482541948587</v>
      </c>
      <c r="G80" s="37">
        <v>1.5992635256629248</v>
      </c>
      <c r="H80" s="38"/>
      <c r="I80" s="418" t="s">
        <v>15</v>
      </c>
      <c r="J80" s="50" t="s">
        <v>8</v>
      </c>
      <c r="K80" s="90">
        <v>0.64872824420001662</v>
      </c>
      <c r="L80" s="25">
        <v>2.0685811405222432</v>
      </c>
      <c r="M80" s="364"/>
    </row>
    <row r="81" spans="3:13" ht="24.75" customHeight="1" x14ac:dyDescent="0.2">
      <c r="C81" s="414"/>
      <c r="D81" s="415"/>
      <c r="E81" s="52" t="s">
        <v>10</v>
      </c>
      <c r="F81" s="91">
        <v>0.78199288501036779</v>
      </c>
      <c r="G81" s="28">
        <v>1.1292791250832486</v>
      </c>
      <c r="H81" s="38"/>
      <c r="I81" s="419"/>
      <c r="J81" s="52" t="s">
        <v>10</v>
      </c>
      <c r="K81" s="91">
        <v>0.7005322058697957</v>
      </c>
      <c r="L81" s="30">
        <v>1.5737772857725618</v>
      </c>
      <c r="M81" s="364"/>
    </row>
    <row r="82" spans="3:13" ht="24.75" customHeight="1" thickBot="1" x14ac:dyDescent="0.25">
      <c r="C82" s="416"/>
      <c r="D82" s="417"/>
      <c r="E82" s="54" t="s">
        <v>11</v>
      </c>
      <c r="F82" s="92">
        <v>0.5370187696944787</v>
      </c>
      <c r="G82" s="43">
        <v>2.2847432169334296</v>
      </c>
      <c r="H82" s="38"/>
      <c r="I82" s="420"/>
      <c r="J82" s="54" t="s">
        <v>11</v>
      </c>
      <c r="K82" s="92">
        <v>0.53655043341213549</v>
      </c>
      <c r="L82" s="34">
        <v>2.9099124709437718</v>
      </c>
      <c r="M82" s="364"/>
    </row>
    <row r="83" spans="3:13" ht="5.25" customHeight="1" thickBot="1" x14ac:dyDescent="0.25"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3:13" ht="20.100000000000001" customHeight="1" thickBot="1" x14ac:dyDescent="0.25">
      <c r="C84" s="258" t="s">
        <v>19</v>
      </c>
      <c r="D84" s="259"/>
      <c r="E84" s="259"/>
      <c r="F84" s="259"/>
      <c r="G84" s="259"/>
      <c r="H84" s="259"/>
      <c r="I84" s="259"/>
      <c r="J84" s="259"/>
      <c r="K84" s="259"/>
      <c r="L84" s="259"/>
      <c r="M84" s="260"/>
    </row>
    <row r="85" spans="3:13" ht="5.25" customHeight="1" thickBot="1" x14ac:dyDescent="0.25">
      <c r="C85" s="93"/>
      <c r="D85" s="17"/>
      <c r="E85" s="17"/>
      <c r="F85" s="17"/>
      <c r="G85" s="17"/>
      <c r="H85" s="17"/>
      <c r="I85" s="17"/>
      <c r="J85" s="17"/>
      <c r="K85" s="17"/>
      <c r="L85" s="17"/>
      <c r="M85" s="57"/>
    </row>
    <row r="86" spans="3:13" ht="33.75" customHeight="1" x14ac:dyDescent="0.2">
      <c r="C86" s="400" t="s">
        <v>7</v>
      </c>
      <c r="D86" s="401"/>
      <c r="E86" s="35" t="s">
        <v>20</v>
      </c>
      <c r="F86" s="36">
        <v>72760</v>
      </c>
      <c r="G86" s="37">
        <v>2.3474420316525579</v>
      </c>
      <c r="H86" s="94"/>
      <c r="I86" s="406" t="s">
        <v>7</v>
      </c>
      <c r="J86" s="35" t="s">
        <v>20</v>
      </c>
      <c r="K86" s="36">
        <v>241593</v>
      </c>
      <c r="L86" s="25">
        <v>2.8675919700316972</v>
      </c>
      <c r="M86" s="364" t="s">
        <v>9</v>
      </c>
    </row>
    <row r="87" spans="3:13" ht="33.75" customHeight="1" x14ac:dyDescent="0.2">
      <c r="C87" s="402"/>
      <c r="D87" s="403"/>
      <c r="E87" s="52" t="s">
        <v>21</v>
      </c>
      <c r="F87" s="53">
        <v>189598</v>
      </c>
      <c r="G87" s="28">
        <v>4.7066578377076809</v>
      </c>
      <c r="H87" s="38"/>
      <c r="I87" s="407"/>
      <c r="J87" s="52" t="s">
        <v>21</v>
      </c>
      <c r="K87" s="53">
        <v>613234</v>
      </c>
      <c r="L87" s="30">
        <v>5.3023133921872914</v>
      </c>
      <c r="M87" s="364"/>
    </row>
    <row r="88" spans="3:13" ht="33.75" customHeight="1" x14ac:dyDescent="0.2">
      <c r="C88" s="402"/>
      <c r="D88" s="403"/>
      <c r="E88" s="39" t="s">
        <v>22</v>
      </c>
      <c r="F88" s="40">
        <v>40459</v>
      </c>
      <c r="G88" s="28">
        <v>2.0821208196846195</v>
      </c>
      <c r="H88" s="38"/>
      <c r="I88" s="407"/>
      <c r="J88" s="39" t="s">
        <v>22</v>
      </c>
      <c r="K88" s="40">
        <v>151757</v>
      </c>
      <c r="L88" s="30">
        <v>2.4648507956802668</v>
      </c>
      <c r="M88" s="364"/>
    </row>
    <row r="89" spans="3:13" ht="33.75" customHeight="1" x14ac:dyDescent="0.2">
      <c r="C89" s="402"/>
      <c r="D89" s="403"/>
      <c r="E89" s="52" t="s">
        <v>23</v>
      </c>
      <c r="F89" s="53">
        <v>9596</v>
      </c>
      <c r="G89" s="28">
        <v>7.8117539026629927</v>
      </c>
      <c r="H89" s="38"/>
      <c r="I89" s="407"/>
      <c r="J89" s="52" t="s">
        <v>23</v>
      </c>
      <c r="K89" s="53">
        <v>29521</v>
      </c>
      <c r="L89" s="30">
        <v>3.8490473061760841</v>
      </c>
      <c r="M89" s="364"/>
    </row>
    <row r="90" spans="3:13" ht="33.75" customHeight="1" thickBot="1" x14ac:dyDescent="0.25">
      <c r="C90" s="404"/>
      <c r="D90" s="405"/>
      <c r="E90" s="41" t="s">
        <v>24</v>
      </c>
      <c r="F90" s="42">
        <v>2201</v>
      </c>
      <c r="G90" s="43">
        <v>0.4404450261780104</v>
      </c>
      <c r="H90" s="95"/>
      <c r="I90" s="408"/>
      <c r="J90" s="41" t="s">
        <v>24</v>
      </c>
      <c r="K90" s="42">
        <v>7780</v>
      </c>
      <c r="L90" s="34">
        <v>0.1122230164403144</v>
      </c>
      <c r="M90" s="364"/>
    </row>
    <row r="91" spans="3:13" ht="5.25" customHeight="1" thickBot="1" x14ac:dyDescent="0.25"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3:13" ht="20.100000000000001" customHeight="1" thickBot="1" x14ac:dyDescent="0.25">
      <c r="C92" s="258" t="s">
        <v>25</v>
      </c>
      <c r="D92" s="259"/>
      <c r="E92" s="259"/>
      <c r="F92" s="259"/>
      <c r="G92" s="259"/>
      <c r="H92" s="259"/>
      <c r="I92" s="259"/>
      <c r="J92" s="259"/>
      <c r="K92" s="259"/>
      <c r="L92" s="259"/>
      <c r="M92" s="260"/>
    </row>
    <row r="93" spans="3:13" ht="5.25" customHeight="1" thickBot="1" x14ac:dyDescent="0.25">
      <c r="C93" s="93"/>
      <c r="D93" s="17"/>
      <c r="E93" s="17"/>
      <c r="F93" s="17"/>
      <c r="G93" s="17"/>
      <c r="H93" s="17"/>
      <c r="I93" s="17"/>
      <c r="J93" s="17"/>
      <c r="K93" s="17"/>
      <c r="L93" s="17"/>
      <c r="M93" s="57"/>
    </row>
    <row r="94" spans="3:13" s="96" customFormat="1" ht="33.75" customHeight="1" x14ac:dyDescent="0.2">
      <c r="C94" s="400" t="s">
        <v>7</v>
      </c>
      <c r="D94" s="401"/>
      <c r="E94" s="35" t="s">
        <v>20</v>
      </c>
      <c r="F94" s="36">
        <v>441329</v>
      </c>
      <c r="G94" s="37">
        <v>3.0206348049487088</v>
      </c>
      <c r="H94" s="94"/>
      <c r="I94" s="406" t="s">
        <v>7</v>
      </c>
      <c r="J94" s="35" t="s">
        <v>20</v>
      </c>
      <c r="K94" s="36">
        <v>1516297</v>
      </c>
      <c r="L94" s="25">
        <v>3.4483537567438329</v>
      </c>
      <c r="M94" s="364" t="s">
        <v>9</v>
      </c>
    </row>
    <row r="95" spans="3:13" s="96" customFormat="1" ht="33.75" customHeight="1" x14ac:dyDescent="0.2">
      <c r="C95" s="402"/>
      <c r="D95" s="403"/>
      <c r="E95" s="52" t="s">
        <v>21</v>
      </c>
      <c r="F95" s="53">
        <v>1221811</v>
      </c>
      <c r="G95" s="28">
        <v>9.4902593778708866</v>
      </c>
      <c r="H95" s="38"/>
      <c r="I95" s="407"/>
      <c r="J95" s="52" t="s">
        <v>21</v>
      </c>
      <c r="K95" s="53">
        <v>4026568</v>
      </c>
      <c r="L95" s="30">
        <v>10.457113021309045</v>
      </c>
      <c r="M95" s="364"/>
    </row>
    <row r="96" spans="3:13" s="96" customFormat="1" ht="33.75" customHeight="1" x14ac:dyDescent="0.2">
      <c r="C96" s="402"/>
      <c r="D96" s="403"/>
      <c r="E96" s="39" t="s">
        <v>22</v>
      </c>
      <c r="F96" s="40">
        <v>253172</v>
      </c>
      <c r="G96" s="28">
        <v>6.0335324350604251</v>
      </c>
      <c r="H96" s="38"/>
      <c r="I96" s="407"/>
      <c r="J96" s="39" t="s">
        <v>22</v>
      </c>
      <c r="K96" s="40">
        <v>968828</v>
      </c>
      <c r="L96" s="30">
        <v>6.8057639163047767</v>
      </c>
      <c r="M96" s="364"/>
    </row>
    <row r="97" spans="3:15" s="96" customFormat="1" ht="33.75" customHeight="1" x14ac:dyDescent="0.2">
      <c r="C97" s="402"/>
      <c r="D97" s="403"/>
      <c r="E97" s="52" t="s">
        <v>23</v>
      </c>
      <c r="F97" s="53">
        <v>40535</v>
      </c>
      <c r="G97" s="28">
        <v>9.9082346609257268</v>
      </c>
      <c r="H97" s="38"/>
      <c r="I97" s="407"/>
      <c r="J97" s="52" t="s">
        <v>23</v>
      </c>
      <c r="K97" s="53">
        <v>138213</v>
      </c>
      <c r="L97" s="30">
        <v>8.6054625060810341</v>
      </c>
      <c r="M97" s="364"/>
    </row>
    <row r="98" spans="3:15" s="96" customFormat="1" ht="33.75" customHeight="1" thickBot="1" x14ac:dyDescent="0.25">
      <c r="C98" s="404"/>
      <c r="D98" s="405"/>
      <c r="E98" s="41" t="s">
        <v>24</v>
      </c>
      <c r="F98" s="42">
        <v>9643</v>
      </c>
      <c r="G98" s="43">
        <v>1.7894127856522997</v>
      </c>
      <c r="H98" s="95"/>
      <c r="I98" s="408"/>
      <c r="J98" s="41" t="s">
        <v>24</v>
      </c>
      <c r="K98" s="42">
        <v>33725</v>
      </c>
      <c r="L98" s="34">
        <v>0.68962925851703405</v>
      </c>
      <c r="M98" s="364"/>
    </row>
    <row r="99" spans="3:15" ht="5.25" customHeight="1" thickBot="1" x14ac:dyDescent="0.25"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3:15" ht="20.100000000000001" customHeight="1" thickBot="1" x14ac:dyDescent="0.25">
      <c r="C100" s="258" t="s">
        <v>26</v>
      </c>
      <c r="D100" s="259"/>
      <c r="E100" s="259"/>
      <c r="F100" s="259"/>
      <c r="G100" s="259"/>
      <c r="H100" s="259"/>
      <c r="I100" s="259"/>
      <c r="J100" s="259"/>
      <c r="K100" s="259"/>
      <c r="L100" s="259"/>
      <c r="M100" s="260"/>
    </row>
    <row r="101" spans="3:15" ht="5.25" customHeight="1" thickBot="1" x14ac:dyDescent="0.25">
      <c r="C101" s="93"/>
      <c r="D101" s="17"/>
      <c r="E101" s="17"/>
      <c r="F101" s="17"/>
      <c r="G101" s="17"/>
      <c r="H101" s="17"/>
      <c r="I101" s="17"/>
      <c r="J101" s="17"/>
      <c r="K101" s="17"/>
      <c r="L101" s="17"/>
      <c r="M101" s="57"/>
    </row>
    <row r="102" spans="3:15" ht="33.75" customHeight="1" x14ac:dyDescent="0.2">
      <c r="C102" s="400" t="s">
        <v>7</v>
      </c>
      <c r="D102" s="401"/>
      <c r="E102" s="35" t="s">
        <v>20</v>
      </c>
      <c r="F102" s="97">
        <v>6.0655442550852117</v>
      </c>
      <c r="G102" s="59">
        <v>1.0155810603851751</v>
      </c>
      <c r="H102" s="94"/>
      <c r="I102" s="406" t="s">
        <v>7</v>
      </c>
      <c r="J102" s="35" t="s">
        <v>20</v>
      </c>
      <c r="K102" s="97">
        <v>6.2762455865857039</v>
      </c>
      <c r="L102" s="60">
        <v>0.81940506534214741</v>
      </c>
      <c r="M102" s="364" t="s">
        <v>9</v>
      </c>
    </row>
    <row r="103" spans="3:15" ht="33.75" customHeight="1" x14ac:dyDescent="0.2">
      <c r="C103" s="402"/>
      <c r="D103" s="403"/>
      <c r="E103" s="46" t="s">
        <v>21</v>
      </c>
      <c r="F103" s="98">
        <v>6.4442188208736377</v>
      </c>
      <c r="G103" s="62">
        <v>2.9385903595203993</v>
      </c>
      <c r="H103" s="38"/>
      <c r="I103" s="407"/>
      <c r="J103" s="46" t="s">
        <v>21</v>
      </c>
      <c r="K103" s="98">
        <v>6.5661199476871799</v>
      </c>
      <c r="L103" s="63">
        <v>2.9542374774652957</v>
      </c>
      <c r="M103" s="364"/>
    </row>
    <row r="104" spans="3:15" ht="33.75" customHeight="1" x14ac:dyDescent="0.2">
      <c r="C104" s="402"/>
      <c r="D104" s="403"/>
      <c r="E104" s="39" t="s">
        <v>22</v>
      </c>
      <c r="F104" s="99">
        <v>6.2574952420969376</v>
      </c>
      <c r="G104" s="62">
        <v>3.5154368890840635</v>
      </c>
      <c r="H104" s="38"/>
      <c r="I104" s="407"/>
      <c r="J104" s="39" t="s">
        <v>22</v>
      </c>
      <c r="K104" s="99">
        <v>6.3840745402189025</v>
      </c>
      <c r="L104" s="63">
        <v>3.5502883807175443</v>
      </c>
      <c r="M104" s="364"/>
      <c r="O104" s="100"/>
    </row>
    <row r="105" spans="3:15" ht="33.75" customHeight="1" x14ac:dyDescent="0.2">
      <c r="C105" s="402"/>
      <c r="D105" s="403"/>
      <c r="E105" s="46" t="s">
        <v>23</v>
      </c>
      <c r="F105" s="98">
        <v>4.2241558982909542</v>
      </c>
      <c r="G105" s="62">
        <v>0.81185103144063264</v>
      </c>
      <c r="H105" s="38"/>
      <c r="I105" s="407"/>
      <c r="J105" s="46" t="s">
        <v>23</v>
      </c>
      <c r="K105" s="98">
        <v>4.6818535957454017</v>
      </c>
      <c r="L105" s="63">
        <v>2.3183516246547318</v>
      </c>
      <c r="M105" s="364"/>
    </row>
    <row r="106" spans="3:15" ht="33.75" customHeight="1" thickBot="1" x14ac:dyDescent="0.25">
      <c r="C106" s="404"/>
      <c r="D106" s="405"/>
      <c r="E106" s="41" t="s">
        <v>24</v>
      </c>
      <c r="F106" s="101">
        <v>4.381190368014539</v>
      </c>
      <c r="G106" s="65">
        <v>2.1187558130407171</v>
      </c>
      <c r="H106" s="95"/>
      <c r="I106" s="408"/>
      <c r="J106" s="41" t="s">
        <v>24</v>
      </c>
      <c r="K106" s="101">
        <v>4.334832904884319</v>
      </c>
      <c r="L106" s="66">
        <v>1.4813661429114813</v>
      </c>
      <c r="M106" s="364"/>
    </row>
    <row r="107" spans="3:15" ht="5.25" customHeight="1" thickBot="1" x14ac:dyDescent="0.25"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3:15" ht="20.100000000000001" customHeight="1" thickBot="1" x14ac:dyDescent="0.25">
      <c r="C108" s="258" t="s">
        <v>27</v>
      </c>
      <c r="D108" s="259"/>
      <c r="E108" s="259"/>
      <c r="F108" s="259"/>
      <c r="G108" s="259"/>
      <c r="H108" s="259"/>
      <c r="I108" s="259"/>
      <c r="J108" s="259"/>
      <c r="K108" s="259"/>
      <c r="L108" s="259"/>
      <c r="M108" s="260"/>
    </row>
    <row r="109" spans="3:15" ht="5.25" customHeight="1" thickBot="1" x14ac:dyDescent="0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02"/>
    </row>
    <row r="110" spans="3:15" ht="33.75" customHeight="1" x14ac:dyDescent="0.2">
      <c r="C110" s="400" t="s">
        <v>7</v>
      </c>
      <c r="D110" s="401"/>
      <c r="E110" s="35" t="s">
        <v>20</v>
      </c>
      <c r="F110" s="84">
        <v>0.78450120875995455</v>
      </c>
      <c r="G110" s="37">
        <v>0.86558998708717572</v>
      </c>
      <c r="H110" s="94"/>
      <c r="I110" s="406" t="s">
        <v>7</v>
      </c>
      <c r="J110" s="35" t="s">
        <v>20</v>
      </c>
      <c r="K110" s="84">
        <v>0.70974728396968723</v>
      </c>
      <c r="L110" s="25">
        <v>1.1218334467646383</v>
      </c>
      <c r="M110" s="364" t="s">
        <v>9</v>
      </c>
    </row>
    <row r="111" spans="3:15" ht="33.75" customHeight="1" x14ac:dyDescent="0.2">
      <c r="C111" s="402"/>
      <c r="D111" s="403"/>
      <c r="E111" s="46" t="s">
        <v>21</v>
      </c>
      <c r="F111" s="88">
        <v>0.77744117385051981</v>
      </c>
      <c r="G111" s="28">
        <v>1.4264206635677761</v>
      </c>
      <c r="H111" s="38"/>
      <c r="I111" s="407"/>
      <c r="J111" s="46" t="s">
        <v>21</v>
      </c>
      <c r="K111" s="88">
        <v>0.68795930097066149</v>
      </c>
      <c r="L111" s="30">
        <v>1.9167824575843162</v>
      </c>
      <c r="M111" s="364"/>
    </row>
    <row r="112" spans="3:15" ht="33.75" customHeight="1" x14ac:dyDescent="0.2">
      <c r="C112" s="402"/>
      <c r="D112" s="403"/>
      <c r="E112" s="39" t="s">
        <v>22</v>
      </c>
      <c r="F112" s="85">
        <v>0.66580407626561477</v>
      </c>
      <c r="G112" s="28">
        <v>1.5453896078597373</v>
      </c>
      <c r="H112" s="38"/>
      <c r="I112" s="407"/>
      <c r="J112" s="39" t="s">
        <v>22</v>
      </c>
      <c r="K112" s="85">
        <v>0.63954108576256863</v>
      </c>
      <c r="L112" s="30">
        <v>2.2098813240218549</v>
      </c>
      <c r="M112" s="364"/>
    </row>
    <row r="113" spans="3:13" ht="33.75" customHeight="1" x14ac:dyDescent="0.2">
      <c r="C113" s="402"/>
      <c r="D113" s="403"/>
      <c r="E113" s="46" t="s">
        <v>23</v>
      </c>
      <c r="F113" s="88">
        <v>0.55810271237780529</v>
      </c>
      <c r="G113" s="28">
        <v>0.45983809588597069</v>
      </c>
      <c r="H113" s="38"/>
      <c r="I113" s="407"/>
      <c r="J113" s="46" t="s">
        <v>23</v>
      </c>
      <c r="K113" s="88">
        <v>0.57414353900028658</v>
      </c>
      <c r="L113" s="30">
        <v>1.0297524279244965</v>
      </c>
      <c r="M113" s="364"/>
    </row>
    <row r="114" spans="3:13" ht="33.75" customHeight="1" thickBot="1" x14ac:dyDescent="0.25">
      <c r="C114" s="404"/>
      <c r="D114" s="405"/>
      <c r="E114" s="41" t="s">
        <v>24</v>
      </c>
      <c r="F114" s="86">
        <v>0.52011866235167203</v>
      </c>
      <c r="G114" s="43">
        <v>0.31346136023433524</v>
      </c>
      <c r="H114" s="95"/>
      <c r="I114" s="408"/>
      <c r="J114" s="41" t="s">
        <v>24</v>
      </c>
      <c r="K114" s="86">
        <v>0.57607228874502503</v>
      </c>
      <c r="L114" s="34">
        <v>0.18322823755910767</v>
      </c>
      <c r="M114" s="364"/>
    </row>
    <row r="115" spans="3:13" ht="5.25" customHeight="1" thickBot="1" x14ac:dyDescent="0.25">
      <c r="C115" s="103"/>
      <c r="D115" s="103"/>
      <c r="E115" s="104"/>
      <c r="F115" s="56"/>
      <c r="G115" s="56"/>
      <c r="H115" s="105"/>
      <c r="I115" s="56"/>
      <c r="J115" s="106"/>
      <c r="K115" s="104"/>
      <c r="L115" s="103"/>
      <c r="M115" s="107"/>
    </row>
    <row r="116" spans="3:13" ht="17.25" customHeight="1" thickBot="1" x14ac:dyDescent="0.25">
      <c r="C116" s="397"/>
      <c r="D116" s="398"/>
      <c r="E116" s="398"/>
      <c r="F116" s="398"/>
      <c r="G116" s="398"/>
      <c r="H116" s="398"/>
      <c r="I116" s="398"/>
      <c r="J116" s="398"/>
      <c r="K116" s="398"/>
      <c r="L116" s="398"/>
      <c r="M116" s="399"/>
    </row>
    <row r="117" spans="3:13" ht="50.25" customHeight="1" thickBot="1" x14ac:dyDescent="0.25">
      <c r="C117" s="1"/>
      <c r="D117" s="1"/>
      <c r="E117" s="354" t="str">
        <f>$E$1</f>
        <v>INDICADORES TURÍSTICOS DE TENERIFE definitivo</v>
      </c>
      <c r="F117" s="354"/>
      <c r="G117" s="354"/>
      <c r="H117" s="354"/>
      <c r="I117" s="354"/>
      <c r="J117" s="354"/>
      <c r="K117" s="354"/>
      <c r="L117" s="1"/>
      <c r="M117" s="1"/>
    </row>
    <row r="118" spans="3:13" ht="9" customHeight="1" thickBot="1" x14ac:dyDescent="0.25">
      <c r="C118" s="108"/>
      <c r="D118" s="109"/>
      <c r="E118" s="110"/>
      <c r="F118" s="110"/>
      <c r="G118" s="110"/>
      <c r="H118" s="110"/>
      <c r="I118" s="110"/>
      <c r="J118" s="110"/>
      <c r="K118" s="110"/>
      <c r="L118" s="109"/>
      <c r="M118" s="111"/>
    </row>
    <row r="119" spans="3:13" ht="33" customHeight="1" thickBot="1" x14ac:dyDescent="0.25">
      <c r="C119" s="393" t="s">
        <v>28</v>
      </c>
      <c r="D119" s="394"/>
      <c r="E119" s="394"/>
      <c r="F119" s="394"/>
      <c r="G119" s="394"/>
      <c r="H119" s="394"/>
      <c r="I119" s="394"/>
      <c r="J119" s="394"/>
      <c r="K119" s="394"/>
      <c r="L119" s="394"/>
      <c r="M119" s="395"/>
    </row>
    <row r="120" spans="3:13" ht="20.100000000000001" customHeight="1" x14ac:dyDescent="0.2">
      <c r="C120" s="112"/>
      <c r="D120" s="113"/>
      <c r="E120" s="113"/>
      <c r="F120" s="113"/>
      <c r="G120" s="113"/>
      <c r="H120" s="396"/>
      <c r="I120" s="396"/>
      <c r="J120" s="113"/>
      <c r="K120" s="113"/>
      <c r="L120" s="113"/>
      <c r="M120" s="114"/>
    </row>
    <row r="121" spans="3:13" ht="5.25" customHeight="1" thickBot="1" x14ac:dyDescent="0.25">
      <c r="C121" s="115"/>
      <c r="D121" s="113"/>
      <c r="E121" s="113"/>
      <c r="F121" s="113"/>
      <c r="G121" s="113"/>
      <c r="H121" s="116"/>
      <c r="I121" s="116"/>
      <c r="J121" s="113"/>
      <c r="K121" s="113"/>
      <c r="L121" s="113"/>
      <c r="M121" s="117"/>
    </row>
    <row r="122" spans="3:13" ht="33" customHeight="1" thickTop="1" thickBot="1" x14ac:dyDescent="0.25">
      <c r="C122" s="118"/>
      <c r="D122" s="376" t="s">
        <v>7</v>
      </c>
      <c r="E122" s="377"/>
      <c r="F122" s="376" t="s">
        <v>29</v>
      </c>
      <c r="G122" s="377"/>
      <c r="H122" s="376" t="s">
        <v>30</v>
      </c>
      <c r="I122" s="377"/>
      <c r="J122" s="376" t="s">
        <v>31</v>
      </c>
      <c r="K122" s="377"/>
      <c r="L122" s="376" t="s">
        <v>32</v>
      </c>
      <c r="M122" s="377"/>
    </row>
    <row r="123" spans="3:13" ht="31.5" customHeight="1" thickBot="1" x14ac:dyDescent="0.25">
      <c r="C123" s="119"/>
      <c r="D123" s="120" t="s">
        <v>33</v>
      </c>
      <c r="E123" s="121" t="s">
        <v>34</v>
      </c>
      <c r="F123" s="122" t="s">
        <v>33</v>
      </c>
      <c r="G123" s="121" t="s">
        <v>34</v>
      </c>
      <c r="H123" s="120" t="s">
        <v>33</v>
      </c>
      <c r="I123" s="121" t="s">
        <v>34</v>
      </c>
      <c r="J123" s="120" t="s">
        <v>33</v>
      </c>
      <c r="K123" s="121" t="s">
        <v>34</v>
      </c>
      <c r="L123" s="123" t="s">
        <v>33</v>
      </c>
      <c r="M123" s="121" t="s">
        <v>34</v>
      </c>
    </row>
    <row r="124" spans="3:13" ht="24" customHeight="1" thickBot="1" x14ac:dyDescent="0.25">
      <c r="C124" s="124" t="s">
        <v>35</v>
      </c>
      <c r="D124" s="125">
        <v>96286</v>
      </c>
      <c r="E124" s="126">
        <v>0.66992143464159981</v>
      </c>
      <c r="F124" s="127">
        <v>11525</v>
      </c>
      <c r="G124" s="126">
        <v>-3.2488247145735394E-2</v>
      </c>
      <c r="H124" s="127">
        <v>2334</v>
      </c>
      <c r="I124" s="126">
        <v>1.2442307692307693</v>
      </c>
      <c r="J124" s="127">
        <v>36291</v>
      </c>
      <c r="K124" s="126">
        <v>2.2931941923774954</v>
      </c>
      <c r="L124" s="127">
        <v>46136</v>
      </c>
      <c r="M124" s="126">
        <v>0.20271115745568302</v>
      </c>
    </row>
    <row r="125" spans="3:13" ht="27" customHeight="1" thickBot="1" x14ac:dyDescent="0.25">
      <c r="C125" s="128" t="s">
        <v>36</v>
      </c>
      <c r="D125" s="129">
        <v>30241.727030813836</v>
      </c>
      <c r="E125" s="130">
        <v>5.2752105044332698E-2</v>
      </c>
      <c r="F125" s="131" t="s">
        <v>37</v>
      </c>
      <c r="G125" s="130" t="s">
        <v>37</v>
      </c>
      <c r="H125" s="132" t="s">
        <v>37</v>
      </c>
      <c r="I125" s="130" t="s">
        <v>37</v>
      </c>
      <c r="J125" s="132" t="s">
        <v>37</v>
      </c>
      <c r="K125" s="130" t="s">
        <v>37</v>
      </c>
      <c r="L125" s="131" t="s">
        <v>37</v>
      </c>
      <c r="M125" s="130" t="s">
        <v>37</v>
      </c>
    </row>
    <row r="126" spans="3:13" ht="28.5" customHeight="1" thickBot="1" x14ac:dyDescent="0.25">
      <c r="C126" s="133" t="s">
        <v>38</v>
      </c>
      <c r="D126" s="134">
        <v>14789.206258324533</v>
      </c>
      <c r="E126" s="135">
        <v>0.76207102127915305</v>
      </c>
      <c r="F126" s="136" t="s">
        <v>37</v>
      </c>
      <c r="G126" s="135" t="s">
        <v>37</v>
      </c>
      <c r="H126" s="136" t="s">
        <v>37</v>
      </c>
      <c r="I126" s="135" t="s">
        <v>37</v>
      </c>
      <c r="J126" s="136" t="s">
        <v>37</v>
      </c>
      <c r="K126" s="135" t="s">
        <v>37</v>
      </c>
      <c r="L126" s="136" t="s">
        <v>37</v>
      </c>
      <c r="M126" s="135" t="s">
        <v>37</v>
      </c>
    </row>
    <row r="127" spans="3:13" ht="27.75" customHeight="1" thickBot="1" x14ac:dyDescent="0.25">
      <c r="C127" s="133" t="s">
        <v>39</v>
      </c>
      <c r="D127" s="134">
        <v>51255.06671086164</v>
      </c>
      <c r="E127" s="135">
        <v>1.4954307731968393</v>
      </c>
      <c r="F127" s="136" t="s">
        <v>37</v>
      </c>
      <c r="G127" s="135" t="s">
        <v>37</v>
      </c>
      <c r="H127" s="136" t="s">
        <v>37</v>
      </c>
      <c r="I127" s="135" t="s">
        <v>37</v>
      </c>
      <c r="J127" s="136" t="s">
        <v>37</v>
      </c>
      <c r="K127" s="135" t="s">
        <v>37</v>
      </c>
      <c r="L127" s="136" t="s">
        <v>37</v>
      </c>
      <c r="M127" s="135" t="s">
        <v>37</v>
      </c>
    </row>
    <row r="128" spans="3:13" ht="24" customHeight="1" thickBot="1" x14ac:dyDescent="0.25">
      <c r="C128" s="137" t="s">
        <v>40</v>
      </c>
      <c r="D128" s="138">
        <v>18038</v>
      </c>
      <c r="E128" s="135">
        <v>9.6796921255180575</v>
      </c>
      <c r="F128" s="139">
        <v>150</v>
      </c>
      <c r="G128" s="135">
        <v>0.78571428571428581</v>
      </c>
      <c r="H128" s="139">
        <v>122</v>
      </c>
      <c r="I128" s="135">
        <v>9.1666666666666661</v>
      </c>
      <c r="J128" s="139">
        <v>956</v>
      </c>
      <c r="K128" s="135">
        <v>12.095890410958905</v>
      </c>
      <c r="L128" s="139">
        <v>16810</v>
      </c>
      <c r="M128" s="135">
        <v>9.8802588996763756</v>
      </c>
    </row>
    <row r="129" spans="3:13" ht="24" customHeight="1" thickBot="1" x14ac:dyDescent="0.25">
      <c r="C129" s="140" t="s">
        <v>41</v>
      </c>
      <c r="D129" s="134">
        <v>14631</v>
      </c>
      <c r="E129" s="135">
        <v>9.2745786516853936</v>
      </c>
      <c r="F129" s="136">
        <v>113</v>
      </c>
      <c r="G129" s="135">
        <v>8.9285714285713969E-3</v>
      </c>
      <c r="H129" s="136">
        <v>64</v>
      </c>
      <c r="I129" s="135">
        <v>0.82857142857142851</v>
      </c>
      <c r="J129" s="136">
        <v>631</v>
      </c>
      <c r="K129" s="135">
        <v>6.3372093023255811</v>
      </c>
      <c r="L129" s="136">
        <v>13823</v>
      </c>
      <c r="M129" s="135">
        <v>9.9272727272727277</v>
      </c>
    </row>
    <row r="130" spans="3:13" ht="24" customHeight="1" thickBot="1" x14ac:dyDescent="0.25">
      <c r="C130" s="137" t="s">
        <v>42</v>
      </c>
      <c r="D130" s="138">
        <v>33721</v>
      </c>
      <c r="E130" s="135">
        <v>6.5455359140747369</v>
      </c>
      <c r="F130" s="139">
        <v>718</v>
      </c>
      <c r="G130" s="135">
        <v>-5.5263157894736792E-2</v>
      </c>
      <c r="H130" s="139">
        <v>390</v>
      </c>
      <c r="I130" s="135">
        <v>3.6428571428571432</v>
      </c>
      <c r="J130" s="139">
        <v>10328</v>
      </c>
      <c r="K130" s="135">
        <v>12.023959646910466</v>
      </c>
      <c r="L130" s="139">
        <v>22285</v>
      </c>
      <c r="M130" s="135">
        <v>5.8908472479901048</v>
      </c>
    </row>
    <row r="131" spans="3:13" ht="24" customHeight="1" thickBot="1" x14ac:dyDescent="0.25">
      <c r="C131" s="140" t="s">
        <v>43</v>
      </c>
      <c r="D131" s="134">
        <v>18014</v>
      </c>
      <c r="E131" s="135">
        <v>2.0756359911217346</v>
      </c>
      <c r="F131" s="136">
        <v>592</v>
      </c>
      <c r="G131" s="135">
        <v>0.40284360189573465</v>
      </c>
      <c r="H131" s="136">
        <v>342</v>
      </c>
      <c r="I131" s="135">
        <v>-0.1428571428571429</v>
      </c>
      <c r="J131" s="136">
        <v>3974</v>
      </c>
      <c r="K131" s="135">
        <v>4.1476683937823831</v>
      </c>
      <c r="L131" s="136">
        <v>13106</v>
      </c>
      <c r="M131" s="135">
        <v>2.1895838403504504</v>
      </c>
    </row>
    <row r="132" spans="3:13" ht="24" customHeight="1" thickBot="1" x14ac:dyDescent="0.25">
      <c r="C132" s="137" t="s">
        <v>44</v>
      </c>
      <c r="D132" s="138">
        <v>139776</v>
      </c>
      <c r="E132" s="135">
        <v>95.065979381443299</v>
      </c>
      <c r="F132" s="139">
        <v>561</v>
      </c>
      <c r="G132" s="135">
        <v>-0.11093502377179076</v>
      </c>
      <c r="H132" s="139">
        <v>135</v>
      </c>
      <c r="I132" s="135">
        <v>6.9411764705882355</v>
      </c>
      <c r="J132" s="139">
        <v>5890</v>
      </c>
      <c r="K132" s="135">
        <v>18.438943894389439</v>
      </c>
      <c r="L132" s="139">
        <v>133190</v>
      </c>
      <c r="M132" s="135">
        <v>125.60646387832699</v>
      </c>
    </row>
    <row r="133" spans="3:13" ht="24" customHeight="1" thickBot="1" x14ac:dyDescent="0.25">
      <c r="C133" s="140" t="s">
        <v>45</v>
      </c>
      <c r="D133" s="134">
        <v>11016</v>
      </c>
      <c r="E133" s="135">
        <v>28.934782608695652</v>
      </c>
      <c r="F133" s="136">
        <v>73</v>
      </c>
      <c r="G133" s="135">
        <v>0.12307692307692308</v>
      </c>
      <c r="H133" s="136">
        <v>13</v>
      </c>
      <c r="I133" s="135">
        <v>0.625</v>
      </c>
      <c r="J133" s="136">
        <v>411</v>
      </c>
      <c r="K133" s="135">
        <v>6.2105263157894735</v>
      </c>
      <c r="L133" s="136">
        <v>10519</v>
      </c>
      <c r="M133" s="135">
        <v>38.104089219330852</v>
      </c>
    </row>
    <row r="134" spans="3:13" ht="24" customHeight="1" thickBot="1" x14ac:dyDescent="0.25">
      <c r="C134" s="137" t="s">
        <v>46</v>
      </c>
      <c r="D134" s="138">
        <v>12089</v>
      </c>
      <c r="E134" s="135">
        <v>2.4402390438247012</v>
      </c>
      <c r="F134" s="139">
        <v>564</v>
      </c>
      <c r="G134" s="135">
        <v>0.12127236580516909</v>
      </c>
      <c r="H134" s="139">
        <v>130</v>
      </c>
      <c r="I134" s="135">
        <v>1.7083333333333335</v>
      </c>
      <c r="J134" s="139">
        <v>1321</v>
      </c>
      <c r="K134" s="135">
        <v>2.6796657381615598</v>
      </c>
      <c r="L134" s="139">
        <v>10074</v>
      </c>
      <c r="M134" s="135">
        <v>2.5113279888462881</v>
      </c>
    </row>
    <row r="135" spans="3:13" ht="24" customHeight="1" thickBot="1" x14ac:dyDescent="0.25">
      <c r="C135" s="140" t="s">
        <v>47</v>
      </c>
      <c r="D135" s="134">
        <v>14281</v>
      </c>
      <c r="E135" s="135">
        <v>26.305927342256215</v>
      </c>
      <c r="F135" s="136">
        <v>488</v>
      </c>
      <c r="G135" s="135">
        <v>-0.30878186968838528</v>
      </c>
      <c r="H135" s="136">
        <v>39</v>
      </c>
      <c r="I135" s="135">
        <v>1.4375</v>
      </c>
      <c r="J135" s="136">
        <v>1783</v>
      </c>
      <c r="K135" s="135">
        <v>29.741379310344829</v>
      </c>
      <c r="L135" s="136">
        <v>11971</v>
      </c>
      <c r="M135" s="135">
        <v>29.229797979797979</v>
      </c>
    </row>
    <row r="136" spans="3:13" ht="24" customHeight="1" thickBot="1" x14ac:dyDescent="0.25">
      <c r="C136" s="141" t="s">
        <v>48</v>
      </c>
      <c r="D136" s="138">
        <v>4148</v>
      </c>
      <c r="E136" s="135">
        <v>14.953846153846154</v>
      </c>
      <c r="F136" s="139">
        <v>207</v>
      </c>
      <c r="G136" s="135">
        <v>-0.14107883817427391</v>
      </c>
      <c r="H136" s="139">
        <v>6</v>
      </c>
      <c r="I136" s="135">
        <v>-0.25</v>
      </c>
      <c r="J136" s="139">
        <v>572</v>
      </c>
      <c r="K136" s="135">
        <v>22.833333333333332</v>
      </c>
      <c r="L136" s="139">
        <v>3363</v>
      </c>
      <c r="M136" s="135">
        <v>16.424870466321245</v>
      </c>
    </row>
    <row r="137" spans="3:13" ht="24" customHeight="1" thickBot="1" x14ac:dyDescent="0.25">
      <c r="C137" s="133" t="s">
        <v>49</v>
      </c>
      <c r="D137" s="134">
        <v>2322</v>
      </c>
      <c r="E137" s="135">
        <v>38.355932203389834</v>
      </c>
      <c r="F137" s="136">
        <v>119</v>
      </c>
      <c r="G137" s="135">
        <v>-0.29585798816568043</v>
      </c>
      <c r="H137" s="136">
        <v>1</v>
      </c>
      <c r="I137" s="135">
        <v>-0.66666666666666674</v>
      </c>
      <c r="J137" s="136">
        <v>202</v>
      </c>
      <c r="K137" s="135">
        <v>27.857142857142858</v>
      </c>
      <c r="L137" s="136">
        <v>2000</v>
      </c>
      <c r="M137" s="135">
        <v>44.454545454545453</v>
      </c>
    </row>
    <row r="138" spans="3:13" ht="24" customHeight="1" thickBot="1" x14ac:dyDescent="0.25">
      <c r="C138" s="141" t="s">
        <v>50</v>
      </c>
      <c r="D138" s="138">
        <v>4813</v>
      </c>
      <c r="E138" s="135">
        <v>38.450819672131146</v>
      </c>
      <c r="F138" s="139">
        <v>102</v>
      </c>
      <c r="G138" s="135">
        <v>-0.4</v>
      </c>
      <c r="H138" s="139">
        <v>21</v>
      </c>
      <c r="I138" s="135">
        <v>3.2</v>
      </c>
      <c r="J138" s="139">
        <v>507</v>
      </c>
      <c r="K138" s="135">
        <v>27.166666666666668</v>
      </c>
      <c r="L138" s="139">
        <v>4183</v>
      </c>
      <c r="M138" s="135">
        <v>45.477777777777774</v>
      </c>
    </row>
    <row r="139" spans="3:13" ht="24" customHeight="1" thickBot="1" x14ac:dyDescent="0.25">
      <c r="C139" s="133" t="s">
        <v>51</v>
      </c>
      <c r="D139" s="134">
        <v>2998</v>
      </c>
      <c r="E139" s="135">
        <v>35.560975609756099</v>
      </c>
      <c r="F139" s="136">
        <v>60</v>
      </c>
      <c r="G139" s="135">
        <v>-0.52380952380952384</v>
      </c>
      <c r="H139" s="136">
        <v>11</v>
      </c>
      <c r="I139" s="135" t="s">
        <v>37</v>
      </c>
      <c r="J139" s="136">
        <v>502</v>
      </c>
      <c r="K139" s="135">
        <v>54.777777777777779</v>
      </c>
      <c r="L139" s="136">
        <v>2425</v>
      </c>
      <c r="M139" s="135">
        <v>34.144927536231883</v>
      </c>
    </row>
    <row r="140" spans="3:13" ht="24" customHeight="1" thickBot="1" x14ac:dyDescent="0.25">
      <c r="C140" s="137" t="s">
        <v>52</v>
      </c>
      <c r="D140" s="138">
        <v>4728</v>
      </c>
      <c r="E140" s="135">
        <v>1.0846560846560847</v>
      </c>
      <c r="F140" s="139">
        <v>195</v>
      </c>
      <c r="G140" s="135">
        <v>0.34482758620689657</v>
      </c>
      <c r="H140" s="139">
        <v>89</v>
      </c>
      <c r="I140" s="135">
        <v>0.64814814814814814</v>
      </c>
      <c r="J140" s="139">
        <v>541</v>
      </c>
      <c r="K140" s="135">
        <v>2.1091954022988504</v>
      </c>
      <c r="L140" s="139">
        <v>3903</v>
      </c>
      <c r="M140" s="135">
        <v>1.0477439664218258</v>
      </c>
    </row>
    <row r="141" spans="3:13" ht="24" customHeight="1" thickBot="1" x14ac:dyDescent="0.25">
      <c r="C141" s="140" t="s">
        <v>53</v>
      </c>
      <c r="D141" s="134">
        <v>2114</v>
      </c>
      <c r="E141" s="135">
        <v>3.5364806866952794</v>
      </c>
      <c r="F141" s="136">
        <v>63</v>
      </c>
      <c r="G141" s="135">
        <v>0.21153846153846145</v>
      </c>
      <c r="H141" s="136">
        <v>32</v>
      </c>
      <c r="I141" s="135">
        <v>0.39130434782608692</v>
      </c>
      <c r="J141" s="136">
        <v>461</v>
      </c>
      <c r="K141" s="135">
        <v>5.3150684931506849</v>
      </c>
      <c r="L141" s="136">
        <v>1558</v>
      </c>
      <c r="M141" s="135">
        <v>3.75</v>
      </c>
    </row>
    <row r="142" spans="3:13" ht="24" customHeight="1" thickBot="1" x14ac:dyDescent="0.25">
      <c r="C142" s="137" t="s">
        <v>54</v>
      </c>
      <c r="D142" s="138">
        <v>772</v>
      </c>
      <c r="E142" s="135">
        <v>0.89215686274509798</v>
      </c>
      <c r="F142" s="139">
        <v>41</v>
      </c>
      <c r="G142" s="135">
        <v>-0.77348066298342544</v>
      </c>
      <c r="H142" s="139">
        <v>8</v>
      </c>
      <c r="I142" s="135">
        <v>-0.27272727272727271</v>
      </c>
      <c r="J142" s="139">
        <v>160</v>
      </c>
      <c r="K142" s="135">
        <v>2.4042553191489362</v>
      </c>
      <c r="L142" s="139">
        <v>563</v>
      </c>
      <c r="M142" s="135">
        <v>0.75937499999999991</v>
      </c>
    </row>
    <row r="143" spans="3:13" ht="24" customHeight="1" thickBot="1" x14ac:dyDescent="0.25">
      <c r="C143" s="140" t="s">
        <v>55</v>
      </c>
      <c r="D143" s="134">
        <v>12836</v>
      </c>
      <c r="E143" s="135">
        <v>1.1522468142186453</v>
      </c>
      <c r="F143" s="136">
        <v>283</v>
      </c>
      <c r="G143" s="135">
        <v>0.42211055276381915</v>
      </c>
      <c r="H143" s="136">
        <v>65</v>
      </c>
      <c r="I143" s="135">
        <v>8.3333333333333259E-2</v>
      </c>
      <c r="J143" s="136">
        <v>1896</v>
      </c>
      <c r="K143" s="135">
        <v>2.66023166023166</v>
      </c>
      <c r="L143" s="136">
        <v>10592</v>
      </c>
      <c r="M143" s="135">
        <v>1.0334037243232865</v>
      </c>
    </row>
    <row r="144" spans="3:13" ht="24" customHeight="1" thickBot="1" x14ac:dyDescent="0.25">
      <c r="C144" s="137" t="s">
        <v>56</v>
      </c>
      <c r="D144" s="138">
        <v>16560</v>
      </c>
      <c r="E144" s="135">
        <v>1.6683854334514985</v>
      </c>
      <c r="F144" s="139">
        <v>633</v>
      </c>
      <c r="G144" s="135">
        <v>0.38512035010940915</v>
      </c>
      <c r="H144" s="139">
        <v>99</v>
      </c>
      <c r="I144" s="135">
        <v>0.94117647058823528</v>
      </c>
      <c r="J144" s="139">
        <v>2594</v>
      </c>
      <c r="K144" s="135">
        <v>3.534965034965035</v>
      </c>
      <c r="L144" s="139">
        <v>13234</v>
      </c>
      <c r="M144" s="135">
        <v>1.512148823082764</v>
      </c>
    </row>
    <row r="145" spans="3:13" ht="24" customHeight="1" thickBot="1" x14ac:dyDescent="0.25">
      <c r="C145" s="140" t="s">
        <v>57</v>
      </c>
      <c r="D145" s="134">
        <v>2269</v>
      </c>
      <c r="E145" s="135">
        <v>6.2492012779552715</v>
      </c>
      <c r="F145" s="136">
        <v>160</v>
      </c>
      <c r="G145" s="135">
        <v>-5.8823529411764719E-2</v>
      </c>
      <c r="H145" s="136">
        <v>46</v>
      </c>
      <c r="I145" s="135">
        <v>4.75</v>
      </c>
      <c r="J145" s="136">
        <v>271</v>
      </c>
      <c r="K145" s="135">
        <v>8.6785714285714288</v>
      </c>
      <c r="L145" s="136">
        <v>1792</v>
      </c>
      <c r="M145" s="135">
        <v>6.6255319148936174</v>
      </c>
    </row>
    <row r="146" spans="3:13" ht="24" customHeight="1" thickBot="1" x14ac:dyDescent="0.25">
      <c r="C146" s="137" t="s">
        <v>58</v>
      </c>
      <c r="D146" s="138">
        <v>1836</v>
      </c>
      <c r="E146" s="135">
        <v>1.5185185185185186</v>
      </c>
      <c r="F146" s="139">
        <v>319</v>
      </c>
      <c r="G146" s="135">
        <v>-7.2674418604651181E-2</v>
      </c>
      <c r="H146" s="139">
        <v>41</v>
      </c>
      <c r="I146" s="135">
        <v>0.57692307692307687</v>
      </c>
      <c r="J146" s="139">
        <v>411</v>
      </c>
      <c r="K146" s="135">
        <v>1.0246305418719213</v>
      </c>
      <c r="L146" s="139">
        <v>1065</v>
      </c>
      <c r="M146" s="135">
        <v>2.3385579937304075</v>
      </c>
    </row>
    <row r="147" spans="3:13" ht="24" customHeight="1" thickBot="1" x14ac:dyDescent="0.25">
      <c r="C147" s="140" t="s">
        <v>59</v>
      </c>
      <c r="D147" s="142">
        <v>7457</v>
      </c>
      <c r="E147" s="143">
        <v>3.5331306990881455</v>
      </c>
      <c r="F147" s="144">
        <v>780</v>
      </c>
      <c r="G147" s="143">
        <v>0.20184899845916804</v>
      </c>
      <c r="H147" s="145">
        <v>38</v>
      </c>
      <c r="I147" s="143">
        <v>0.52</v>
      </c>
      <c r="J147" s="145">
        <v>889</v>
      </c>
      <c r="K147" s="143">
        <v>4.2603550295857993</v>
      </c>
      <c r="L147" s="144">
        <v>5750</v>
      </c>
      <c r="M147" s="143">
        <v>4.4092191909689555</v>
      </c>
    </row>
    <row r="148" spans="3:13" ht="30.75" customHeight="1" thickTop="1" thickBot="1" x14ac:dyDescent="0.25">
      <c r="C148" s="146" t="s">
        <v>60</v>
      </c>
      <c r="D148" s="147">
        <v>310138</v>
      </c>
      <c r="E148" s="148">
        <v>7.3151375408869104</v>
      </c>
      <c r="F148" s="149">
        <v>5733</v>
      </c>
      <c r="G148" s="148">
        <v>4.6167883211678751E-2</v>
      </c>
      <c r="H148" s="150">
        <v>1653</v>
      </c>
      <c r="I148" s="148">
        <v>0.88483466362599783</v>
      </c>
      <c r="J148" s="150">
        <v>32517</v>
      </c>
      <c r="K148" s="148">
        <v>6.5885647607934654</v>
      </c>
      <c r="L148" s="149">
        <v>270235</v>
      </c>
      <c r="M148" s="148">
        <v>8.1957328070235143</v>
      </c>
    </row>
    <row r="149" spans="3:13" ht="24" customHeight="1" thickBot="1" x14ac:dyDescent="0.25">
      <c r="C149" s="151" t="s">
        <v>8</v>
      </c>
      <c r="D149" s="152">
        <v>406424</v>
      </c>
      <c r="E149" s="153">
        <v>3.2800846699032196</v>
      </c>
      <c r="F149" s="154">
        <v>17258</v>
      </c>
      <c r="G149" s="153">
        <v>-7.7046918123274688E-3</v>
      </c>
      <c r="H149" s="154">
        <v>3987</v>
      </c>
      <c r="I149" s="153">
        <v>1.07981220657277</v>
      </c>
      <c r="J149" s="154">
        <v>68808</v>
      </c>
      <c r="K149" s="153">
        <v>3.4957856909506697</v>
      </c>
      <c r="L149" s="154">
        <v>316371</v>
      </c>
      <c r="M149" s="153">
        <v>3.6698894415988903</v>
      </c>
    </row>
    <row r="150" spans="3:13" ht="13.5" thickBot="1" x14ac:dyDescent="0.25">
      <c r="C150" s="10"/>
      <c r="M150" s="155"/>
    </row>
    <row r="151" spans="3:13" ht="35.25" customHeight="1" thickBot="1" x14ac:dyDescent="0.25">
      <c r="C151" s="393" t="s">
        <v>28</v>
      </c>
      <c r="D151" s="394"/>
      <c r="E151" s="394"/>
      <c r="F151" s="394"/>
      <c r="G151" s="394"/>
      <c r="H151" s="394"/>
      <c r="I151" s="394"/>
      <c r="J151" s="394"/>
      <c r="K151" s="394"/>
      <c r="L151" s="394"/>
      <c r="M151" s="395"/>
    </row>
    <row r="152" spans="3:13" ht="20.100000000000001" customHeight="1" x14ac:dyDescent="0.2">
      <c r="C152" s="112"/>
      <c r="D152" s="113"/>
      <c r="E152" s="113"/>
      <c r="F152" s="113"/>
      <c r="G152" s="113"/>
      <c r="H152" s="396"/>
      <c r="I152" s="396"/>
      <c r="J152" s="113"/>
      <c r="K152" s="113"/>
      <c r="L152" s="113"/>
      <c r="M152" s="114"/>
    </row>
    <row r="153" spans="3:13" ht="5.25" customHeight="1" thickBot="1" x14ac:dyDescent="0.25">
      <c r="C153" s="115"/>
      <c r="D153" s="113"/>
      <c r="E153" s="113"/>
      <c r="F153" s="113"/>
      <c r="G153" s="113"/>
      <c r="H153" s="116"/>
      <c r="I153" s="116"/>
      <c r="J153" s="113"/>
      <c r="K153" s="113"/>
      <c r="L153" s="113"/>
      <c r="M153" s="117"/>
    </row>
    <row r="154" spans="3:13" ht="32.25" customHeight="1" thickTop="1" thickBot="1" x14ac:dyDescent="0.25">
      <c r="C154" s="118"/>
      <c r="D154" s="376" t="s">
        <v>7</v>
      </c>
      <c r="E154" s="377"/>
      <c r="F154" s="376" t="s">
        <v>29</v>
      </c>
      <c r="G154" s="377"/>
      <c r="H154" s="376" t="s">
        <v>30</v>
      </c>
      <c r="I154" s="377"/>
      <c r="J154" s="376" t="s">
        <v>31</v>
      </c>
      <c r="K154" s="377"/>
      <c r="L154" s="376" t="s">
        <v>32</v>
      </c>
      <c r="M154" s="377"/>
    </row>
    <row r="155" spans="3:13" ht="31.5" customHeight="1" thickBot="1" x14ac:dyDescent="0.25">
      <c r="C155" s="119"/>
      <c r="D155" s="120" t="s">
        <v>61</v>
      </c>
      <c r="E155" s="121" t="s">
        <v>34</v>
      </c>
      <c r="F155" s="123" t="s">
        <v>61</v>
      </c>
      <c r="G155" s="121" t="s">
        <v>34</v>
      </c>
      <c r="H155" s="120" t="s">
        <v>61</v>
      </c>
      <c r="I155" s="121" t="s">
        <v>34</v>
      </c>
      <c r="J155" s="120" t="s">
        <v>61</v>
      </c>
      <c r="K155" s="121" t="s">
        <v>34</v>
      </c>
      <c r="L155" s="123" t="s">
        <v>61</v>
      </c>
      <c r="M155" s="121" t="s">
        <v>34</v>
      </c>
    </row>
    <row r="156" spans="3:13" ht="24" customHeight="1" thickBot="1" x14ac:dyDescent="0.25">
      <c r="C156" s="124" t="s">
        <v>35</v>
      </c>
      <c r="D156" s="125">
        <v>259437</v>
      </c>
      <c r="E156" s="126">
        <v>0.55043267277030106</v>
      </c>
      <c r="F156" s="127">
        <v>41111</v>
      </c>
      <c r="G156" s="126">
        <v>0.64312549960031973</v>
      </c>
      <c r="H156" s="125">
        <v>8743</v>
      </c>
      <c r="I156" s="126">
        <v>1.3265034592868545</v>
      </c>
      <c r="J156" s="125">
        <v>93521</v>
      </c>
      <c r="K156" s="126">
        <v>1.7612566063361776</v>
      </c>
      <c r="L156" s="127">
        <v>116062</v>
      </c>
      <c r="M156" s="126">
        <v>0.10867841620098395</v>
      </c>
    </row>
    <row r="157" spans="3:13" ht="24" customHeight="1" thickBot="1" x14ac:dyDescent="0.25">
      <c r="C157" s="128" t="s">
        <v>36</v>
      </c>
      <c r="D157" s="129">
        <v>78883.838837243005</v>
      </c>
      <c r="E157" s="130">
        <v>-6.8374886873072138E-2</v>
      </c>
      <c r="F157" s="131" t="s">
        <v>37</v>
      </c>
      <c r="G157" s="156" t="s">
        <v>37</v>
      </c>
      <c r="H157" s="157" t="s">
        <v>37</v>
      </c>
      <c r="I157" s="156" t="s">
        <v>37</v>
      </c>
      <c r="J157" s="157" t="s">
        <v>37</v>
      </c>
      <c r="K157" s="156" t="s">
        <v>37</v>
      </c>
      <c r="L157" s="158" t="s">
        <v>37</v>
      </c>
      <c r="M157" s="156" t="s">
        <v>37</v>
      </c>
    </row>
    <row r="158" spans="3:13" ht="24" customHeight="1" thickBot="1" x14ac:dyDescent="0.25">
      <c r="C158" s="133" t="s">
        <v>38</v>
      </c>
      <c r="D158" s="134">
        <v>35624.848168173754</v>
      </c>
      <c r="E158" s="135">
        <v>0.44461151655081665</v>
      </c>
      <c r="F158" s="136" t="s">
        <v>37</v>
      </c>
      <c r="G158" s="159" t="s">
        <v>37</v>
      </c>
      <c r="H158" s="160" t="s">
        <v>37</v>
      </c>
      <c r="I158" s="159" t="s">
        <v>37</v>
      </c>
      <c r="J158" s="160" t="s">
        <v>37</v>
      </c>
      <c r="K158" s="159" t="s">
        <v>37</v>
      </c>
      <c r="L158" s="161" t="s">
        <v>37</v>
      </c>
      <c r="M158" s="159" t="s">
        <v>37</v>
      </c>
    </row>
    <row r="159" spans="3:13" ht="24" customHeight="1" thickBot="1" x14ac:dyDescent="0.25">
      <c r="C159" s="133" t="s">
        <v>39</v>
      </c>
      <c r="D159" s="134">
        <v>144928.31299452551</v>
      </c>
      <c r="E159" s="135">
        <v>1.4988448013509061</v>
      </c>
      <c r="F159" s="136" t="s">
        <v>37</v>
      </c>
      <c r="G159" s="159" t="s">
        <v>37</v>
      </c>
      <c r="H159" s="160" t="s">
        <v>37</v>
      </c>
      <c r="I159" s="159" t="s">
        <v>37</v>
      </c>
      <c r="J159" s="160" t="s">
        <v>37</v>
      </c>
      <c r="K159" s="159" t="s">
        <v>37</v>
      </c>
      <c r="L159" s="161" t="s">
        <v>37</v>
      </c>
      <c r="M159" s="159" t="s">
        <v>37</v>
      </c>
    </row>
    <row r="160" spans="3:13" ht="24" customHeight="1" thickBot="1" x14ac:dyDescent="0.25">
      <c r="C160" s="137" t="s">
        <v>40</v>
      </c>
      <c r="D160" s="138">
        <v>59693</v>
      </c>
      <c r="E160" s="135">
        <v>8.6700145796209291</v>
      </c>
      <c r="F160" s="139">
        <v>869</v>
      </c>
      <c r="G160" s="135">
        <v>2.3423076923076924</v>
      </c>
      <c r="H160" s="138">
        <v>589</v>
      </c>
      <c r="I160" s="135">
        <v>11.020408163265307</v>
      </c>
      <c r="J160" s="138">
        <v>3575</v>
      </c>
      <c r="K160" s="135">
        <v>13.772727272727273</v>
      </c>
      <c r="L160" s="139">
        <v>54660</v>
      </c>
      <c r="M160" s="135">
        <v>8.7225186766275353</v>
      </c>
    </row>
    <row r="161" spans="3:13" ht="24" customHeight="1" thickBot="1" x14ac:dyDescent="0.25">
      <c r="C161" s="140" t="s">
        <v>41</v>
      </c>
      <c r="D161" s="134">
        <v>51729</v>
      </c>
      <c r="E161" s="135">
        <v>12.132520944402133</v>
      </c>
      <c r="F161" s="136">
        <v>641</v>
      </c>
      <c r="G161" s="135">
        <v>2.601123595505618</v>
      </c>
      <c r="H161" s="134">
        <v>347</v>
      </c>
      <c r="I161" s="135">
        <v>3.0823529411764703</v>
      </c>
      <c r="J161" s="134">
        <v>2663</v>
      </c>
      <c r="K161" s="135">
        <v>7.8471760797342185</v>
      </c>
      <c r="L161" s="136">
        <v>48078</v>
      </c>
      <c r="M161" s="135">
        <v>13.245333333333333</v>
      </c>
    </row>
    <row r="162" spans="3:13" ht="24" customHeight="1" thickBot="1" x14ac:dyDescent="0.25">
      <c r="C162" s="137" t="s">
        <v>42</v>
      </c>
      <c r="D162" s="138">
        <v>118326</v>
      </c>
      <c r="E162" s="135">
        <v>5.2956105347166798</v>
      </c>
      <c r="F162" s="139">
        <v>3552</v>
      </c>
      <c r="G162" s="135">
        <v>1.1885397412199632</v>
      </c>
      <c r="H162" s="138">
        <v>1794</v>
      </c>
      <c r="I162" s="135">
        <v>3.1431870669745958</v>
      </c>
      <c r="J162" s="138">
        <v>37188</v>
      </c>
      <c r="K162" s="135">
        <v>11.572008113590263</v>
      </c>
      <c r="L162" s="139">
        <v>75792</v>
      </c>
      <c r="M162" s="135">
        <v>4.4997460271388139</v>
      </c>
    </row>
    <row r="163" spans="3:13" ht="24" customHeight="1" thickBot="1" x14ac:dyDescent="0.25">
      <c r="C163" s="140" t="s">
        <v>43</v>
      </c>
      <c r="D163" s="134">
        <v>60175</v>
      </c>
      <c r="E163" s="135">
        <v>1.5132606607359143</v>
      </c>
      <c r="F163" s="136">
        <v>2925</v>
      </c>
      <c r="G163" s="135">
        <v>0.41372643789270169</v>
      </c>
      <c r="H163" s="134">
        <v>1624</v>
      </c>
      <c r="I163" s="135">
        <v>0.13249651324965139</v>
      </c>
      <c r="J163" s="134">
        <v>12879</v>
      </c>
      <c r="K163" s="135">
        <v>2.9134001823154057</v>
      </c>
      <c r="L163" s="136">
        <v>42747</v>
      </c>
      <c r="M163" s="135">
        <v>1.4926817890255992</v>
      </c>
    </row>
    <row r="164" spans="3:13" ht="24" customHeight="1" thickBot="1" x14ac:dyDescent="0.25">
      <c r="C164" s="137" t="s">
        <v>44</v>
      </c>
      <c r="D164" s="138">
        <v>449912</v>
      </c>
      <c r="E164" s="135">
        <v>63.117429100755302</v>
      </c>
      <c r="F164" s="139">
        <v>2749</v>
      </c>
      <c r="G164" s="135">
        <v>6.2724867724867721</v>
      </c>
      <c r="H164" s="138">
        <v>1134</v>
      </c>
      <c r="I164" s="135">
        <v>10.227722772277227</v>
      </c>
      <c r="J164" s="138">
        <v>20432</v>
      </c>
      <c r="K164" s="135">
        <v>20.969892473118279</v>
      </c>
      <c r="L164" s="139">
        <v>425597</v>
      </c>
      <c r="M164" s="135">
        <v>74.891048502139796</v>
      </c>
    </row>
    <row r="165" spans="3:13" ht="24" customHeight="1" thickBot="1" x14ac:dyDescent="0.25">
      <c r="C165" s="140" t="s">
        <v>45</v>
      </c>
      <c r="D165" s="134">
        <v>43204</v>
      </c>
      <c r="E165" s="135">
        <v>16.056454796683774</v>
      </c>
      <c r="F165" s="136">
        <v>629</v>
      </c>
      <c r="G165" s="135">
        <v>1.0966666666666667</v>
      </c>
      <c r="H165" s="134">
        <v>108</v>
      </c>
      <c r="I165" s="135">
        <v>2.4838709677419355</v>
      </c>
      <c r="J165" s="134">
        <v>1663</v>
      </c>
      <c r="K165" s="135">
        <v>9.9407894736842106</v>
      </c>
      <c r="L165" s="136">
        <v>40804</v>
      </c>
      <c r="M165" s="135">
        <v>18.904390243902441</v>
      </c>
    </row>
    <row r="166" spans="3:13" ht="24" customHeight="1" thickBot="1" x14ac:dyDescent="0.25">
      <c r="C166" s="137" t="s">
        <v>46</v>
      </c>
      <c r="D166" s="138">
        <v>44332</v>
      </c>
      <c r="E166" s="135">
        <v>4.3872888564831696</v>
      </c>
      <c r="F166" s="139">
        <v>1994</v>
      </c>
      <c r="G166" s="135">
        <v>1.258210645526614</v>
      </c>
      <c r="H166" s="138">
        <v>562</v>
      </c>
      <c r="I166" s="135">
        <v>1.8673469387755102</v>
      </c>
      <c r="J166" s="138">
        <v>4933</v>
      </c>
      <c r="K166" s="135">
        <v>4.3157327586206895</v>
      </c>
      <c r="L166" s="139">
        <v>36843</v>
      </c>
      <c r="M166" s="135">
        <v>4.921407907425265</v>
      </c>
    </row>
    <row r="167" spans="3:13" ht="24" customHeight="1" thickBot="1" x14ac:dyDescent="0.25">
      <c r="C167" s="140" t="s">
        <v>47</v>
      </c>
      <c r="D167" s="134">
        <v>79843</v>
      </c>
      <c r="E167" s="135">
        <v>26.522578421234059</v>
      </c>
      <c r="F167" s="136">
        <v>2344</v>
      </c>
      <c r="G167" s="135">
        <v>11.468085106382979</v>
      </c>
      <c r="H167" s="134">
        <v>405</v>
      </c>
      <c r="I167" s="135">
        <v>6.3636363636363633</v>
      </c>
      <c r="J167" s="134">
        <v>12271</v>
      </c>
      <c r="K167" s="135">
        <v>29.224137931034484</v>
      </c>
      <c r="L167" s="136">
        <v>64823</v>
      </c>
      <c r="M167" s="135">
        <v>27.784635879218474</v>
      </c>
    </row>
    <row r="168" spans="3:13" ht="24" customHeight="1" thickBot="1" x14ac:dyDescent="0.25">
      <c r="C168" s="141" t="s">
        <v>48</v>
      </c>
      <c r="D168" s="138">
        <v>20329</v>
      </c>
      <c r="E168" s="135">
        <v>9.7960701009028153</v>
      </c>
      <c r="F168" s="139">
        <v>862</v>
      </c>
      <c r="G168" s="135">
        <v>7.2095238095238088</v>
      </c>
      <c r="H168" s="138">
        <v>101</v>
      </c>
      <c r="I168" s="135">
        <v>2.7407407407407409</v>
      </c>
      <c r="J168" s="138">
        <v>3260</v>
      </c>
      <c r="K168" s="135">
        <v>14.902439024390244</v>
      </c>
      <c r="L168" s="139">
        <v>16106</v>
      </c>
      <c r="M168" s="135">
        <v>9.4178525226390679</v>
      </c>
    </row>
    <row r="169" spans="3:13" ht="24" customHeight="1" thickBot="1" x14ac:dyDescent="0.25">
      <c r="C169" s="133" t="s">
        <v>49</v>
      </c>
      <c r="D169" s="134">
        <v>12810</v>
      </c>
      <c r="E169" s="135">
        <v>64.692307692307693</v>
      </c>
      <c r="F169" s="136">
        <v>543</v>
      </c>
      <c r="G169" s="135">
        <v>20.72</v>
      </c>
      <c r="H169" s="134">
        <v>49</v>
      </c>
      <c r="I169" s="135">
        <v>5.125</v>
      </c>
      <c r="J169" s="134">
        <v>1317</v>
      </c>
      <c r="K169" s="135">
        <v>33.657894736842103</v>
      </c>
      <c r="L169" s="136">
        <v>10901</v>
      </c>
      <c r="M169" s="135">
        <v>86.911290322580641</v>
      </c>
    </row>
    <row r="170" spans="3:13" ht="24" customHeight="1" thickBot="1" x14ac:dyDescent="0.25">
      <c r="C170" s="141" t="s">
        <v>50</v>
      </c>
      <c r="D170" s="138">
        <v>24978</v>
      </c>
      <c r="E170" s="135">
        <v>52.371794871794869</v>
      </c>
      <c r="F170" s="139">
        <v>472</v>
      </c>
      <c r="G170" s="135">
        <v>30.466666666666665</v>
      </c>
      <c r="H170" s="138">
        <v>189</v>
      </c>
      <c r="I170" s="135">
        <v>11.6</v>
      </c>
      <c r="J170" s="138">
        <v>3216</v>
      </c>
      <c r="K170" s="135">
        <v>32.852631578947367</v>
      </c>
      <c r="L170" s="139">
        <v>21101</v>
      </c>
      <c r="M170" s="135">
        <v>60.518950437317784</v>
      </c>
    </row>
    <row r="171" spans="3:13" ht="24" customHeight="1" thickBot="1" x14ac:dyDescent="0.25">
      <c r="C171" s="133" t="s">
        <v>51</v>
      </c>
      <c r="D171" s="134">
        <v>21726</v>
      </c>
      <c r="E171" s="135">
        <v>60.2</v>
      </c>
      <c r="F171" s="136">
        <v>467</v>
      </c>
      <c r="G171" s="135">
        <v>9.8604651162790695</v>
      </c>
      <c r="H171" s="134">
        <v>66</v>
      </c>
      <c r="I171" s="135">
        <v>12.2</v>
      </c>
      <c r="J171" s="134">
        <v>4478</v>
      </c>
      <c r="K171" s="135">
        <v>64.852941176470594</v>
      </c>
      <c r="L171" s="136">
        <v>16715</v>
      </c>
      <c r="M171" s="135">
        <v>68.937238493723854</v>
      </c>
    </row>
    <row r="172" spans="3:13" ht="24" customHeight="1" thickBot="1" x14ac:dyDescent="0.25">
      <c r="C172" s="137" t="s">
        <v>52</v>
      </c>
      <c r="D172" s="138">
        <v>13164</v>
      </c>
      <c r="E172" s="135">
        <v>2.1621426855632957</v>
      </c>
      <c r="F172" s="139">
        <v>636</v>
      </c>
      <c r="G172" s="135">
        <v>1.3643122676579926</v>
      </c>
      <c r="H172" s="138">
        <v>394</v>
      </c>
      <c r="I172" s="135">
        <v>2.7169811320754715</v>
      </c>
      <c r="J172" s="138">
        <v>1779</v>
      </c>
      <c r="K172" s="135">
        <v>3.5498721227621486</v>
      </c>
      <c r="L172" s="139">
        <v>10355</v>
      </c>
      <c r="M172" s="135">
        <v>2.0482778922578744</v>
      </c>
    </row>
    <row r="173" spans="3:13" ht="24" customHeight="1" thickBot="1" x14ac:dyDescent="0.25">
      <c r="C173" s="140" t="s">
        <v>53</v>
      </c>
      <c r="D173" s="134">
        <v>8390</v>
      </c>
      <c r="E173" s="135">
        <v>4.3439490445859876</v>
      </c>
      <c r="F173" s="136">
        <v>367</v>
      </c>
      <c r="G173" s="135">
        <v>2.2767857142857144</v>
      </c>
      <c r="H173" s="134">
        <v>168</v>
      </c>
      <c r="I173" s="135">
        <v>2.2307692307692308</v>
      </c>
      <c r="J173" s="134">
        <v>1844</v>
      </c>
      <c r="K173" s="135">
        <v>7.7393364928909953</v>
      </c>
      <c r="L173" s="136">
        <v>6011</v>
      </c>
      <c r="M173" s="135">
        <v>4.0301255230125523</v>
      </c>
    </row>
    <row r="174" spans="3:13" ht="24" customHeight="1" thickBot="1" x14ac:dyDescent="0.25">
      <c r="C174" s="137" t="s">
        <v>54</v>
      </c>
      <c r="D174" s="138">
        <v>3465</v>
      </c>
      <c r="E174" s="135">
        <v>1.1958174904942966</v>
      </c>
      <c r="F174" s="139">
        <v>274</v>
      </c>
      <c r="G174" s="135">
        <v>1.4035087719298245</v>
      </c>
      <c r="H174" s="138">
        <v>40</v>
      </c>
      <c r="I174" s="135">
        <v>-0.11111111111111116</v>
      </c>
      <c r="J174" s="138">
        <v>597</v>
      </c>
      <c r="K174" s="135">
        <v>3.2949640287769784</v>
      </c>
      <c r="L174" s="139">
        <v>2554</v>
      </c>
      <c r="M174" s="135">
        <v>0.99531250000000004</v>
      </c>
    </row>
    <row r="175" spans="3:13" ht="24" customHeight="1" thickBot="1" x14ac:dyDescent="0.25">
      <c r="C175" s="140" t="s">
        <v>55</v>
      </c>
      <c r="D175" s="134">
        <v>46143</v>
      </c>
      <c r="E175" s="135">
        <v>1.871911371133379</v>
      </c>
      <c r="F175" s="136">
        <v>1485</v>
      </c>
      <c r="G175" s="135">
        <v>1.7861163227016887</v>
      </c>
      <c r="H175" s="134">
        <v>343</v>
      </c>
      <c r="I175" s="135">
        <v>0.94886363636363646</v>
      </c>
      <c r="J175" s="134">
        <v>6027</v>
      </c>
      <c r="K175" s="135">
        <v>4.0477386934673367</v>
      </c>
      <c r="L175" s="136">
        <v>38288</v>
      </c>
      <c r="M175" s="135">
        <v>1.7031911889296807</v>
      </c>
    </row>
    <row r="176" spans="3:13" ht="24" customHeight="1" thickBot="1" x14ac:dyDescent="0.25">
      <c r="C176" s="137" t="s">
        <v>56</v>
      </c>
      <c r="D176" s="138">
        <v>61901</v>
      </c>
      <c r="E176" s="135">
        <v>2.9205142820951293</v>
      </c>
      <c r="F176" s="139">
        <v>2361</v>
      </c>
      <c r="G176" s="135">
        <v>0.65451997196916611</v>
      </c>
      <c r="H176" s="138">
        <v>422</v>
      </c>
      <c r="I176" s="135">
        <v>1.7051282051282053</v>
      </c>
      <c r="J176" s="138">
        <v>9399</v>
      </c>
      <c r="K176" s="135">
        <v>5.0482625482625485</v>
      </c>
      <c r="L176" s="139">
        <v>49719</v>
      </c>
      <c r="M176" s="135">
        <v>2.9297344293392351</v>
      </c>
    </row>
    <row r="177" spans="3:18" ht="24" customHeight="1" thickBot="1" x14ac:dyDescent="0.25">
      <c r="C177" s="140" t="s">
        <v>57</v>
      </c>
      <c r="D177" s="134">
        <v>7379</v>
      </c>
      <c r="E177" s="135">
        <v>6.6864583333333334</v>
      </c>
      <c r="F177" s="136">
        <v>634</v>
      </c>
      <c r="G177" s="135">
        <v>4.6607142857142856</v>
      </c>
      <c r="H177" s="134">
        <v>223</v>
      </c>
      <c r="I177" s="135">
        <v>9.6190476190476186</v>
      </c>
      <c r="J177" s="134">
        <v>814</v>
      </c>
      <c r="K177" s="135">
        <v>11.523076923076923</v>
      </c>
      <c r="L177" s="136">
        <v>5708</v>
      </c>
      <c r="M177" s="135">
        <v>6.4908136482939636</v>
      </c>
    </row>
    <row r="178" spans="3:18" ht="24" customHeight="1" thickBot="1" x14ac:dyDescent="0.25">
      <c r="C178" s="137" t="s">
        <v>58</v>
      </c>
      <c r="D178" s="138">
        <v>5783</v>
      </c>
      <c r="E178" s="135">
        <v>1.5198257080610023</v>
      </c>
      <c r="F178" s="139">
        <v>1228</v>
      </c>
      <c r="G178" s="135">
        <v>0.80058651026392957</v>
      </c>
      <c r="H178" s="138">
        <v>185</v>
      </c>
      <c r="I178" s="135">
        <v>0.94736842105263164</v>
      </c>
      <c r="J178" s="138">
        <v>1436</v>
      </c>
      <c r="K178" s="135">
        <v>1.7300380228136882</v>
      </c>
      <c r="L178" s="139">
        <v>2934</v>
      </c>
      <c r="M178" s="135">
        <v>1.9576612903225805</v>
      </c>
    </row>
    <row r="179" spans="3:18" ht="24" customHeight="1" thickBot="1" x14ac:dyDescent="0.25">
      <c r="C179" s="140" t="s">
        <v>59</v>
      </c>
      <c r="D179" s="142">
        <v>24195</v>
      </c>
      <c r="E179" s="143">
        <v>3.2747349823321557</v>
      </c>
      <c r="F179" s="144">
        <v>3246</v>
      </c>
      <c r="G179" s="143">
        <v>0.55385351842987074</v>
      </c>
      <c r="H179" s="142">
        <v>243</v>
      </c>
      <c r="I179" s="143">
        <v>0.6875</v>
      </c>
      <c r="J179" s="142">
        <v>2765</v>
      </c>
      <c r="K179" s="143">
        <v>5.4754098360655741</v>
      </c>
      <c r="L179" s="144">
        <v>17941</v>
      </c>
      <c r="M179" s="143">
        <v>4.9803333333333333</v>
      </c>
    </row>
    <row r="180" spans="3:18" ht="30.75" customHeight="1" thickTop="1" thickBot="1" x14ac:dyDescent="0.25">
      <c r="C180" s="146" t="s">
        <v>60</v>
      </c>
      <c r="D180" s="147">
        <v>1077634</v>
      </c>
      <c r="E180" s="148">
        <v>7.8612472453376316</v>
      </c>
      <c r="F180" s="149">
        <v>25934</v>
      </c>
      <c r="G180" s="148">
        <v>1.3120263885174288</v>
      </c>
      <c r="H180" s="147">
        <v>8581</v>
      </c>
      <c r="I180" s="148">
        <v>1.6992765020446683</v>
      </c>
      <c r="J180" s="147">
        <v>120265</v>
      </c>
      <c r="K180" s="148">
        <v>7.7688662048851622</v>
      </c>
      <c r="L180" s="149">
        <v>922854</v>
      </c>
      <c r="M180" s="148">
        <v>8.8699906952866812</v>
      </c>
    </row>
    <row r="181" spans="3:18" ht="24" customHeight="1" thickBot="1" x14ac:dyDescent="0.25">
      <c r="C181" s="151" t="s">
        <v>8</v>
      </c>
      <c r="D181" s="152">
        <v>1337071</v>
      </c>
      <c r="E181" s="153">
        <v>3.6274399191538844</v>
      </c>
      <c r="F181" s="154">
        <v>67045</v>
      </c>
      <c r="G181" s="153">
        <v>0.85018075447746777</v>
      </c>
      <c r="H181" s="152">
        <v>17324</v>
      </c>
      <c r="I181" s="153">
        <v>1.4973331411272883</v>
      </c>
      <c r="J181" s="152">
        <v>213786</v>
      </c>
      <c r="K181" s="153">
        <v>3.4928127101546735</v>
      </c>
      <c r="L181" s="154">
        <v>1038916</v>
      </c>
      <c r="M181" s="153">
        <v>4.2421260835780528</v>
      </c>
    </row>
    <row r="182" spans="3:18" ht="18" customHeight="1" x14ac:dyDescent="0.2"/>
    <row r="183" spans="3:18" ht="17.25" hidden="1" customHeight="1" x14ac:dyDescent="0.2">
      <c r="C183" s="385"/>
      <c r="D183" s="386"/>
      <c r="E183" s="386"/>
      <c r="F183" s="386"/>
      <c r="G183" s="386"/>
      <c r="H183" s="386"/>
      <c r="I183" s="386"/>
      <c r="J183" s="386"/>
      <c r="K183" s="386"/>
      <c r="L183" s="386"/>
      <c r="M183" s="387"/>
    </row>
    <row r="184" spans="3:18" ht="21.75" hidden="1" customHeight="1" x14ac:dyDescent="0.2">
      <c r="C184" s="108"/>
      <c r="D184" s="109"/>
      <c r="E184" s="388" t="str">
        <f>$E$1</f>
        <v>INDICADORES TURÍSTICOS DE TENERIFE definitivo</v>
      </c>
      <c r="F184" s="389"/>
      <c r="G184" s="389"/>
      <c r="H184" s="389"/>
      <c r="I184" s="389"/>
      <c r="J184" s="389"/>
      <c r="K184" s="390"/>
      <c r="L184" s="109"/>
      <c r="M184" s="111"/>
    </row>
    <row r="185" spans="3:18" ht="21.75" hidden="1" customHeight="1" x14ac:dyDescent="0.2">
      <c r="C185" s="108"/>
      <c r="D185" s="109"/>
      <c r="E185" s="110"/>
      <c r="F185" s="110"/>
      <c r="G185" s="110"/>
      <c r="H185" s="110"/>
      <c r="I185" s="110"/>
      <c r="J185" s="110"/>
      <c r="K185" s="110"/>
      <c r="L185" s="109"/>
      <c r="M185" s="111"/>
    </row>
    <row r="186" spans="3:18" ht="33" hidden="1" customHeight="1" x14ac:dyDescent="0.2">
      <c r="C186" s="381" t="s">
        <v>28</v>
      </c>
      <c r="D186" s="382"/>
      <c r="E186" s="382"/>
      <c r="F186" s="382"/>
      <c r="G186" s="382"/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162"/>
    </row>
    <row r="187" spans="3:18" ht="20.100000000000001" hidden="1" customHeight="1" x14ac:dyDescent="0.2">
      <c r="C187" s="391">
        <f>E3</f>
        <v>0</v>
      </c>
      <c r="D187" s="392"/>
      <c r="E187" s="392"/>
      <c r="F187" s="392"/>
      <c r="G187" s="392"/>
      <c r="H187" s="392"/>
      <c r="I187" s="392"/>
      <c r="J187" s="392"/>
      <c r="K187" s="392"/>
      <c r="L187" s="392"/>
      <c r="M187" s="392"/>
      <c r="N187" s="392"/>
      <c r="O187" s="392"/>
      <c r="P187" s="392"/>
      <c r="Q187" s="392"/>
    </row>
    <row r="188" spans="3:18" ht="17.25" hidden="1" customHeight="1" x14ac:dyDescent="0.2">
      <c r="C188" s="163"/>
      <c r="D188" s="379" t="s">
        <v>24</v>
      </c>
      <c r="E188" s="380"/>
      <c r="F188" s="379" t="s">
        <v>23</v>
      </c>
      <c r="G188" s="380"/>
      <c r="H188" s="379" t="s">
        <v>22</v>
      </c>
      <c r="I188" s="380"/>
      <c r="J188" s="379" t="s">
        <v>21</v>
      </c>
      <c r="K188" s="380"/>
      <c r="L188" s="379" t="s">
        <v>20</v>
      </c>
      <c r="M188" s="380"/>
      <c r="N188" s="379" t="s">
        <v>62</v>
      </c>
      <c r="O188" s="380"/>
      <c r="P188" s="379" t="s">
        <v>63</v>
      </c>
      <c r="Q188" s="380"/>
    </row>
    <row r="189" spans="3:18" ht="28.5" hidden="1" customHeight="1" x14ac:dyDescent="0.2">
      <c r="C189" s="163"/>
      <c r="D189" s="164" t="s">
        <v>34</v>
      </c>
      <c r="E189" s="164" t="s">
        <v>33</v>
      </c>
      <c r="F189" s="164" t="s">
        <v>34</v>
      </c>
      <c r="G189" s="164"/>
      <c r="H189" s="164" t="s">
        <v>34</v>
      </c>
      <c r="I189" s="164" t="s">
        <v>33</v>
      </c>
      <c r="J189" s="164" t="s">
        <v>34</v>
      </c>
      <c r="K189" s="164" t="s">
        <v>33</v>
      </c>
      <c r="L189" s="164" t="s">
        <v>34</v>
      </c>
      <c r="M189" s="164" t="s">
        <v>33</v>
      </c>
      <c r="N189" s="164" t="s">
        <v>34</v>
      </c>
      <c r="O189" s="164" t="s">
        <v>33</v>
      </c>
      <c r="P189" s="164" t="s">
        <v>34</v>
      </c>
      <c r="Q189" s="164" t="s">
        <v>33</v>
      </c>
    </row>
    <row r="190" spans="3:18" ht="24" hidden="1" customHeight="1" x14ac:dyDescent="0.2">
      <c r="C190" s="165" t="s">
        <v>35</v>
      </c>
      <c r="D190" s="166" t="e">
        <f>VLOOKUP("españa",#REF!,6,FALSE)/VLOOKUP("españa",#REF!,6,FALSE)-1</f>
        <v>#REF!</v>
      </c>
      <c r="E190" s="167" t="e">
        <f>VLOOKUP("españa",#REF!,6,FALSE)</f>
        <v>#REF!</v>
      </c>
      <c r="F190" s="166" t="e">
        <f>VLOOKUP("españa",#REF!,5,FALSE)/VLOOKUP("españa",#REF!,5,FALSE)-1</f>
        <v>#REF!</v>
      </c>
      <c r="G190" s="166"/>
      <c r="H190" s="166" t="e">
        <f>VLOOKUP("españa",#REF!,4,FALSE)/VLOOKUP("españa",#REF!,4,FALSE)-1</f>
        <v>#REF!</v>
      </c>
      <c r="I190" s="167" t="e">
        <f>VLOOKUP("españa",#REF!,4,FALSE)</f>
        <v>#REF!</v>
      </c>
      <c r="J190" s="166" t="e">
        <f>VLOOKUP("españa",#REF!,3,FALSE)/VLOOKUP("españa",#REF!,3,FALSE)-1</f>
        <v>#REF!</v>
      </c>
      <c r="K190" s="167" t="e">
        <f>VLOOKUP("españa",#REF!,3,FALSE)</f>
        <v>#REF!</v>
      </c>
      <c r="L190" s="166" t="e">
        <f>VLOOKUP("españa",#REF!,2,FALSE)/VLOOKUP("españa",#REF!,2,FALSE)-1</f>
        <v>#REF!</v>
      </c>
      <c r="M190" s="167" t="e">
        <f>VLOOKUP("españa",#REF!,2,FALSE)</f>
        <v>#REF!</v>
      </c>
      <c r="N190" s="166" t="e">
        <f>VLOOKUP("españa",#REF!,7,FALSE)/VLOOKUP("españa",#REF!,7,FALSE)-1</f>
        <v>#REF!</v>
      </c>
      <c r="O190" s="167" t="e">
        <f>VLOOKUP("españa",#REF!,7,FALSE)</f>
        <v>#REF!</v>
      </c>
      <c r="P190" s="166" t="e">
        <f>VLOOKUP("españa",#REF!,8,FALSE)/VLOOKUP("españa",#REF!,8,FALSE)-1</f>
        <v>#REF!</v>
      </c>
      <c r="Q190" s="167" t="e">
        <f>VLOOKUP("españa",#REF!,8,FALSE)</f>
        <v>#REF!</v>
      </c>
    </row>
    <row r="191" spans="3:18" ht="24" hidden="1" customHeight="1" x14ac:dyDescent="0.2">
      <c r="C191" s="165" t="s">
        <v>40</v>
      </c>
      <c r="D191" s="166" t="e">
        <f>VLOOKUP("holanda",#REF!,6,FALSE)/VLOOKUP("holanda",#REF!,6,FALSE)-1</f>
        <v>#REF!</v>
      </c>
      <c r="E191" s="167" t="e">
        <f>VLOOKUP("holanda",#REF!,6,FALSE)</f>
        <v>#REF!</v>
      </c>
      <c r="F191" s="166" t="e">
        <f>VLOOKUP("holanda",#REF!,5,FALSE)/VLOOKUP("holanda",#REF!,5,FALSE)-1</f>
        <v>#REF!</v>
      </c>
      <c r="G191" s="166"/>
      <c r="H191" s="166" t="e">
        <f>VLOOKUP("holanda",#REF!,4,FALSE)/VLOOKUP("holanda",#REF!,4,FALSE)-1</f>
        <v>#REF!</v>
      </c>
      <c r="I191" s="167" t="e">
        <f>VLOOKUP("holanda",#REF!,4,FALSE)</f>
        <v>#REF!</v>
      </c>
      <c r="J191" s="166" t="e">
        <f>VLOOKUP("holanda",#REF!,3,FALSE)/VLOOKUP("holanda",#REF!,3,FALSE)-1</f>
        <v>#REF!</v>
      </c>
      <c r="K191" s="167" t="e">
        <f>VLOOKUP("holanda",#REF!,3,FALSE)</f>
        <v>#REF!</v>
      </c>
      <c r="L191" s="166" t="e">
        <f>VLOOKUP("holanda",#REF!,2,FALSE)/VLOOKUP("holanda",#REF!,2,FALSE)-1</f>
        <v>#REF!</v>
      </c>
      <c r="M191" s="167" t="e">
        <f>VLOOKUP("holanda",#REF!,2,FALSE)</f>
        <v>#REF!</v>
      </c>
      <c r="N191" s="166" t="e">
        <f>VLOOKUP("holanda",#REF!,7,FALSE)/VLOOKUP("holanda",#REF!,7,FALSE)-1</f>
        <v>#REF!</v>
      </c>
      <c r="O191" s="167" t="e">
        <f>VLOOKUP("holanda",#REF!,7,FALSE)</f>
        <v>#REF!</v>
      </c>
      <c r="P191" s="166" t="e">
        <f>VLOOKUP("holanda",#REF!,8,FALSE)/VLOOKUP("holanda",#REF!,8,FALSE)-1</f>
        <v>#REF!</v>
      </c>
      <c r="Q191" s="167" t="e">
        <f>VLOOKUP("holanda",#REF!,8,FALSE)</f>
        <v>#REF!</v>
      </c>
    </row>
    <row r="192" spans="3:18" ht="24" hidden="1" customHeight="1" x14ac:dyDescent="0.2">
      <c r="C192" s="165" t="s">
        <v>41</v>
      </c>
      <c r="D192" s="166" t="e">
        <f>VLOOKUP("belgica",#REF!,6,FALSE)/VLOOKUP("belgica",#REF!,6,FALSE)-1</f>
        <v>#REF!</v>
      </c>
      <c r="E192" s="167" t="e">
        <f>VLOOKUP("belgica",#REF!,6,FALSE)</f>
        <v>#REF!</v>
      </c>
      <c r="F192" s="166" t="e">
        <f>VLOOKUP("belgica",#REF!,5,FALSE)/VLOOKUP("belgica",#REF!,5,FALSE)-1</f>
        <v>#REF!</v>
      </c>
      <c r="G192" s="166"/>
      <c r="H192" s="166" t="e">
        <f>VLOOKUP("belgica",#REF!,4,FALSE)/VLOOKUP("belgica",#REF!,4,FALSE)-1</f>
        <v>#REF!</v>
      </c>
      <c r="I192" s="167" t="e">
        <f>VLOOKUP("belgica",#REF!,4,FALSE)</f>
        <v>#REF!</v>
      </c>
      <c r="J192" s="166" t="e">
        <f>VLOOKUP("belgica",#REF!,3,FALSE)/VLOOKUP("belgica",#REF!,3,FALSE)-1</f>
        <v>#REF!</v>
      </c>
      <c r="K192" s="167" t="e">
        <f>VLOOKUP("belgica",#REF!,3,FALSE)</f>
        <v>#REF!</v>
      </c>
      <c r="L192" s="166" t="e">
        <f>VLOOKUP("belgica",#REF!,2,FALSE)/VLOOKUP("belgica",#REF!,2,FALSE)-1</f>
        <v>#REF!</v>
      </c>
      <c r="M192" s="167" t="e">
        <f>VLOOKUP("belgica",#REF!,2,FALSE)</f>
        <v>#REF!</v>
      </c>
      <c r="N192" s="166" t="e">
        <f>VLOOKUP("belgica",#REF!,7,FALSE)/VLOOKUP("belgica",#REF!,7,FALSE)-1</f>
        <v>#REF!</v>
      </c>
      <c r="O192" s="167" t="e">
        <f>VLOOKUP("belgica",#REF!,7,FALSE)</f>
        <v>#REF!</v>
      </c>
      <c r="P192" s="166" t="e">
        <f>VLOOKUP("belgica",#REF!,8,FALSE)/VLOOKUP("belgica",#REF!,8,FALSE)-1</f>
        <v>#REF!</v>
      </c>
      <c r="Q192" s="167" t="e">
        <f>VLOOKUP("belgica",#REF!,8,FALSE)</f>
        <v>#REF!</v>
      </c>
    </row>
    <row r="193" spans="3:17" ht="24" hidden="1" customHeight="1" x14ac:dyDescent="0.2">
      <c r="C193" s="165" t="s">
        <v>42</v>
      </c>
      <c r="D193" s="166" t="e">
        <f>VLOOKUP("alemania",#REF!,6,FALSE)/VLOOKUP("alemania",#REF!,6,FALSE)-1</f>
        <v>#REF!</v>
      </c>
      <c r="E193" s="167" t="e">
        <f>VLOOKUP("alemania",#REF!,6,FALSE)</f>
        <v>#REF!</v>
      </c>
      <c r="F193" s="166" t="e">
        <f>VLOOKUP("alemania",#REF!,5,FALSE)/VLOOKUP("alemania",#REF!,5,FALSE)-1</f>
        <v>#REF!</v>
      </c>
      <c r="G193" s="166"/>
      <c r="H193" s="166" t="e">
        <f>VLOOKUP("alemania",#REF!,4,FALSE)/VLOOKUP("alemania",#REF!,4,FALSE)-1</f>
        <v>#REF!</v>
      </c>
      <c r="I193" s="167" t="e">
        <f>VLOOKUP("alemania",#REF!,4,FALSE)</f>
        <v>#REF!</v>
      </c>
      <c r="J193" s="166" t="e">
        <f>VLOOKUP("alemania",#REF!,3,FALSE)/VLOOKUP("alemania",#REF!,3,FALSE)-1</f>
        <v>#REF!</v>
      </c>
      <c r="K193" s="167" t="e">
        <f>VLOOKUP("alemania",#REF!,3,FALSE)</f>
        <v>#REF!</v>
      </c>
      <c r="L193" s="166" t="e">
        <f>VLOOKUP("alemania",#REF!,2,FALSE)/VLOOKUP("alemania",#REF!,2,FALSE)-1</f>
        <v>#REF!</v>
      </c>
      <c r="M193" s="167" t="e">
        <f>VLOOKUP("alemania",#REF!,2,FALSE)</f>
        <v>#REF!</v>
      </c>
      <c r="N193" s="166" t="e">
        <f>VLOOKUP("alemania",#REF!,7,FALSE)/VLOOKUP("alemania",#REF!,7,FALSE)-1</f>
        <v>#REF!</v>
      </c>
      <c r="O193" s="167" t="e">
        <f>VLOOKUP("alemania",#REF!,7,FALSE)</f>
        <v>#REF!</v>
      </c>
      <c r="P193" s="166" t="e">
        <f>VLOOKUP("alemania",#REF!,8,FALSE)/VLOOKUP("alemania",#REF!,8,FALSE)-1</f>
        <v>#REF!</v>
      </c>
      <c r="Q193" s="167" t="e">
        <f>VLOOKUP("alemania",#REF!,8,FALSE)</f>
        <v>#REF!</v>
      </c>
    </row>
    <row r="194" spans="3:17" ht="24" hidden="1" customHeight="1" x14ac:dyDescent="0.2">
      <c r="C194" s="165" t="s">
        <v>43</v>
      </c>
      <c r="D194" s="166" t="e">
        <f>VLOOKUP("francia",#REF!,6,FALSE)/VLOOKUP("francia",#REF!,6,FALSE)-1</f>
        <v>#REF!</v>
      </c>
      <c r="E194" s="167" t="e">
        <f>VLOOKUP("francia",#REF!,6,FALSE)</f>
        <v>#REF!</v>
      </c>
      <c r="F194" s="166" t="e">
        <f>VLOOKUP("francia",#REF!,5,FALSE)/VLOOKUP("francia",#REF!,5,FALSE)-1</f>
        <v>#REF!</v>
      </c>
      <c r="G194" s="166"/>
      <c r="H194" s="166" t="e">
        <f>VLOOKUP("francia",#REF!,4,FALSE)/VLOOKUP("francia",#REF!,4,FALSE)-1</f>
        <v>#REF!</v>
      </c>
      <c r="I194" s="167" t="e">
        <f>VLOOKUP("francia",#REF!,4,FALSE)</f>
        <v>#REF!</v>
      </c>
      <c r="J194" s="166" t="e">
        <f>VLOOKUP("francia",#REF!,3,FALSE)/VLOOKUP("francia",#REF!,3,FALSE)-1</f>
        <v>#REF!</v>
      </c>
      <c r="K194" s="167" t="e">
        <f>VLOOKUP("francia",#REF!,3,FALSE)</f>
        <v>#REF!</v>
      </c>
      <c r="L194" s="166" t="e">
        <f>VLOOKUP("francia",#REF!,2,FALSE)/VLOOKUP("francia",#REF!,2,FALSE)-1</f>
        <v>#REF!</v>
      </c>
      <c r="M194" s="167" t="e">
        <f>VLOOKUP("francia",#REF!,2,FALSE)</f>
        <v>#REF!</v>
      </c>
      <c r="N194" s="166" t="e">
        <f>VLOOKUP("francia",#REF!,7,FALSE)/VLOOKUP("francia",#REF!,7,FALSE)-1</f>
        <v>#REF!</v>
      </c>
      <c r="O194" s="167" t="e">
        <f>VLOOKUP("francia",#REF!,7,FALSE)</f>
        <v>#REF!</v>
      </c>
      <c r="P194" s="166" t="e">
        <f>VLOOKUP("francia",#REF!,8,FALSE)/VLOOKUP("francia",#REF!,8,FALSE)-1</f>
        <v>#REF!</v>
      </c>
      <c r="Q194" s="167" t="e">
        <f>VLOOKUP("francia",#REF!,8,FALSE)</f>
        <v>#REF!</v>
      </c>
    </row>
    <row r="195" spans="3:17" ht="24" hidden="1" customHeight="1" x14ac:dyDescent="0.2">
      <c r="C195" s="165" t="s">
        <v>44</v>
      </c>
      <c r="D195" s="166" t="e">
        <f>VLOOKUP("reino unido",#REF!,6,FALSE)/VLOOKUP("reino unido",#REF!,6,FALSE)-1</f>
        <v>#REF!</v>
      </c>
      <c r="E195" s="167" t="e">
        <f>VLOOKUP("reino unido",#REF!,6,FALSE)</f>
        <v>#REF!</v>
      </c>
      <c r="F195" s="166" t="e">
        <f>VLOOKUP("reino unido",#REF!,5,FALSE)/VLOOKUP("reino unido",#REF!,5,FALSE)-1</f>
        <v>#REF!</v>
      </c>
      <c r="G195" s="166"/>
      <c r="H195" s="166" t="e">
        <f>VLOOKUP("reino unido",#REF!,4,FALSE)/VLOOKUP("reino unido",#REF!,4,FALSE)-1</f>
        <v>#REF!</v>
      </c>
      <c r="I195" s="167" t="e">
        <f>VLOOKUP("reino unido",#REF!,4,FALSE)</f>
        <v>#REF!</v>
      </c>
      <c r="J195" s="166" t="e">
        <f>VLOOKUP("reino unido",#REF!,3,FALSE)/VLOOKUP("reino unido",#REF!,3,FALSE)-1</f>
        <v>#REF!</v>
      </c>
      <c r="K195" s="167" t="e">
        <f>VLOOKUP("reino unido",#REF!,3,FALSE)</f>
        <v>#REF!</v>
      </c>
      <c r="L195" s="166" t="e">
        <f>VLOOKUP("reino unido",#REF!,2,FALSE)/VLOOKUP("reino unido",#REF!,2,FALSE)-1</f>
        <v>#REF!</v>
      </c>
      <c r="M195" s="167" t="e">
        <f>VLOOKUP("reino unido",#REF!,2,FALSE)</f>
        <v>#REF!</v>
      </c>
      <c r="N195" s="166" t="e">
        <f>VLOOKUP("reino unido",#REF!,7,FALSE)/VLOOKUP("reino unido",#REF!,7,FALSE)-1</f>
        <v>#REF!</v>
      </c>
      <c r="O195" s="167" t="e">
        <f>VLOOKUP("reino unido",#REF!,7,FALSE)</f>
        <v>#REF!</v>
      </c>
      <c r="P195" s="166" t="e">
        <f>VLOOKUP("reino unido",#REF!,8,FALSE)/VLOOKUP("reino unido",#REF!,8,FALSE)-1</f>
        <v>#REF!</v>
      </c>
      <c r="Q195" s="167" t="e">
        <f>VLOOKUP("reino unido",#REF!,8,FALSE)</f>
        <v>#REF!</v>
      </c>
    </row>
    <row r="196" spans="3:17" ht="24" hidden="1" customHeight="1" x14ac:dyDescent="0.2">
      <c r="C196" s="165" t="s">
        <v>45</v>
      </c>
      <c r="D196" s="166" t="e">
        <f>VLOOKUP("irlanda",#REF!,6,FALSE)/VLOOKUP("irlanda",#REF!,6,FALSE)-1</f>
        <v>#REF!</v>
      </c>
      <c r="E196" s="167" t="e">
        <f>VLOOKUP("irlanda",#REF!,6,FALSE)</f>
        <v>#REF!</v>
      </c>
      <c r="F196" s="166" t="e">
        <f>VLOOKUP("irlanda",#REF!,5,FALSE)/VLOOKUP("irlanda",#REF!,5,FALSE)-1</f>
        <v>#REF!</v>
      </c>
      <c r="G196" s="166"/>
      <c r="H196" s="166" t="e">
        <f>VLOOKUP("irlanda",#REF!,4,FALSE)/VLOOKUP("irlanda",#REF!,4,FALSE)-1</f>
        <v>#REF!</v>
      </c>
      <c r="I196" s="167" t="e">
        <f>VLOOKUP("irlanda",#REF!,4,FALSE)</f>
        <v>#REF!</v>
      </c>
      <c r="J196" s="166" t="e">
        <f>VLOOKUP("irlanda",#REF!,3,FALSE)/VLOOKUP("irlanda",#REF!,3,FALSE)-1</f>
        <v>#REF!</v>
      </c>
      <c r="K196" s="167" t="e">
        <f>VLOOKUP("irlanda",#REF!,3,FALSE)</f>
        <v>#REF!</v>
      </c>
      <c r="L196" s="166" t="e">
        <f>VLOOKUP("irlanda",#REF!,2,FALSE)/VLOOKUP("irlanda",#REF!,2,FALSE)-1</f>
        <v>#REF!</v>
      </c>
      <c r="M196" s="167" t="e">
        <f>VLOOKUP("irlanda",#REF!,2,FALSE)</f>
        <v>#REF!</v>
      </c>
      <c r="N196" s="166" t="e">
        <f>VLOOKUP("irlanda",#REF!,7,FALSE)/VLOOKUP("irlanda",#REF!,7,FALSE)-1</f>
        <v>#REF!</v>
      </c>
      <c r="O196" s="167" t="e">
        <f>VLOOKUP("irlanda",#REF!,7,FALSE)</f>
        <v>#REF!</v>
      </c>
      <c r="P196" s="166" t="e">
        <f>VLOOKUP("irlanda",#REF!,8,FALSE)/VLOOKUP("irlanda",#REF!,8,FALSE)-1</f>
        <v>#REF!</v>
      </c>
      <c r="Q196" s="167" t="e">
        <f>VLOOKUP("irlanda",#REF!,8,FALSE)</f>
        <v>#REF!</v>
      </c>
    </row>
    <row r="197" spans="3:17" ht="24" hidden="1" customHeight="1" x14ac:dyDescent="0.2">
      <c r="C197" s="165" t="s">
        <v>46</v>
      </c>
      <c r="D197" s="166" t="e">
        <f>VLOOKUP("italia",#REF!,6,FALSE)/VLOOKUP("italia",#REF!,6,FALSE)-1</f>
        <v>#REF!</v>
      </c>
      <c r="E197" s="167" t="e">
        <f>VLOOKUP("italia",#REF!,6,FALSE)</f>
        <v>#REF!</v>
      </c>
      <c r="F197" s="166" t="e">
        <f>VLOOKUP("italia",#REF!,5,FALSE)/VLOOKUP("italia",#REF!,5,FALSE)-1</f>
        <v>#REF!</v>
      </c>
      <c r="G197" s="166"/>
      <c r="H197" s="166" t="e">
        <f>VLOOKUP("italia",#REF!,4,FALSE)/VLOOKUP("italia",#REF!,4,FALSE)-1</f>
        <v>#REF!</v>
      </c>
      <c r="I197" s="167" t="e">
        <f>VLOOKUP("italia",#REF!,4,FALSE)</f>
        <v>#REF!</v>
      </c>
      <c r="J197" s="166" t="e">
        <f>VLOOKUP("italia",#REF!,3,FALSE)/VLOOKUP("italia",#REF!,3,FALSE)-1</f>
        <v>#REF!</v>
      </c>
      <c r="K197" s="167" t="e">
        <f>VLOOKUP("italia",#REF!,3,FALSE)</f>
        <v>#REF!</v>
      </c>
      <c r="L197" s="166" t="e">
        <f>VLOOKUP("italia",#REF!,2,FALSE)/VLOOKUP("italia",#REF!,2,FALSE)-1</f>
        <v>#REF!</v>
      </c>
      <c r="M197" s="167" t="e">
        <f>VLOOKUP("italia",#REF!,2,FALSE)</f>
        <v>#REF!</v>
      </c>
      <c r="N197" s="166" t="e">
        <f>VLOOKUP("italia",#REF!,7,FALSE)/VLOOKUP("italia",#REF!,7,FALSE)-1</f>
        <v>#REF!</v>
      </c>
      <c r="O197" s="167" t="e">
        <f>VLOOKUP("italia",#REF!,7,FALSE)</f>
        <v>#REF!</v>
      </c>
      <c r="P197" s="166" t="e">
        <f>VLOOKUP("italia",#REF!,8,FALSE)/VLOOKUP("italia",#REF!,8,FALSE)-1</f>
        <v>#REF!</v>
      </c>
      <c r="Q197" s="167" t="e">
        <f>VLOOKUP("italia",#REF!,8,FALSE)</f>
        <v>#REF!</v>
      </c>
    </row>
    <row r="198" spans="3:17" ht="24" hidden="1" customHeight="1" x14ac:dyDescent="0.2">
      <c r="C198" s="165" t="s">
        <v>47</v>
      </c>
      <c r="D198" s="16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198" s="167" t="e">
        <f>(VLOOKUP("suecia",#REF!,6,FALSE)+VLOOKUP("noruega",#REF!,6,FALSE)+VLOOKUP("dinamarca",#REF!,6,FALSE)+VLOOKUP("finlandia",#REF!,6,FALSE))</f>
        <v>#REF!</v>
      </c>
      <c r="F198" s="16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198" s="166"/>
      <c r="H198" s="16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198" s="167" t="e">
        <f>(VLOOKUP("suecia",#REF!,4,FALSE)+VLOOKUP("noruega",#REF!,4,FALSE)+VLOOKUP("dinamarca",#REF!,4,FALSE)+VLOOKUP("finlandia",#REF!,4,FALSE))</f>
        <v>#REF!</v>
      </c>
      <c r="J198" s="16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198" s="167" t="e">
        <f>(VLOOKUP("suecia",#REF!,3,FALSE)+VLOOKUP("noruega",#REF!,3,FALSE)+VLOOKUP("dinamarca",#REF!,3,FALSE)+VLOOKUP("finlandia",#REF!,3,FALSE))</f>
        <v>#REF!</v>
      </c>
      <c r="L198" s="16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198" s="167" t="e">
        <f>(VLOOKUP("suecia",#REF!,2,FALSE)+VLOOKUP("noruega",#REF!,2,FALSE)+VLOOKUP("dinamarca",#REF!,2,FALSE)+VLOOKUP("finlandia",#REF!,2,FALSE))</f>
        <v>#REF!</v>
      </c>
      <c r="N198" s="16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198" s="167" t="e">
        <f>(VLOOKUP("suecia",#REF!,7,FALSE)+VLOOKUP("noruega",#REF!,7,FALSE)+VLOOKUP("dinamarca",#REF!,7,FALSE)+VLOOKUP("finlandia",#REF!,7,FALSE))</f>
        <v>#REF!</v>
      </c>
      <c r="P198" s="16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198" s="167" t="e">
        <f>(VLOOKUP("suecia",#REF!,8,FALSE)+VLOOKUP("noruega",#REF!,8,FALSE)+VLOOKUP("dinamarca",#REF!,8,FALSE)+VLOOKUP("finlandia",#REF!,8,FALSE))</f>
        <v>#REF!</v>
      </c>
    </row>
    <row r="199" spans="3:17" ht="24" hidden="1" customHeight="1" x14ac:dyDescent="0.2">
      <c r="C199" s="168" t="s">
        <v>48</v>
      </c>
      <c r="D199" s="166" t="e">
        <f>VLOOKUP("suecia",#REF!,6,FALSE)/VLOOKUP("suecia",#REF!,6,FALSE)-1</f>
        <v>#REF!</v>
      </c>
      <c r="E199" s="167" t="e">
        <f>VLOOKUP("suecia",#REF!,6,FALSE)</f>
        <v>#REF!</v>
      </c>
      <c r="F199" s="166" t="e">
        <f>VLOOKUP("suecia",#REF!,5,FALSE)/VLOOKUP("suecia",#REF!,5,FALSE)-1</f>
        <v>#REF!</v>
      </c>
      <c r="G199" s="166"/>
      <c r="H199" s="166" t="e">
        <f>VLOOKUP("suecia",#REF!,4,FALSE)/VLOOKUP("suecia",#REF!,4,FALSE)-1</f>
        <v>#REF!</v>
      </c>
      <c r="I199" s="167" t="e">
        <f>VLOOKUP("suecia",#REF!,4,FALSE)</f>
        <v>#REF!</v>
      </c>
      <c r="J199" s="166" t="e">
        <f>VLOOKUP("suecia",#REF!,3,FALSE)/VLOOKUP("suecia",#REF!,3,FALSE)-1</f>
        <v>#REF!</v>
      </c>
      <c r="K199" s="167" t="e">
        <f>VLOOKUP("suecia",#REF!,3,FALSE)</f>
        <v>#REF!</v>
      </c>
      <c r="L199" s="166" t="e">
        <f>VLOOKUP("suecia",#REF!,2,FALSE)/VLOOKUP("suecia",#REF!,2,FALSE)-1</f>
        <v>#REF!</v>
      </c>
      <c r="M199" s="167" t="e">
        <f>VLOOKUP("suecia",#REF!,2,FALSE)</f>
        <v>#REF!</v>
      </c>
      <c r="N199" s="166" t="e">
        <f>VLOOKUP("suecia",#REF!,7,FALSE)/VLOOKUP("suecia",#REF!,7,FALSE)-1</f>
        <v>#REF!</v>
      </c>
      <c r="O199" s="167" t="e">
        <f>VLOOKUP("suecia",#REF!,7,FALSE)</f>
        <v>#REF!</v>
      </c>
      <c r="P199" s="166" t="e">
        <f>VLOOKUP("suecia",#REF!,8,FALSE)/VLOOKUP("suecia",#REF!,8,FALSE)-1</f>
        <v>#REF!</v>
      </c>
      <c r="Q199" s="167" t="e">
        <f>VLOOKUP("suecia",#REF!,8,FALSE)</f>
        <v>#REF!</v>
      </c>
    </row>
    <row r="200" spans="3:17" ht="24" hidden="1" customHeight="1" x14ac:dyDescent="0.2">
      <c r="C200" s="168" t="s">
        <v>49</v>
      </c>
      <c r="D200" s="166" t="e">
        <f>VLOOKUP("noruega",#REF!,6,FALSE)/VLOOKUP("noruega",#REF!,6,FALSE)-1</f>
        <v>#REF!</v>
      </c>
      <c r="E200" s="167" t="e">
        <f>VLOOKUP("noruega",#REF!,6,FALSE)</f>
        <v>#REF!</v>
      </c>
      <c r="F200" s="166" t="e">
        <f>VLOOKUP("noruega",#REF!,5,FALSE)/VLOOKUP("noruega",#REF!,5,FALSE)-1</f>
        <v>#REF!</v>
      </c>
      <c r="G200" s="166"/>
      <c r="H200" s="166" t="e">
        <f>VLOOKUP("noruega",#REF!,4,FALSE)/VLOOKUP("noruega",#REF!,4,FALSE)-1</f>
        <v>#REF!</v>
      </c>
      <c r="I200" s="167" t="e">
        <f>VLOOKUP("noruega",#REF!,4,FALSE)</f>
        <v>#REF!</v>
      </c>
      <c r="J200" s="166" t="e">
        <f>VLOOKUP("noruega",#REF!,3,FALSE)/VLOOKUP("noruega",#REF!,3,FALSE)-1</f>
        <v>#REF!</v>
      </c>
      <c r="K200" s="167" t="e">
        <f>VLOOKUP("noruega",#REF!,3,FALSE)</f>
        <v>#REF!</v>
      </c>
      <c r="L200" s="166" t="e">
        <f>VLOOKUP("noruega",#REF!,2,FALSE)/VLOOKUP("noruega",#REF!,2,FALSE)-1</f>
        <v>#REF!</v>
      </c>
      <c r="M200" s="167" t="e">
        <f>VLOOKUP("noruega",#REF!,2,FALSE)</f>
        <v>#REF!</v>
      </c>
      <c r="N200" s="166" t="e">
        <f>VLOOKUP("noruega",#REF!,7,FALSE)/VLOOKUP("noruega",#REF!,7,FALSE)-1</f>
        <v>#REF!</v>
      </c>
      <c r="O200" s="167" t="e">
        <f>VLOOKUP("noruega",#REF!,7,FALSE)</f>
        <v>#REF!</v>
      </c>
      <c r="P200" s="166" t="e">
        <f>VLOOKUP("noruega",#REF!,8,FALSE)/VLOOKUP("noruega",#REF!,8,FALSE)-1</f>
        <v>#REF!</v>
      </c>
      <c r="Q200" s="167" t="e">
        <f>VLOOKUP("noruega",#REF!,8,FALSE)</f>
        <v>#REF!</v>
      </c>
    </row>
    <row r="201" spans="3:17" ht="24" hidden="1" customHeight="1" x14ac:dyDescent="0.2">
      <c r="C201" s="168" t="s">
        <v>50</v>
      </c>
      <c r="D201" s="166" t="e">
        <f>VLOOKUP("dinamarca",#REF!,6,FALSE)/VLOOKUP("dinamarca",#REF!,6,FALSE)-1</f>
        <v>#REF!</v>
      </c>
      <c r="E201" s="167" t="e">
        <f>VLOOKUP("dinamarca",#REF!,6,FALSE)</f>
        <v>#REF!</v>
      </c>
      <c r="F201" s="166" t="e">
        <f>VLOOKUP("dinamarca",#REF!,5,FALSE)/VLOOKUP("dinamarca",#REF!,5,FALSE)-1</f>
        <v>#REF!</v>
      </c>
      <c r="G201" s="166"/>
      <c r="H201" s="166" t="e">
        <f>VLOOKUP("dinamarca",#REF!,4,FALSE)/VLOOKUP("dinamarca",#REF!,4,FALSE)-1</f>
        <v>#REF!</v>
      </c>
      <c r="I201" s="167" t="e">
        <f>VLOOKUP("dinamarca",#REF!,4,FALSE)</f>
        <v>#REF!</v>
      </c>
      <c r="J201" s="166" t="e">
        <f>VLOOKUP("dinamarca",#REF!,3,FALSE)/VLOOKUP("dinamarca",#REF!,3,FALSE)-1</f>
        <v>#REF!</v>
      </c>
      <c r="K201" s="167" t="e">
        <f>VLOOKUP("dinamarca",#REF!,3,FALSE)</f>
        <v>#REF!</v>
      </c>
      <c r="L201" s="166" t="e">
        <f>VLOOKUP("dinamarca",#REF!,2,FALSE)/VLOOKUP("dinamarca",#REF!,2,FALSE)-1</f>
        <v>#REF!</v>
      </c>
      <c r="M201" s="167" t="e">
        <f>VLOOKUP("dinamarca",#REF!,2,FALSE)</f>
        <v>#REF!</v>
      </c>
      <c r="N201" s="166" t="e">
        <f>VLOOKUP("dinamarca",#REF!,7,FALSE)/VLOOKUP("dinamarca",#REF!,7,FALSE)-1</f>
        <v>#REF!</v>
      </c>
      <c r="O201" s="167" t="e">
        <f>VLOOKUP("dinamarca",#REF!,7,FALSE)</f>
        <v>#REF!</v>
      </c>
      <c r="P201" s="166" t="e">
        <f>VLOOKUP("dinamarca",#REF!,8,FALSE)/VLOOKUP("dinamarca",#REF!,8,FALSE)-1</f>
        <v>#REF!</v>
      </c>
      <c r="Q201" s="167" t="e">
        <f>VLOOKUP("dinamarca",#REF!,8,FALSE)</f>
        <v>#REF!</v>
      </c>
    </row>
    <row r="202" spans="3:17" ht="24" hidden="1" customHeight="1" x14ac:dyDescent="0.2">
      <c r="C202" s="168" t="s">
        <v>51</v>
      </c>
      <c r="D202" s="166" t="s">
        <v>37</v>
      </c>
      <c r="E202" s="167" t="e">
        <f>VLOOKUP("finlandia",#REF!,6,FALSE)</f>
        <v>#REF!</v>
      </c>
      <c r="F202" s="166" t="e">
        <f>VLOOKUP("finlandia",#REF!,5,FALSE)/VLOOKUP("finlandia",#REF!,5,FALSE)-1</f>
        <v>#REF!</v>
      </c>
      <c r="G202" s="166"/>
      <c r="H202" s="166" t="e">
        <f>VLOOKUP("finlandia",#REF!,4,FALSE)/VLOOKUP("finlandia",#REF!,4,FALSE)-1</f>
        <v>#REF!</v>
      </c>
      <c r="I202" s="167" t="e">
        <f>VLOOKUP("finlandia",#REF!,4,FALSE)</f>
        <v>#REF!</v>
      </c>
      <c r="J202" s="166" t="e">
        <f>VLOOKUP("finlandia",#REF!,3,FALSE)/VLOOKUP("finlandia",#REF!,3,FALSE)-1</f>
        <v>#REF!</v>
      </c>
      <c r="K202" s="167" t="e">
        <f>VLOOKUP("finlandia",#REF!,3,FALSE)</f>
        <v>#REF!</v>
      </c>
      <c r="L202" s="166" t="s">
        <v>37</v>
      </c>
      <c r="M202" s="167" t="e">
        <f>VLOOKUP("finlandia",#REF!,2,FALSE)</f>
        <v>#REF!</v>
      </c>
      <c r="N202" s="166" t="e">
        <f>VLOOKUP("finlandia",#REF!,7,FALSE)/VLOOKUP("finlandia",#REF!,7,FALSE)-1</f>
        <v>#REF!</v>
      </c>
      <c r="O202" s="167" t="e">
        <f>VLOOKUP("finlandia",#REF!,7,FALSE)</f>
        <v>#REF!</v>
      </c>
      <c r="P202" s="166" t="e">
        <f>VLOOKUP("finlandia",#REF!,8,FALSE)/VLOOKUP("finlandia",#REF!,8,FALSE)-1</f>
        <v>#REF!</v>
      </c>
      <c r="Q202" s="167" t="e">
        <f>VLOOKUP("finlandia",#REF!,8,FALSE)</f>
        <v>#REF!</v>
      </c>
    </row>
    <row r="203" spans="3:17" ht="24" hidden="1" customHeight="1" x14ac:dyDescent="0.2">
      <c r="C203" s="165" t="s">
        <v>52</v>
      </c>
      <c r="D203" s="166" t="e">
        <f>VLOOKUP("suiza",#REF!,6,FALSE)/VLOOKUP("suiza",#REF!,6,FALSE)-1</f>
        <v>#REF!</v>
      </c>
      <c r="E203" s="167" t="e">
        <f>VLOOKUP("suiza",#REF!,6,FALSE)</f>
        <v>#REF!</v>
      </c>
      <c r="F203" s="166" t="e">
        <f>VLOOKUP("suiza",#REF!,5,FALSE)/VLOOKUP("suiza",#REF!,5,FALSE)-1</f>
        <v>#REF!</v>
      </c>
      <c r="G203" s="166"/>
      <c r="H203" s="166" t="e">
        <f>VLOOKUP("suiza",#REF!,4,FALSE)/VLOOKUP("suiza",#REF!,4,FALSE)-1</f>
        <v>#REF!</v>
      </c>
      <c r="I203" s="167" t="e">
        <f>VLOOKUP("suiza",#REF!,4,FALSE)</f>
        <v>#REF!</v>
      </c>
      <c r="J203" s="166" t="e">
        <f>VLOOKUP("suiza",#REF!,3,FALSE)/VLOOKUP("suiza",#REF!,3,FALSE)-1</f>
        <v>#REF!</v>
      </c>
      <c r="K203" s="167" t="e">
        <f>VLOOKUP("suiza",#REF!,3,FALSE)</f>
        <v>#REF!</v>
      </c>
      <c r="L203" s="166" t="e">
        <f>VLOOKUP("suiza",#REF!,2,FALSE)/VLOOKUP("suiza",#REF!,2,FALSE)-1</f>
        <v>#REF!</v>
      </c>
      <c r="M203" s="167" t="e">
        <f>VLOOKUP("suiza",#REF!,2,FALSE)</f>
        <v>#REF!</v>
      </c>
      <c r="N203" s="166" t="e">
        <f>VLOOKUP("suiza",#REF!,7,FALSE)/VLOOKUP("suiza",#REF!,7,FALSE)-1</f>
        <v>#REF!</v>
      </c>
      <c r="O203" s="167" t="e">
        <f>VLOOKUP("suiza",#REF!,7,FALSE)</f>
        <v>#REF!</v>
      </c>
      <c r="P203" s="166" t="e">
        <f>VLOOKUP("suiza",#REF!,8,FALSE)/VLOOKUP("suiza",#REF!,8,FALSE)-1</f>
        <v>#REF!</v>
      </c>
      <c r="Q203" s="167" t="e">
        <f>VLOOKUP("suiza",#REF!,8,FALSE)</f>
        <v>#REF!</v>
      </c>
    </row>
    <row r="204" spans="3:17" ht="24" hidden="1" customHeight="1" x14ac:dyDescent="0.2">
      <c r="C204" s="165" t="s">
        <v>53</v>
      </c>
      <c r="D204" s="166" t="e">
        <f>VLOOKUP("austria",#REF!,6,FALSE)/VLOOKUP("austria",#REF!,6,FALSE)-1</f>
        <v>#REF!</v>
      </c>
      <c r="E204" s="167" t="e">
        <f>VLOOKUP("austria",#REF!,6,FALSE)</f>
        <v>#REF!</v>
      </c>
      <c r="F204" s="166" t="e">
        <f>VLOOKUP("austria",#REF!,5,FALSE)/VLOOKUP("austria",#REF!,5,FALSE)-1</f>
        <v>#REF!</v>
      </c>
      <c r="G204" s="166"/>
      <c r="H204" s="166" t="e">
        <f>VLOOKUP("austria",#REF!,4,FALSE)/VLOOKUP("austria",#REF!,4,FALSE)-1</f>
        <v>#REF!</v>
      </c>
      <c r="I204" s="167" t="e">
        <f>VLOOKUP("austria",#REF!,4,FALSE)</f>
        <v>#REF!</v>
      </c>
      <c r="J204" s="166" t="e">
        <f>VLOOKUP("austria",#REF!,3,FALSE)/VLOOKUP("austria",#REF!,3,FALSE)-1</f>
        <v>#REF!</v>
      </c>
      <c r="K204" s="167" t="e">
        <f>VLOOKUP("austria",#REF!,3,FALSE)</f>
        <v>#REF!</v>
      </c>
      <c r="L204" s="166" t="e">
        <f>VLOOKUP("austria",#REF!,2,FALSE)/VLOOKUP("austria",#REF!,2,FALSE)-1</f>
        <v>#REF!</v>
      </c>
      <c r="M204" s="167" t="e">
        <f>VLOOKUP("austria",#REF!,2,FALSE)</f>
        <v>#REF!</v>
      </c>
      <c r="N204" s="166" t="e">
        <f>VLOOKUP("austria",#REF!,7,FALSE)/VLOOKUP("austria",#REF!,7,FALSE)-1</f>
        <v>#REF!</v>
      </c>
      <c r="O204" s="167" t="e">
        <f>VLOOKUP("austria",#REF!,7,FALSE)</f>
        <v>#REF!</v>
      </c>
      <c r="P204" s="166" t="e">
        <f>VLOOKUP("austria",#REF!,8,FALSE)/VLOOKUP("austria",#REF!,8,FALSE)-1</f>
        <v>#REF!</v>
      </c>
      <c r="Q204" s="167" t="e">
        <f>VLOOKUP("austria",#REF!,8,FALSE)</f>
        <v>#REF!</v>
      </c>
    </row>
    <row r="205" spans="3:17" ht="24" hidden="1" customHeight="1" x14ac:dyDescent="0.2">
      <c r="C205" s="165" t="s">
        <v>54</v>
      </c>
      <c r="D205" s="166" t="e">
        <f>VLOOKUP("rusia",#REF!,6,FALSE)/VLOOKUP("rusia",#REF!,6,FALSE)-1</f>
        <v>#REF!</v>
      </c>
      <c r="E205" s="167" t="e">
        <f>VLOOKUP("rusia",#REF!,6,FALSE)</f>
        <v>#REF!</v>
      </c>
      <c r="F205" s="166" t="e">
        <f>VLOOKUP("rusia",#REF!,5,FALSE)/VLOOKUP("rusia",#REF!,5,FALSE)-1</f>
        <v>#REF!</v>
      </c>
      <c r="G205" s="166"/>
      <c r="H205" s="166" t="e">
        <f>VLOOKUP("rusia",#REF!,4,FALSE)/VLOOKUP("rusia",#REF!,4,FALSE)-1</f>
        <v>#REF!</v>
      </c>
      <c r="I205" s="167" t="e">
        <f>VLOOKUP("rusia",#REF!,4,FALSE)</f>
        <v>#REF!</v>
      </c>
      <c r="J205" s="166" t="e">
        <f>VLOOKUP("rusia",#REF!,3,FALSE)/VLOOKUP("rusia",#REF!,3,FALSE)-1</f>
        <v>#REF!</v>
      </c>
      <c r="K205" s="167" t="e">
        <f>VLOOKUP("rusia",#REF!,3,FALSE)</f>
        <v>#REF!</v>
      </c>
      <c r="L205" s="166" t="e">
        <f>VLOOKUP("rusia",#REF!,2,FALSE)/VLOOKUP("rusia",#REF!,2,FALSE)-1</f>
        <v>#REF!</v>
      </c>
      <c r="M205" s="167" t="e">
        <f>VLOOKUP("rusia",#REF!,2,FALSE)</f>
        <v>#REF!</v>
      </c>
      <c r="N205" s="166" t="e">
        <f>VLOOKUP("rusia",#REF!,7,FALSE)/VLOOKUP("rusia",#REF!,7,FALSE)-1</f>
        <v>#REF!</v>
      </c>
      <c r="O205" s="167" t="e">
        <f>VLOOKUP("rusia",#REF!,7,FALSE)</f>
        <v>#REF!</v>
      </c>
      <c r="P205" s="166" t="e">
        <f>VLOOKUP("rusia",#REF!,8,FALSE)/VLOOKUP("rusia",#REF!,8,FALSE)-1</f>
        <v>#REF!</v>
      </c>
      <c r="Q205" s="167" t="e">
        <f>VLOOKUP("rusia",#REF!,8,FALSE)</f>
        <v>#REF!</v>
      </c>
    </row>
    <row r="206" spans="3:17" ht="24" hidden="1" customHeight="1" x14ac:dyDescent="0.2">
      <c r="C206" s="165" t="s">
        <v>55</v>
      </c>
      <c r="D206" s="166" t="e">
        <f>VLOOKUP("paises del este",#REF!,6,FALSE)/VLOOKUP("paises del este",#REF!,6,FALSE)-1</f>
        <v>#REF!</v>
      </c>
      <c r="E206" s="167" t="e">
        <f>VLOOKUP("paises del este",#REF!,6,FALSE)</f>
        <v>#REF!</v>
      </c>
      <c r="F206" s="166" t="e">
        <f>VLOOKUP("paises del este",#REF!,5,FALSE)/VLOOKUP("paises del este",#REF!,5,FALSE)-1</f>
        <v>#REF!</v>
      </c>
      <c r="G206" s="166"/>
      <c r="H206" s="166" t="e">
        <f>VLOOKUP("paises del este",#REF!,4,FALSE)/VLOOKUP("paises del este",#REF!,4,FALSE)-1</f>
        <v>#REF!</v>
      </c>
      <c r="I206" s="167" t="e">
        <f>VLOOKUP("paises del este",#REF!,4,FALSE)</f>
        <v>#REF!</v>
      </c>
      <c r="J206" s="166" t="e">
        <f>VLOOKUP("paises del este",#REF!,3,FALSE)/VLOOKUP("paises del este",#REF!,3,FALSE)-1</f>
        <v>#REF!</v>
      </c>
      <c r="K206" s="167" t="e">
        <f>VLOOKUP("paises del este",#REF!,3,FALSE)</f>
        <v>#REF!</v>
      </c>
      <c r="L206" s="166" t="e">
        <f>VLOOKUP("paises del este",#REF!,2,FALSE)/VLOOKUP("paises del este",#REF!,2,FALSE)-1</f>
        <v>#REF!</v>
      </c>
      <c r="M206" s="167" t="e">
        <f>VLOOKUP("paises del este",#REF!,2,FALSE)</f>
        <v>#REF!</v>
      </c>
      <c r="N206" s="166" t="e">
        <f>VLOOKUP("paises del este",#REF!,7,FALSE)/VLOOKUP("paises del este",#REF!,7,FALSE)-1</f>
        <v>#REF!</v>
      </c>
      <c r="O206" s="167" t="e">
        <f>VLOOKUP("paises del este",#REF!,7,FALSE)</f>
        <v>#REF!</v>
      </c>
      <c r="P206" s="166" t="e">
        <f>VLOOKUP("paises del este",#REF!,8,FALSE)/VLOOKUP("paises del este",#REF!,8,FALSE)-1</f>
        <v>#REF!</v>
      </c>
      <c r="Q206" s="167" t="e">
        <f>VLOOKUP("paises del este",#REF!,8,FALSE)</f>
        <v>#REF!</v>
      </c>
    </row>
    <row r="207" spans="3:17" ht="24" hidden="1" customHeight="1" x14ac:dyDescent="0.2">
      <c r="C207" s="165" t="s">
        <v>56</v>
      </c>
      <c r="D207" s="166" t="e">
        <f>VLOOKUP("resto de europa",#REF!,6,FALSE)/VLOOKUP("resto de europa",#REF!,6,FALSE)-1</f>
        <v>#REF!</v>
      </c>
      <c r="E207" s="167" t="e">
        <f>VLOOKUP("resto de europa",#REF!,6,FALSE)</f>
        <v>#REF!</v>
      </c>
      <c r="F207" s="166" t="e">
        <f>VLOOKUP("resto de europa",#REF!,5,FALSE)/VLOOKUP("resto de europa",#REF!,5,FALSE)-1</f>
        <v>#REF!</v>
      </c>
      <c r="G207" s="166"/>
      <c r="H207" s="166" t="e">
        <f>VLOOKUP("resto de europa",#REF!,4,FALSE)/VLOOKUP("resto de europa",#REF!,4,FALSE)-1</f>
        <v>#REF!</v>
      </c>
      <c r="I207" s="167" t="e">
        <f>VLOOKUP("resto de europa",#REF!,4,FALSE)</f>
        <v>#REF!</v>
      </c>
      <c r="J207" s="166" t="e">
        <f>VLOOKUP("resto de europa",#REF!,3,FALSE)/VLOOKUP("resto de europa",#REF!,3,FALSE)-1</f>
        <v>#REF!</v>
      </c>
      <c r="K207" s="167" t="e">
        <f>VLOOKUP("resto de europa",#REF!,3,FALSE)</f>
        <v>#REF!</v>
      </c>
      <c r="L207" s="166" t="e">
        <f>VLOOKUP("resto de europa",#REF!,2,FALSE)/VLOOKUP("resto de europa",#REF!,2,FALSE)-1</f>
        <v>#REF!</v>
      </c>
      <c r="M207" s="167" t="e">
        <f>VLOOKUP("resto de europa",#REF!,2,FALSE)</f>
        <v>#REF!</v>
      </c>
      <c r="N207" s="166" t="e">
        <f>VLOOKUP("resto de europa",#REF!,7,FALSE)/VLOOKUP("resto de europa",#REF!,7,FALSE)-1</f>
        <v>#REF!</v>
      </c>
      <c r="O207" s="167" t="e">
        <f>VLOOKUP("resto de europa",#REF!,7,FALSE)</f>
        <v>#REF!</v>
      </c>
      <c r="P207" s="166" t="e">
        <f>VLOOKUP("resto de europa",#REF!,8,FALSE)/VLOOKUP("resto de europa",#REF!,8,FALSE)-1</f>
        <v>#REF!</v>
      </c>
      <c r="Q207" s="167" t="e">
        <f>VLOOKUP("resto de europa",#REF!,8,FALSE)</f>
        <v>#REF!</v>
      </c>
    </row>
    <row r="208" spans="3:17" ht="24" hidden="1" customHeight="1" x14ac:dyDescent="0.2">
      <c r="C208" s="165" t="s">
        <v>57</v>
      </c>
      <c r="D208" s="166" t="e">
        <f>VLOOKUP("usa",#REF!,6,FALSE)/VLOOKUP("usa",#REF!,6,FALSE)-1</f>
        <v>#REF!</v>
      </c>
      <c r="E208" s="167" t="e">
        <f>VLOOKUP("usa",#REF!,6,FALSE)</f>
        <v>#REF!</v>
      </c>
      <c r="F208" s="166" t="e">
        <f>VLOOKUP("usa",#REF!,5,FALSE)/VLOOKUP("usa",#REF!,5,FALSE)-1</f>
        <v>#REF!</v>
      </c>
      <c r="G208" s="166"/>
      <c r="H208" s="166" t="e">
        <f>VLOOKUP("usa",#REF!,4,FALSE)/VLOOKUP("usa",#REF!,4,FALSE)-1</f>
        <v>#REF!</v>
      </c>
      <c r="I208" s="167" t="e">
        <f>VLOOKUP("usa",#REF!,4,FALSE)</f>
        <v>#REF!</v>
      </c>
      <c r="J208" s="166" t="e">
        <f>VLOOKUP("usa",#REF!,3,FALSE)/VLOOKUP("usa",#REF!,3,FALSE)-1</f>
        <v>#REF!</v>
      </c>
      <c r="K208" s="167" t="e">
        <f>VLOOKUP("usa",#REF!,3,FALSE)</f>
        <v>#REF!</v>
      </c>
      <c r="L208" s="166" t="e">
        <f>VLOOKUP("usa",#REF!,2,FALSE)/VLOOKUP("usa",#REF!,2,FALSE)-1</f>
        <v>#REF!</v>
      </c>
      <c r="M208" s="167" t="e">
        <f>VLOOKUP("usa",#REF!,2,FALSE)</f>
        <v>#REF!</v>
      </c>
      <c r="N208" s="166" t="e">
        <f>VLOOKUP("usa",#REF!,7,FALSE)/VLOOKUP("usa",#REF!,7,FALSE)-1</f>
        <v>#REF!</v>
      </c>
      <c r="O208" s="167" t="e">
        <f>VLOOKUP("usa",#REF!,7,FALSE)</f>
        <v>#REF!</v>
      </c>
      <c r="P208" s="166" t="e">
        <f>VLOOKUP("usa",#REF!,8,FALSE)/VLOOKUP("usa",#REF!,8,FALSE)-1</f>
        <v>#REF!</v>
      </c>
      <c r="Q208" s="167" t="e">
        <f>VLOOKUP("usa",#REF!,8,FALSE)</f>
        <v>#REF!</v>
      </c>
    </row>
    <row r="209" spans="3:18" ht="24" hidden="1" customHeight="1" x14ac:dyDescent="0.2">
      <c r="C209" s="165" t="s">
        <v>58</v>
      </c>
      <c r="D209" s="166" t="e">
        <f>VLOOKUP("resto de america",#REF!,6,FALSE)/VLOOKUP("resto de america",#REF!,6,FALSE)-1</f>
        <v>#REF!</v>
      </c>
      <c r="E209" s="167" t="e">
        <f>VLOOKUP("resto de america",#REF!,6,FALSE)</f>
        <v>#REF!</v>
      </c>
      <c r="F209" s="166" t="e">
        <f>VLOOKUP("resto de america",#REF!,5,FALSE)/VLOOKUP("resto de america",#REF!,5,FALSE)-1</f>
        <v>#REF!</v>
      </c>
      <c r="G209" s="166"/>
      <c r="H209" s="166" t="e">
        <f>VLOOKUP("resto de america",#REF!,4,FALSE)/VLOOKUP("resto de america",#REF!,4,FALSE)-1</f>
        <v>#REF!</v>
      </c>
      <c r="I209" s="167" t="e">
        <f>VLOOKUP("resto de america",#REF!,4,FALSE)</f>
        <v>#REF!</v>
      </c>
      <c r="J209" s="166" t="e">
        <f>VLOOKUP("resto de america",#REF!,3,FALSE)/VLOOKUP("resto de america",#REF!,3,FALSE)-1</f>
        <v>#REF!</v>
      </c>
      <c r="K209" s="167" t="e">
        <f>VLOOKUP("resto de america",#REF!,3,FALSE)</f>
        <v>#REF!</v>
      </c>
      <c r="L209" s="166" t="e">
        <f>VLOOKUP("resto de america",#REF!,2,FALSE)/VLOOKUP("resto de america",#REF!,2,FALSE)-1</f>
        <v>#REF!</v>
      </c>
      <c r="M209" s="167" t="e">
        <f>VLOOKUP("resto de america",#REF!,2,FALSE)</f>
        <v>#REF!</v>
      </c>
      <c r="N209" s="166" t="e">
        <f>VLOOKUP("resto de america",#REF!,7,FALSE)/VLOOKUP("resto de america",#REF!,7,FALSE)-1</f>
        <v>#REF!</v>
      </c>
      <c r="O209" s="167" t="e">
        <f>VLOOKUP("resto de america",#REF!,7,FALSE)</f>
        <v>#REF!</v>
      </c>
      <c r="P209" s="166" t="e">
        <f>VLOOKUP("resto de america",#REF!,8,FALSE)/VLOOKUP("resto de america",#REF!,8,FALSE)-1</f>
        <v>#REF!</v>
      </c>
      <c r="Q209" s="167" t="e">
        <f>VLOOKUP("resto de america",#REF!,8,FALSE)</f>
        <v>#REF!</v>
      </c>
    </row>
    <row r="210" spans="3:18" ht="24" hidden="1" customHeight="1" x14ac:dyDescent="0.2">
      <c r="C210" s="165" t="s">
        <v>59</v>
      </c>
      <c r="D210" s="166" t="e">
        <f>VLOOKUP("resto del mundo",#REF!,6,FALSE)/VLOOKUP("resto del mundo",#REF!,6,FALSE)-1</f>
        <v>#REF!</v>
      </c>
      <c r="E210" s="167" t="e">
        <f>VLOOKUP("resto del mundo",#REF!,6,FALSE)</f>
        <v>#REF!</v>
      </c>
      <c r="F210" s="166" t="e">
        <f>VLOOKUP("resto del mundo",#REF!,5,FALSE)/VLOOKUP("resto del mundo",#REF!,5,FALSE)-1</f>
        <v>#REF!</v>
      </c>
      <c r="G210" s="166"/>
      <c r="H210" s="166" t="e">
        <f>VLOOKUP("resto del mundo",#REF!,4,FALSE)/VLOOKUP("resto del mundo",#REF!,4,FALSE)-1</f>
        <v>#REF!</v>
      </c>
      <c r="I210" s="167" t="e">
        <f>VLOOKUP("resto del mundo",#REF!,4,FALSE)</f>
        <v>#REF!</v>
      </c>
      <c r="J210" s="166" t="e">
        <f>VLOOKUP("resto del mundo",#REF!,3,FALSE)/VLOOKUP("resto del mundo",#REF!,3,FALSE)-1</f>
        <v>#REF!</v>
      </c>
      <c r="K210" s="167" t="e">
        <f>VLOOKUP("resto del mundo",#REF!,3,FALSE)</f>
        <v>#REF!</v>
      </c>
      <c r="L210" s="166" t="e">
        <f>VLOOKUP("resto del mundo",#REF!,2,FALSE)/VLOOKUP("resto del mundo",#REF!,2,FALSE)-1</f>
        <v>#REF!</v>
      </c>
      <c r="M210" s="167" t="e">
        <f>VLOOKUP("resto del mundo",#REF!,2,FALSE)</f>
        <v>#REF!</v>
      </c>
      <c r="N210" s="166" t="e">
        <f>VLOOKUP("resto del mundo",#REF!,7,FALSE)/VLOOKUP("resto del mundo",#REF!,7,FALSE)-1</f>
        <v>#REF!</v>
      </c>
      <c r="O210" s="167" t="e">
        <f>VLOOKUP("resto del mundo",#REF!,7,FALSE)</f>
        <v>#REF!</v>
      </c>
      <c r="P210" s="166" t="e">
        <f>VLOOKUP("resto del mundo",#REF!,8,FALSE)/VLOOKUP("resto del mundo",#REF!,8,FALSE)-1</f>
        <v>#REF!</v>
      </c>
      <c r="Q210" s="167" t="e">
        <f>VLOOKUP("resto del mundo",#REF!,8,FALSE)</f>
        <v>#REF!</v>
      </c>
    </row>
    <row r="211" spans="3:18" ht="24" hidden="1" customHeight="1" x14ac:dyDescent="0.2">
      <c r="C211" s="165" t="s">
        <v>60</v>
      </c>
      <c r="D211" s="166" t="e">
        <f>(VLOOKUP("total",#REF!,6,FALSE)-VLOOKUP("españa",#REF!,6,FALSE))/(VLOOKUP("total",#REF!,6,FALSE)-VLOOKUP("españa",#REF!,6,FALSE))-1</f>
        <v>#REF!</v>
      </c>
      <c r="E211" s="167" t="e">
        <f>VLOOKUP("total",#REF!,6,FALSE)-VLOOKUP("españa",#REF!,6,FALSE)</f>
        <v>#REF!</v>
      </c>
      <c r="F211" s="166" t="e">
        <f>(VLOOKUP("total",#REF!,5,FALSE)-VLOOKUP("españa",#REF!,5,FALSE))/(VLOOKUP("total",#REF!,5,FALSE)-VLOOKUP("españa",#REF!,5,FALSE))-1</f>
        <v>#REF!</v>
      </c>
      <c r="G211" s="166"/>
      <c r="H211" s="166" t="e">
        <f>(VLOOKUP("total",#REF!,4,FALSE)-VLOOKUP("españa",#REF!,4,FALSE))/(VLOOKUP("total",#REF!,4,FALSE)-VLOOKUP("españa",#REF!,4,FALSE))-1</f>
        <v>#REF!</v>
      </c>
      <c r="I211" s="167" t="e">
        <f>VLOOKUP("total",#REF!,4,FALSE)-VLOOKUP("españa",#REF!,4,FALSE)</f>
        <v>#REF!</v>
      </c>
      <c r="J211" s="166" t="e">
        <f>(VLOOKUP("total",#REF!,3,FALSE)-VLOOKUP("españa",#REF!,3,FALSE))/(VLOOKUP("total",#REF!,3,FALSE)-VLOOKUP("españa",#REF!,3,FALSE))-1</f>
        <v>#REF!</v>
      </c>
      <c r="K211" s="167" t="e">
        <f>VLOOKUP("total",#REF!,3,FALSE)-VLOOKUP("españa",#REF!,3,FALSE)</f>
        <v>#REF!</v>
      </c>
      <c r="L211" s="166" t="e">
        <f>(VLOOKUP("total",#REF!,2,FALSE)-VLOOKUP("españa",#REF!,2,FALSE))/(VLOOKUP("total",#REF!,2,FALSE)-VLOOKUP("españa",#REF!,2,FALSE))-1</f>
        <v>#REF!</v>
      </c>
      <c r="M211" s="167" t="e">
        <f>VLOOKUP("total",#REF!,2,FALSE)-VLOOKUP("españa",#REF!,2,FALSE)</f>
        <v>#REF!</v>
      </c>
      <c r="N211" s="166" t="e">
        <f>(VLOOKUP("total",#REF!,7,FALSE)-VLOOKUP("españa",#REF!,7,FALSE))/(VLOOKUP("total",#REF!,7,FALSE)-VLOOKUP("españa",#REF!,7,FALSE))-1</f>
        <v>#REF!</v>
      </c>
      <c r="O211" s="167" t="e">
        <f>VLOOKUP("total",#REF!,7,FALSE)-VLOOKUP("españa",#REF!,7,FALSE)</f>
        <v>#REF!</v>
      </c>
      <c r="P211" s="166" t="e">
        <f>(VLOOKUP("total",#REF!,8,FALSE)-VLOOKUP("españa",#REF!,8,FALSE))/(VLOOKUP("total",#REF!,8,FALSE)-VLOOKUP("españa",#REF!,8,FALSE))-1</f>
        <v>#REF!</v>
      </c>
      <c r="Q211" s="167" t="e">
        <f>VLOOKUP("total",#REF!,8,FALSE)-VLOOKUP("españa",#REF!,8,FALSE)</f>
        <v>#REF!</v>
      </c>
    </row>
    <row r="212" spans="3:18" ht="24" hidden="1" customHeight="1" x14ac:dyDescent="0.2">
      <c r="C212" s="165" t="s">
        <v>8</v>
      </c>
      <c r="D212" s="166" t="e">
        <f>VLOOKUP("total",#REF!,6,FALSE)/VLOOKUP("total",#REF!,6,FALSE)-1</f>
        <v>#REF!</v>
      </c>
      <c r="E212" s="167" t="e">
        <f>VLOOKUP("total",#REF!,6,FALSE)</f>
        <v>#REF!</v>
      </c>
      <c r="F212" s="166" t="e">
        <f>VLOOKUP("total",#REF!,5,FALSE)/VLOOKUP("total",#REF!,5,FALSE)-1</f>
        <v>#REF!</v>
      </c>
      <c r="G212" s="166"/>
      <c r="H212" s="166" t="e">
        <f>VLOOKUP("total",#REF!,4,FALSE)/VLOOKUP("total",#REF!,4,FALSE)-1</f>
        <v>#REF!</v>
      </c>
      <c r="I212" s="167" t="e">
        <f>VLOOKUP("total",#REF!,4,FALSE)</f>
        <v>#REF!</v>
      </c>
      <c r="J212" s="166" t="e">
        <f>VLOOKUP("total",#REF!,3,FALSE)/VLOOKUP("total",#REF!,3,FALSE)-1</f>
        <v>#REF!</v>
      </c>
      <c r="K212" s="167" t="e">
        <f>VLOOKUP("total",#REF!,3,FALSE)</f>
        <v>#REF!</v>
      </c>
      <c r="L212" s="166" t="e">
        <f>VLOOKUP("total",#REF!,2,FALSE)/VLOOKUP("total",#REF!,2,FALSE)-1</f>
        <v>#REF!</v>
      </c>
      <c r="M212" s="167" t="e">
        <f>VLOOKUP("total",#REF!,2,FALSE)</f>
        <v>#REF!</v>
      </c>
      <c r="N212" s="166" t="e">
        <f>VLOOKUP("total",#REF!,7,FALSE)/VLOOKUP("total",#REF!,7,FALSE)-1</f>
        <v>#REF!</v>
      </c>
      <c r="O212" s="167" t="e">
        <f>VLOOKUP("total",#REF!,7,FALSE)</f>
        <v>#REF!</v>
      </c>
      <c r="P212" s="166" t="e">
        <f>VLOOKUP("total",#REF!,8,FALSE)/VLOOKUP("total",#REF!,8,FALSE)-1</f>
        <v>#REF!</v>
      </c>
      <c r="Q212" s="167" t="e">
        <f>VLOOKUP("total",#REF!,8,FALSE)</f>
        <v>#REF!</v>
      </c>
    </row>
    <row r="213" spans="3:18" ht="12.75" hidden="1" customHeight="1" x14ac:dyDescent="0.2">
      <c r="C213" s="108"/>
      <c r="D213" s="109"/>
      <c r="E213" s="109"/>
      <c r="F213" s="109"/>
      <c r="G213" s="109"/>
      <c r="H213" s="109"/>
      <c r="I213" s="109"/>
      <c r="J213" s="109"/>
      <c r="K213" s="109"/>
      <c r="L213" s="109"/>
      <c r="M213" s="111"/>
    </row>
    <row r="214" spans="3:18" ht="35.25" hidden="1" customHeight="1" x14ac:dyDescent="0.2">
      <c r="C214" s="381" t="s">
        <v>28</v>
      </c>
      <c r="D214" s="382"/>
      <c r="E214" s="382"/>
      <c r="F214" s="382"/>
      <c r="G214" s="382"/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162"/>
    </row>
    <row r="215" spans="3:18" ht="20.100000000000001" hidden="1" customHeight="1" x14ac:dyDescent="0.2">
      <c r="C215" s="383" t="str">
        <f>I2</f>
        <v>acumulado abril 2022</v>
      </c>
      <c r="D215" s="384"/>
      <c r="E215" s="384"/>
      <c r="F215" s="384"/>
      <c r="G215" s="384"/>
      <c r="H215" s="384"/>
      <c r="I215" s="384"/>
      <c r="J215" s="384"/>
      <c r="K215" s="384"/>
      <c r="L215" s="384"/>
      <c r="M215" s="384"/>
      <c r="N215" s="384"/>
      <c r="O215" s="384"/>
      <c r="P215" s="384"/>
      <c r="Q215" s="384"/>
      <c r="R215" s="169"/>
    </row>
    <row r="216" spans="3:18" ht="13.5" hidden="1" customHeight="1" x14ac:dyDescent="0.2">
      <c r="C216" s="163"/>
      <c r="D216" s="379" t="s">
        <v>24</v>
      </c>
      <c r="E216" s="380"/>
      <c r="F216" s="379" t="s">
        <v>23</v>
      </c>
      <c r="G216" s="380"/>
      <c r="H216" s="379" t="s">
        <v>22</v>
      </c>
      <c r="I216" s="380"/>
      <c r="J216" s="379" t="s">
        <v>21</v>
      </c>
      <c r="K216" s="380"/>
      <c r="L216" s="379" t="s">
        <v>20</v>
      </c>
      <c r="M216" s="380"/>
      <c r="N216" s="379" t="s">
        <v>62</v>
      </c>
      <c r="O216" s="380"/>
      <c r="P216" s="379" t="s">
        <v>63</v>
      </c>
      <c r="Q216" s="380"/>
    </row>
    <row r="217" spans="3:18" ht="28.5" hidden="1" customHeight="1" x14ac:dyDescent="0.2">
      <c r="C217" s="163"/>
      <c r="D217" s="164" t="s">
        <v>64</v>
      </c>
      <c r="E217" s="164" t="s">
        <v>65</v>
      </c>
      <c r="F217" s="164" t="s">
        <v>64</v>
      </c>
      <c r="G217" s="164"/>
      <c r="H217" s="164" t="s">
        <v>64</v>
      </c>
      <c r="I217" s="164" t="s">
        <v>65</v>
      </c>
      <c r="J217" s="164" t="s">
        <v>64</v>
      </c>
      <c r="K217" s="164" t="s">
        <v>65</v>
      </c>
      <c r="L217" s="164" t="s">
        <v>64</v>
      </c>
      <c r="M217" s="164" t="s">
        <v>65</v>
      </c>
      <c r="N217" s="164" t="s">
        <v>64</v>
      </c>
      <c r="O217" s="164" t="s">
        <v>65</v>
      </c>
      <c r="P217" s="164" t="s">
        <v>64</v>
      </c>
      <c r="Q217" s="164" t="s">
        <v>65</v>
      </c>
    </row>
    <row r="218" spans="3:18" ht="24" hidden="1" customHeight="1" x14ac:dyDescent="0.2">
      <c r="C218" s="165" t="s">
        <v>35</v>
      </c>
      <c r="D218" s="166" t="e">
        <f>VLOOKUP("españa",#REF!,6,FALSE)/VLOOKUP("españa",#REF!,6,FALSE)-1</f>
        <v>#REF!</v>
      </c>
      <c r="E218" s="167" t="e">
        <f>VLOOKUP("españa",#REF!,6,FALSE)</f>
        <v>#REF!</v>
      </c>
      <c r="F218" s="166" t="e">
        <f>VLOOKUP("españa",#REF!,5,FALSE)/VLOOKUP("españa",#REF!,5,FALSE)-1</f>
        <v>#REF!</v>
      </c>
      <c r="G218" s="166"/>
      <c r="H218" s="166" t="e">
        <f>VLOOKUP("españa",#REF!,4,FALSE)/VLOOKUP("españa",#REF!,4,FALSE)-1</f>
        <v>#REF!</v>
      </c>
      <c r="I218" s="167" t="e">
        <f>VLOOKUP("españa",#REF!,4,FALSE)</f>
        <v>#REF!</v>
      </c>
      <c r="J218" s="166" t="e">
        <f>VLOOKUP("españa",#REF!,3,FALSE)/VLOOKUP("españa",#REF!,3,FALSE)-1</f>
        <v>#REF!</v>
      </c>
      <c r="K218" s="167" t="e">
        <f>VLOOKUP("españa",#REF!,3,FALSE)</f>
        <v>#REF!</v>
      </c>
      <c r="L218" s="166" t="e">
        <f>VLOOKUP("españa",#REF!,2,FALSE)/VLOOKUP("españa",#REF!,2,FALSE)-1</f>
        <v>#REF!</v>
      </c>
      <c r="M218" s="167" t="e">
        <f>VLOOKUP("españa",#REF!,2,FALSE)</f>
        <v>#REF!</v>
      </c>
      <c r="N218" s="166" t="e">
        <f>VLOOKUP("españa",#REF!,7,FALSE)/VLOOKUP("españa",#REF!,7,FALSE)-1</f>
        <v>#REF!</v>
      </c>
      <c r="O218" s="167" t="e">
        <f>VLOOKUP("españa",#REF!,7,FALSE)</f>
        <v>#REF!</v>
      </c>
      <c r="P218" s="166" t="e">
        <f>VLOOKUP("españa",#REF!,8,FALSE)/VLOOKUP("españa",#REF!,8,FALSE)-1</f>
        <v>#REF!</v>
      </c>
      <c r="Q218" s="167" t="e">
        <f>VLOOKUP("españa",#REF!,8,FALSE)</f>
        <v>#REF!</v>
      </c>
    </row>
    <row r="219" spans="3:18" ht="24" hidden="1" customHeight="1" x14ac:dyDescent="0.2">
      <c r="C219" s="165" t="s">
        <v>40</v>
      </c>
      <c r="D219" s="166" t="e">
        <f>VLOOKUP("holanda",#REF!,6,FALSE)/VLOOKUP("holanda",#REF!,6,FALSE)-1</f>
        <v>#REF!</v>
      </c>
      <c r="E219" s="167" t="e">
        <f>VLOOKUP("holanda",#REF!,6,FALSE)</f>
        <v>#REF!</v>
      </c>
      <c r="F219" s="166" t="e">
        <f>VLOOKUP("holanda",#REF!,5,FALSE)/VLOOKUP("holanda",#REF!,5,FALSE)-1</f>
        <v>#REF!</v>
      </c>
      <c r="G219" s="166"/>
      <c r="H219" s="166" t="e">
        <f>VLOOKUP("holanda",#REF!,4,FALSE)/VLOOKUP("holanda",#REF!,4,FALSE)-1</f>
        <v>#REF!</v>
      </c>
      <c r="I219" s="167" t="e">
        <f>VLOOKUP("holanda",#REF!,4,FALSE)</f>
        <v>#REF!</v>
      </c>
      <c r="J219" s="166" t="e">
        <f>VLOOKUP("holanda",#REF!,3,FALSE)/VLOOKUP("holanda",#REF!,3,FALSE)-1</f>
        <v>#REF!</v>
      </c>
      <c r="K219" s="167" t="e">
        <f>VLOOKUP("holanda",#REF!,3,FALSE)</f>
        <v>#REF!</v>
      </c>
      <c r="L219" s="166" t="e">
        <f>VLOOKUP("holanda",#REF!,2,FALSE)/VLOOKUP("holanda",#REF!,2,FALSE)-1</f>
        <v>#REF!</v>
      </c>
      <c r="M219" s="167" t="e">
        <f>VLOOKUP("holanda",#REF!,2,FALSE)</f>
        <v>#REF!</v>
      </c>
      <c r="N219" s="166" t="e">
        <f>VLOOKUP("holanda",#REF!,7,FALSE)/VLOOKUP("holanda",#REF!,7,FALSE)-1</f>
        <v>#REF!</v>
      </c>
      <c r="O219" s="167" t="e">
        <f>VLOOKUP("holanda",#REF!,7,FALSE)</f>
        <v>#REF!</v>
      </c>
      <c r="P219" s="166" t="e">
        <f>VLOOKUP("holanda",#REF!,8,FALSE)/VLOOKUP("holanda",#REF!,8,FALSE)-1</f>
        <v>#REF!</v>
      </c>
      <c r="Q219" s="167" t="e">
        <f>VLOOKUP("holanda",#REF!,8,FALSE)</f>
        <v>#REF!</v>
      </c>
    </row>
    <row r="220" spans="3:18" ht="24" hidden="1" customHeight="1" x14ac:dyDescent="0.2">
      <c r="C220" s="165" t="s">
        <v>41</v>
      </c>
      <c r="D220" s="166" t="e">
        <f>VLOOKUP("belgica",#REF!,6,FALSE)/VLOOKUP("belgica",#REF!,6,FALSE)-1</f>
        <v>#REF!</v>
      </c>
      <c r="E220" s="167" t="e">
        <f>VLOOKUP("belgica",#REF!,6,FALSE)</f>
        <v>#REF!</v>
      </c>
      <c r="F220" s="166" t="e">
        <f>VLOOKUP("belgica",#REF!,5,FALSE)/VLOOKUP("belgica",#REF!,5,FALSE)-1</f>
        <v>#REF!</v>
      </c>
      <c r="G220" s="166"/>
      <c r="H220" s="166" t="e">
        <f>VLOOKUP("belgica",#REF!,4,FALSE)/VLOOKUP("belgica",#REF!,4,FALSE)-1</f>
        <v>#REF!</v>
      </c>
      <c r="I220" s="167" t="e">
        <f>VLOOKUP("belgica",#REF!,4,FALSE)</f>
        <v>#REF!</v>
      </c>
      <c r="J220" s="166" t="e">
        <f>VLOOKUP("belgica",#REF!,3,FALSE)/VLOOKUP("belgica",#REF!,3,FALSE)-1</f>
        <v>#REF!</v>
      </c>
      <c r="K220" s="167" t="e">
        <f>VLOOKUP("belgica",#REF!,3,FALSE)</f>
        <v>#REF!</v>
      </c>
      <c r="L220" s="166" t="e">
        <f>VLOOKUP("belgica",#REF!,2,FALSE)/VLOOKUP("belgica",#REF!,2,FALSE)-1</f>
        <v>#REF!</v>
      </c>
      <c r="M220" s="167" t="e">
        <f>VLOOKUP("belgica",#REF!,2,FALSE)</f>
        <v>#REF!</v>
      </c>
      <c r="N220" s="166" t="e">
        <f>VLOOKUP("belgica",#REF!,7,FALSE)/VLOOKUP("belgica",#REF!,7,FALSE)-1</f>
        <v>#REF!</v>
      </c>
      <c r="O220" s="167" t="e">
        <f>VLOOKUP("belgica",#REF!,7,FALSE)</f>
        <v>#REF!</v>
      </c>
      <c r="P220" s="166" t="e">
        <f>VLOOKUP("belgica",#REF!,8,FALSE)/VLOOKUP("belgica",#REF!,8,FALSE)-1</f>
        <v>#REF!</v>
      </c>
      <c r="Q220" s="167" t="e">
        <f>VLOOKUP("belgica",#REF!,8,FALSE)</f>
        <v>#REF!</v>
      </c>
    </row>
    <row r="221" spans="3:18" ht="24" hidden="1" customHeight="1" x14ac:dyDescent="0.2">
      <c r="C221" s="165" t="s">
        <v>42</v>
      </c>
      <c r="D221" s="166" t="e">
        <f>VLOOKUP("alemania",#REF!,6,FALSE)/VLOOKUP("alemania",#REF!,6,FALSE)-1</f>
        <v>#REF!</v>
      </c>
      <c r="E221" s="167" t="e">
        <f>VLOOKUP("alemania",#REF!,6,FALSE)</f>
        <v>#REF!</v>
      </c>
      <c r="F221" s="166" t="e">
        <f>VLOOKUP("alemania",#REF!,5,FALSE)/VLOOKUP("alemania",#REF!,5,FALSE)-1</f>
        <v>#REF!</v>
      </c>
      <c r="G221" s="166"/>
      <c r="H221" s="166" t="e">
        <f>VLOOKUP("alemania",#REF!,4,FALSE)/VLOOKUP("alemania",#REF!,4,FALSE)-1</f>
        <v>#REF!</v>
      </c>
      <c r="I221" s="167" t="e">
        <f>VLOOKUP("alemania",#REF!,4,FALSE)</f>
        <v>#REF!</v>
      </c>
      <c r="J221" s="166" t="e">
        <f>VLOOKUP("alemania",#REF!,3,FALSE)/VLOOKUP("alemania",#REF!,3,FALSE)-1</f>
        <v>#REF!</v>
      </c>
      <c r="K221" s="167" t="e">
        <f>VLOOKUP("alemania",#REF!,3,FALSE)</f>
        <v>#REF!</v>
      </c>
      <c r="L221" s="166" t="e">
        <f>VLOOKUP("alemania",#REF!,2,FALSE)/VLOOKUP("alemania",#REF!,2,FALSE)-1</f>
        <v>#REF!</v>
      </c>
      <c r="M221" s="167" t="e">
        <f>VLOOKUP("alemania",#REF!,2,FALSE)</f>
        <v>#REF!</v>
      </c>
      <c r="N221" s="166" t="e">
        <f>VLOOKUP("alemania",#REF!,7,FALSE)/VLOOKUP("alemania",#REF!,7,FALSE)-1</f>
        <v>#REF!</v>
      </c>
      <c r="O221" s="167" t="e">
        <f>VLOOKUP("alemania",#REF!,7,FALSE)</f>
        <v>#REF!</v>
      </c>
      <c r="P221" s="166" t="e">
        <f>VLOOKUP("alemania",#REF!,8,FALSE)/VLOOKUP("alemania",#REF!,8,FALSE)-1</f>
        <v>#REF!</v>
      </c>
      <c r="Q221" s="167" t="e">
        <f>VLOOKUP("alemania",#REF!,8,FALSE)</f>
        <v>#REF!</v>
      </c>
    </row>
    <row r="222" spans="3:18" ht="24" hidden="1" customHeight="1" x14ac:dyDescent="0.2">
      <c r="C222" s="165" t="s">
        <v>43</v>
      </c>
      <c r="D222" s="166" t="e">
        <f>VLOOKUP("francia",#REF!,6,FALSE)/VLOOKUP("francia",#REF!,6,FALSE)-1</f>
        <v>#REF!</v>
      </c>
      <c r="E222" s="167" t="e">
        <f>VLOOKUP("francia",#REF!,6,FALSE)</f>
        <v>#REF!</v>
      </c>
      <c r="F222" s="166" t="e">
        <f>VLOOKUP("francia",#REF!,5,FALSE)/VLOOKUP("francia",#REF!,5,FALSE)-1</f>
        <v>#REF!</v>
      </c>
      <c r="G222" s="166"/>
      <c r="H222" s="166" t="e">
        <f>VLOOKUP("francia",#REF!,4,FALSE)/VLOOKUP("francia",#REF!,4,FALSE)-1</f>
        <v>#REF!</v>
      </c>
      <c r="I222" s="167" t="e">
        <f>VLOOKUP("francia",#REF!,4,FALSE)</f>
        <v>#REF!</v>
      </c>
      <c r="J222" s="166" t="e">
        <f>VLOOKUP("francia",#REF!,3,FALSE)/VLOOKUP("francia",#REF!,3,FALSE)-1</f>
        <v>#REF!</v>
      </c>
      <c r="K222" s="167" t="e">
        <f>VLOOKUP("francia",#REF!,3,FALSE)</f>
        <v>#REF!</v>
      </c>
      <c r="L222" s="166" t="e">
        <f>VLOOKUP("francia",#REF!,2,FALSE)/VLOOKUP("francia",#REF!,2,FALSE)-1</f>
        <v>#REF!</v>
      </c>
      <c r="M222" s="167" t="e">
        <f>VLOOKUP("francia",#REF!,2,FALSE)</f>
        <v>#REF!</v>
      </c>
      <c r="N222" s="166" t="e">
        <f>VLOOKUP("francia",#REF!,7,FALSE)/VLOOKUP("francia",#REF!,7,FALSE)-1</f>
        <v>#REF!</v>
      </c>
      <c r="O222" s="167" t="e">
        <f>VLOOKUP("francia",#REF!,7,FALSE)</f>
        <v>#REF!</v>
      </c>
      <c r="P222" s="166" t="e">
        <f>VLOOKUP("francia",#REF!,8,FALSE)/VLOOKUP("francia",#REF!,8,FALSE)-1</f>
        <v>#REF!</v>
      </c>
      <c r="Q222" s="167" t="e">
        <f>VLOOKUP("francia",#REF!,8,FALSE)</f>
        <v>#REF!</v>
      </c>
    </row>
    <row r="223" spans="3:18" ht="24" hidden="1" customHeight="1" x14ac:dyDescent="0.2">
      <c r="C223" s="165" t="s">
        <v>44</v>
      </c>
      <c r="D223" s="166" t="e">
        <f>VLOOKUP("reino unido",#REF!,6,FALSE)/VLOOKUP("reino unido",#REF!,6,FALSE)-1</f>
        <v>#REF!</v>
      </c>
      <c r="E223" s="167" t="e">
        <f>VLOOKUP("reino unido",#REF!,6,FALSE)</f>
        <v>#REF!</v>
      </c>
      <c r="F223" s="166" t="e">
        <f>VLOOKUP("reino unido",#REF!,5,FALSE)/VLOOKUP("reino unido",#REF!,5,FALSE)-1</f>
        <v>#REF!</v>
      </c>
      <c r="G223" s="166"/>
      <c r="H223" s="166" t="e">
        <f>VLOOKUP("reino unido",#REF!,4,FALSE)/VLOOKUP("reino unido",#REF!,4,FALSE)-1</f>
        <v>#REF!</v>
      </c>
      <c r="I223" s="167" t="e">
        <f>VLOOKUP("reino unido",#REF!,4,FALSE)</f>
        <v>#REF!</v>
      </c>
      <c r="J223" s="166" t="e">
        <f>VLOOKUP("reino unido",#REF!,3,FALSE)/VLOOKUP("reino unido",#REF!,3,FALSE)-1</f>
        <v>#REF!</v>
      </c>
      <c r="K223" s="167" t="e">
        <f>VLOOKUP("reino unido",#REF!,3,FALSE)</f>
        <v>#REF!</v>
      </c>
      <c r="L223" s="166" t="e">
        <f>VLOOKUP("reino unido",#REF!,2,FALSE)/VLOOKUP("reino unido",#REF!,2,FALSE)-1</f>
        <v>#REF!</v>
      </c>
      <c r="M223" s="167" t="e">
        <f>VLOOKUP("reino unido",#REF!,2,FALSE)</f>
        <v>#REF!</v>
      </c>
      <c r="N223" s="166" t="e">
        <f>VLOOKUP("reino unido",#REF!,7,FALSE)/VLOOKUP("reino unido",#REF!,7,FALSE)-1</f>
        <v>#REF!</v>
      </c>
      <c r="O223" s="167" t="e">
        <f>VLOOKUP("reino unido",#REF!,7,FALSE)</f>
        <v>#REF!</v>
      </c>
      <c r="P223" s="166" t="e">
        <f>VLOOKUP("reino unido",#REF!,8,FALSE)/VLOOKUP("reino unido",#REF!,8,FALSE)-1</f>
        <v>#REF!</v>
      </c>
      <c r="Q223" s="167" t="e">
        <f>VLOOKUP("reino unido",#REF!,8,FALSE)</f>
        <v>#REF!</v>
      </c>
    </row>
    <row r="224" spans="3:18" ht="24" hidden="1" customHeight="1" x14ac:dyDescent="0.2">
      <c r="C224" s="165" t="s">
        <v>45</v>
      </c>
      <c r="D224" s="166" t="e">
        <f>VLOOKUP("irlanda",#REF!,6,FALSE)/VLOOKUP("irlanda",#REF!,6,FALSE)-1</f>
        <v>#REF!</v>
      </c>
      <c r="E224" s="167" t="e">
        <f>VLOOKUP("irlanda",#REF!,6,FALSE)</f>
        <v>#REF!</v>
      </c>
      <c r="F224" s="166" t="e">
        <f>VLOOKUP("irlanda",#REF!,5,FALSE)/VLOOKUP("irlanda",#REF!,5,FALSE)-1</f>
        <v>#REF!</v>
      </c>
      <c r="G224" s="166"/>
      <c r="H224" s="166" t="e">
        <f>VLOOKUP("irlanda",#REF!,4,FALSE)/VLOOKUP("irlanda",#REF!,4,FALSE)-1</f>
        <v>#REF!</v>
      </c>
      <c r="I224" s="167" t="e">
        <f>VLOOKUP("irlanda",#REF!,4,FALSE)</f>
        <v>#REF!</v>
      </c>
      <c r="J224" s="166" t="e">
        <f>VLOOKUP("irlanda",#REF!,3,FALSE)/VLOOKUP("irlanda",#REF!,3,FALSE)-1</f>
        <v>#REF!</v>
      </c>
      <c r="K224" s="167" t="e">
        <f>VLOOKUP("irlanda",#REF!,3,FALSE)</f>
        <v>#REF!</v>
      </c>
      <c r="L224" s="166" t="e">
        <f>VLOOKUP("irlanda",#REF!,2,FALSE)/VLOOKUP("irlanda",#REF!,2,FALSE)-1</f>
        <v>#REF!</v>
      </c>
      <c r="M224" s="167" t="e">
        <f>VLOOKUP("irlanda",#REF!,2,FALSE)</f>
        <v>#REF!</v>
      </c>
      <c r="N224" s="166" t="e">
        <f>VLOOKUP("irlanda",#REF!,7,FALSE)/VLOOKUP("irlanda",#REF!,7,FALSE)-1</f>
        <v>#REF!</v>
      </c>
      <c r="O224" s="167" t="e">
        <f>VLOOKUP("irlanda",#REF!,7,FALSE)</f>
        <v>#REF!</v>
      </c>
      <c r="P224" s="166" t="e">
        <f>VLOOKUP("irlanda",#REF!,8,FALSE)/VLOOKUP("irlanda",#REF!,8,FALSE)-1</f>
        <v>#REF!</v>
      </c>
      <c r="Q224" s="167" t="e">
        <f>VLOOKUP("irlanda",#REF!,8,FALSE)</f>
        <v>#REF!</v>
      </c>
    </row>
    <row r="225" spans="3:17" ht="24" hidden="1" customHeight="1" x14ac:dyDescent="0.2">
      <c r="C225" s="165" t="s">
        <v>46</v>
      </c>
      <c r="D225" s="166" t="e">
        <f>VLOOKUP("italia",#REF!,6,FALSE)/VLOOKUP("italia",#REF!,6,FALSE)-1</f>
        <v>#REF!</v>
      </c>
      <c r="E225" s="167" t="e">
        <f>VLOOKUP("italia",#REF!,6,FALSE)</f>
        <v>#REF!</v>
      </c>
      <c r="F225" s="166" t="e">
        <f>VLOOKUP("italia",#REF!,5,FALSE)/VLOOKUP("italia",#REF!,5,FALSE)-1</f>
        <v>#REF!</v>
      </c>
      <c r="G225" s="166"/>
      <c r="H225" s="166" t="e">
        <f>VLOOKUP("italia",#REF!,4,FALSE)/VLOOKUP("italia",#REF!,4,FALSE)-1</f>
        <v>#REF!</v>
      </c>
      <c r="I225" s="167" t="e">
        <f>VLOOKUP("italia",#REF!,4,FALSE)</f>
        <v>#REF!</v>
      </c>
      <c r="J225" s="166" t="e">
        <f>VLOOKUP("italia",#REF!,3,FALSE)/VLOOKUP("italia",#REF!,3,FALSE)-1</f>
        <v>#REF!</v>
      </c>
      <c r="K225" s="167" t="e">
        <f>VLOOKUP("italia",#REF!,3,FALSE)</f>
        <v>#REF!</v>
      </c>
      <c r="L225" s="166" t="e">
        <f>VLOOKUP("italia",#REF!,2,FALSE)/VLOOKUP("italia",#REF!,2,FALSE)-1</f>
        <v>#REF!</v>
      </c>
      <c r="M225" s="167" t="e">
        <f>VLOOKUP("italia",#REF!,2,FALSE)</f>
        <v>#REF!</v>
      </c>
      <c r="N225" s="166" t="e">
        <f>VLOOKUP("italia",#REF!,7,FALSE)/VLOOKUP("italia",#REF!,7,FALSE)-1</f>
        <v>#REF!</v>
      </c>
      <c r="O225" s="167" t="e">
        <f>VLOOKUP("italia",#REF!,7,FALSE)</f>
        <v>#REF!</v>
      </c>
      <c r="P225" s="166" t="e">
        <f>VLOOKUP("italia",#REF!,8,FALSE)/VLOOKUP("italia",#REF!,8,FALSE)-1</f>
        <v>#REF!</v>
      </c>
      <c r="Q225" s="167" t="e">
        <f>VLOOKUP("italia",#REF!,8,FALSE)</f>
        <v>#REF!</v>
      </c>
    </row>
    <row r="226" spans="3:17" ht="24" hidden="1" customHeight="1" x14ac:dyDescent="0.2">
      <c r="C226" s="165" t="s">
        <v>47</v>
      </c>
      <c r="D226" s="166" t="e">
        <f>(VLOOKUP("suecia",#REF!,6,FALSE)+VLOOKUP("noruega",#REF!,6,FALSE)+VLOOKUP("dinamarca",#REF!,6,FALSE)+VLOOKUP("finlandia",#REF!,6,FALSE))/(VLOOKUP("suecia",#REF!,6,FALSE)+VLOOKUP("noruega",#REF!,6,FALSE)+VLOOKUP("dinamarca",#REF!,6,FALSE)+VLOOKUP("finlandia",#REF!,6,FALSE))-1</f>
        <v>#REF!</v>
      </c>
      <c r="E226" s="167" t="e">
        <f>(VLOOKUP("suecia",#REF!,6,FALSE)+VLOOKUP("noruega",#REF!,6,FALSE)+VLOOKUP("dinamarca",#REF!,6,FALSE)+VLOOKUP("finlandia",#REF!,6,FALSE))</f>
        <v>#REF!</v>
      </c>
      <c r="F226" s="166" t="e">
        <f>(VLOOKUP("suecia",#REF!,5,FALSE)+VLOOKUP("noruega",#REF!,5,FALSE)+VLOOKUP("dinamarca",#REF!,5,FALSE)+VLOOKUP("finlandia",#REF!,5,FALSE))/(VLOOKUP("suecia",#REF!,5,FALSE)+VLOOKUP("noruega",#REF!,5,FALSE)+VLOOKUP("dinamarca",#REF!,5,FALSE)+VLOOKUP("finlandia",#REF!,5,FALSE))-1</f>
        <v>#REF!</v>
      </c>
      <c r="G226" s="166"/>
      <c r="H226" s="166" t="e">
        <f>(VLOOKUP("suecia",#REF!,4,FALSE)+VLOOKUP("noruega",#REF!,4,FALSE)+VLOOKUP("dinamarca",#REF!,4,FALSE)+VLOOKUP("finlandia",#REF!,4,FALSE))/(VLOOKUP("suecia",#REF!,4,FALSE)+VLOOKUP("noruega",#REF!,4,FALSE)+VLOOKUP("dinamarca",#REF!,4,FALSE)+VLOOKUP("finlandia",#REF!,4,FALSE))-1</f>
        <v>#REF!</v>
      </c>
      <c r="I226" s="167" t="e">
        <f>(VLOOKUP("suecia",#REF!,4,FALSE)+VLOOKUP("noruega",#REF!,4,FALSE)+VLOOKUP("dinamarca",#REF!,4,FALSE)+VLOOKUP("finlandia",#REF!,4,FALSE))</f>
        <v>#REF!</v>
      </c>
      <c r="J226" s="166" t="e">
        <f>(VLOOKUP("suecia",#REF!,3,FALSE)+VLOOKUP("noruega",#REF!,3,FALSE)+VLOOKUP("dinamarca",#REF!,3,FALSE)+VLOOKUP("finlandia",#REF!,3,FALSE))/(VLOOKUP("suecia",#REF!,3,FALSE)+VLOOKUP("noruega",#REF!,3,FALSE)+VLOOKUP("dinamarca",#REF!,3,FALSE)+VLOOKUP("finlandia",#REF!,3,FALSE))-1</f>
        <v>#REF!</v>
      </c>
      <c r="K226" s="167" t="e">
        <f>(VLOOKUP("suecia",#REF!,3,FALSE)+VLOOKUP("noruega",#REF!,3,FALSE)+VLOOKUP("dinamarca",#REF!,3,FALSE)+VLOOKUP("finlandia",#REF!,3,FALSE))</f>
        <v>#REF!</v>
      </c>
      <c r="L226" s="166" t="e">
        <f>(VLOOKUP("suecia",#REF!,2,FALSE)+VLOOKUP("noruega",#REF!,2,FALSE)+VLOOKUP("dinamarca",#REF!,2,FALSE)+VLOOKUP("finlandia",#REF!,2,FALSE))/(VLOOKUP("suecia",#REF!,2,FALSE)+VLOOKUP("noruega",#REF!,2,FALSE)+VLOOKUP("dinamarca",#REF!,2,FALSE)+VLOOKUP("finlandia",#REF!,2,FALSE))-1</f>
        <v>#REF!</v>
      </c>
      <c r="M226" s="167" t="e">
        <f>(VLOOKUP("suecia",#REF!,2,FALSE)+VLOOKUP("noruega",#REF!,2,FALSE)+VLOOKUP("dinamarca",#REF!,2,FALSE)+VLOOKUP("finlandia",#REF!,2,FALSE))</f>
        <v>#REF!</v>
      </c>
      <c r="N226" s="166" t="e">
        <f>(VLOOKUP("suecia",#REF!,7,FALSE)+VLOOKUP("noruega",#REF!,7,FALSE)+VLOOKUP("dinamarca",#REF!,7,FALSE)+VLOOKUP("finlandia",#REF!,7,FALSE))/(VLOOKUP("suecia",#REF!,7,FALSE)+VLOOKUP("noruega",#REF!,7,FALSE)+VLOOKUP("dinamarca",#REF!,7,FALSE)+VLOOKUP("finlandia",#REF!,7,FALSE))-1</f>
        <v>#REF!</v>
      </c>
      <c r="O226" s="167" t="e">
        <f>(VLOOKUP("suecia",#REF!,7,FALSE)+VLOOKUP("noruega",#REF!,7,FALSE)+VLOOKUP("dinamarca",#REF!,7,FALSE)+VLOOKUP("finlandia",#REF!,7,FALSE))</f>
        <v>#REF!</v>
      </c>
      <c r="P226" s="166" t="e">
        <f>(VLOOKUP("suecia",#REF!,8,FALSE)+VLOOKUP("noruega",#REF!,8,FALSE)+VLOOKUP("dinamarca",#REF!,8,FALSE)+VLOOKUP("finlandia",#REF!,8,FALSE))/(VLOOKUP("suecia",#REF!,8,FALSE)+VLOOKUP("noruega",#REF!,8,FALSE)+VLOOKUP("dinamarca",#REF!,8,FALSE)+VLOOKUP("finlandia",#REF!,8,FALSE))-1</f>
        <v>#REF!</v>
      </c>
      <c r="Q226" s="167" t="e">
        <f>(VLOOKUP("suecia",#REF!,8,FALSE)+VLOOKUP("noruega",#REF!,8,FALSE)+VLOOKUP("dinamarca",#REF!,8,FALSE)+VLOOKUP("finlandia",#REF!,8,FALSE))</f>
        <v>#REF!</v>
      </c>
    </row>
    <row r="227" spans="3:17" ht="24" hidden="1" customHeight="1" x14ac:dyDescent="0.2">
      <c r="C227" s="168" t="s">
        <v>48</v>
      </c>
      <c r="D227" s="166" t="e">
        <f>VLOOKUP("suecia",#REF!,6,FALSE)/VLOOKUP("suecia",#REF!,6,FALSE)-1</f>
        <v>#REF!</v>
      </c>
      <c r="E227" s="167" t="e">
        <f>VLOOKUP("suecia",#REF!,6,FALSE)</f>
        <v>#REF!</v>
      </c>
      <c r="F227" s="166" t="e">
        <f>VLOOKUP("suecia",#REF!,5,FALSE)/VLOOKUP("suecia",#REF!,5,FALSE)-1</f>
        <v>#REF!</v>
      </c>
      <c r="G227" s="166"/>
      <c r="H227" s="166" t="e">
        <f>VLOOKUP("suecia",#REF!,4,FALSE)/VLOOKUP("suecia",#REF!,4,FALSE)-1</f>
        <v>#REF!</v>
      </c>
      <c r="I227" s="167" t="e">
        <f>VLOOKUP("suecia",#REF!,4,FALSE)</f>
        <v>#REF!</v>
      </c>
      <c r="J227" s="166" t="e">
        <f>VLOOKUP("suecia",#REF!,3,FALSE)/VLOOKUP("suecia",#REF!,3,FALSE)-1</f>
        <v>#REF!</v>
      </c>
      <c r="K227" s="167" t="e">
        <f>VLOOKUP("suecia",#REF!,3,FALSE)</f>
        <v>#REF!</v>
      </c>
      <c r="L227" s="166" t="e">
        <f>VLOOKUP("suecia",#REF!,2,FALSE)/VLOOKUP("suecia",#REF!,2,FALSE)-1</f>
        <v>#REF!</v>
      </c>
      <c r="M227" s="167" t="e">
        <f>VLOOKUP("suecia",#REF!,2,FALSE)</f>
        <v>#REF!</v>
      </c>
      <c r="N227" s="166" t="e">
        <f>VLOOKUP("suecia",#REF!,7,FALSE)/VLOOKUP("suecia",#REF!,7,FALSE)-1</f>
        <v>#REF!</v>
      </c>
      <c r="O227" s="167" t="e">
        <f>VLOOKUP("suecia",#REF!,7,FALSE)</f>
        <v>#REF!</v>
      </c>
      <c r="P227" s="166" t="e">
        <f>VLOOKUP("suecia",#REF!,8,FALSE)/VLOOKUP("suecia",#REF!,8,FALSE)-1</f>
        <v>#REF!</v>
      </c>
      <c r="Q227" s="167" t="e">
        <f>VLOOKUP("suecia",#REF!,8,FALSE)</f>
        <v>#REF!</v>
      </c>
    </row>
    <row r="228" spans="3:17" ht="24" hidden="1" customHeight="1" x14ac:dyDescent="0.2">
      <c r="C228" s="168" t="s">
        <v>49</v>
      </c>
      <c r="D228" s="166" t="e">
        <f>VLOOKUP("noruega",#REF!,6,FALSE)/VLOOKUP("noruega",#REF!,6,FALSE)-1</f>
        <v>#REF!</v>
      </c>
      <c r="E228" s="167" t="e">
        <f>VLOOKUP("noruega",#REF!,6,FALSE)</f>
        <v>#REF!</v>
      </c>
      <c r="F228" s="166" t="e">
        <f>VLOOKUP("noruega",#REF!,5,FALSE)/VLOOKUP("noruega",#REF!,5,FALSE)-1</f>
        <v>#REF!</v>
      </c>
      <c r="G228" s="166"/>
      <c r="H228" s="166" t="e">
        <f>VLOOKUP("noruega",#REF!,4,FALSE)/VLOOKUP("noruega",#REF!,4,FALSE)-1</f>
        <v>#REF!</v>
      </c>
      <c r="I228" s="167" t="e">
        <f>VLOOKUP("noruega",#REF!,4,FALSE)</f>
        <v>#REF!</v>
      </c>
      <c r="J228" s="166" t="e">
        <f>VLOOKUP("noruega",#REF!,3,FALSE)/VLOOKUP("noruega",#REF!,3,FALSE)-1</f>
        <v>#REF!</v>
      </c>
      <c r="K228" s="167" t="e">
        <f>VLOOKUP("noruega",#REF!,3,FALSE)</f>
        <v>#REF!</v>
      </c>
      <c r="L228" s="166" t="e">
        <f>VLOOKUP("noruega",#REF!,2,FALSE)/VLOOKUP("noruega",#REF!,2,FALSE)-1</f>
        <v>#REF!</v>
      </c>
      <c r="M228" s="167" t="e">
        <f>VLOOKUP("noruega",#REF!,2,FALSE)</f>
        <v>#REF!</v>
      </c>
      <c r="N228" s="166" t="e">
        <f>VLOOKUP("noruega",#REF!,7,FALSE)/VLOOKUP("noruega",#REF!,7,FALSE)-1</f>
        <v>#REF!</v>
      </c>
      <c r="O228" s="167" t="e">
        <f>VLOOKUP("noruega",#REF!,7,FALSE)</f>
        <v>#REF!</v>
      </c>
      <c r="P228" s="166" t="e">
        <f>VLOOKUP("noruega",#REF!,8,FALSE)/VLOOKUP("noruega",#REF!,8,FALSE)-1</f>
        <v>#REF!</v>
      </c>
      <c r="Q228" s="167" t="e">
        <f>VLOOKUP("noruega",#REF!,8,FALSE)</f>
        <v>#REF!</v>
      </c>
    </row>
    <row r="229" spans="3:17" ht="24" hidden="1" customHeight="1" x14ac:dyDescent="0.2">
      <c r="C229" s="168" t="s">
        <v>50</v>
      </c>
      <c r="D229" s="166" t="e">
        <f>VLOOKUP("dinamarca",#REF!,6,FALSE)/VLOOKUP("dinamarca",#REF!,6,FALSE)-1</f>
        <v>#REF!</v>
      </c>
      <c r="E229" s="167" t="e">
        <f>VLOOKUP("dinamarca",#REF!,6,FALSE)</f>
        <v>#REF!</v>
      </c>
      <c r="F229" s="166" t="e">
        <f>VLOOKUP("dinamarca",#REF!,5,FALSE)/VLOOKUP("dinamarca",#REF!,5,FALSE)-1</f>
        <v>#REF!</v>
      </c>
      <c r="G229" s="166"/>
      <c r="H229" s="166" t="e">
        <f>VLOOKUP("dinamarca",#REF!,4,FALSE)/VLOOKUP("dinamarca",#REF!,4,FALSE)-1</f>
        <v>#REF!</v>
      </c>
      <c r="I229" s="167" t="e">
        <f>VLOOKUP("dinamarca",#REF!,4,FALSE)</f>
        <v>#REF!</v>
      </c>
      <c r="J229" s="166" t="e">
        <f>VLOOKUP("dinamarca",#REF!,3,FALSE)/VLOOKUP("dinamarca",#REF!,3,FALSE)-1</f>
        <v>#REF!</v>
      </c>
      <c r="K229" s="167" t="e">
        <f>VLOOKUP("dinamarca",#REF!,3,FALSE)</f>
        <v>#REF!</v>
      </c>
      <c r="L229" s="166" t="e">
        <f>VLOOKUP("dinamarca",#REF!,2,FALSE)/VLOOKUP("dinamarca",#REF!,2,FALSE)-1</f>
        <v>#REF!</v>
      </c>
      <c r="M229" s="167" t="e">
        <f>VLOOKUP("dinamarca",#REF!,2,FALSE)</f>
        <v>#REF!</v>
      </c>
      <c r="N229" s="166" t="e">
        <f>VLOOKUP("dinamarca",#REF!,7,FALSE)/VLOOKUP("dinamarca",#REF!,7,FALSE)-1</f>
        <v>#REF!</v>
      </c>
      <c r="O229" s="167" t="e">
        <f>VLOOKUP("dinamarca",#REF!,7,FALSE)</f>
        <v>#REF!</v>
      </c>
      <c r="P229" s="166" t="e">
        <f>VLOOKUP("dinamarca",#REF!,8,FALSE)/VLOOKUP("dinamarca",#REF!,8,FALSE)-1</f>
        <v>#REF!</v>
      </c>
      <c r="Q229" s="167" t="e">
        <f>VLOOKUP("dinamarca",#REF!,8,FALSE)</f>
        <v>#REF!</v>
      </c>
    </row>
    <row r="230" spans="3:17" ht="24" hidden="1" customHeight="1" x14ac:dyDescent="0.2">
      <c r="C230" s="168" t="s">
        <v>51</v>
      </c>
      <c r="D230" s="166" t="s">
        <v>37</v>
      </c>
      <c r="E230" s="167" t="e">
        <f>VLOOKUP("finlandia",#REF!,6,FALSE)</f>
        <v>#REF!</v>
      </c>
      <c r="F230" s="166" t="e">
        <f>VLOOKUP("finlandia",#REF!,5,FALSE)/VLOOKUP("finlandia",#REF!,5,FALSE)-1</f>
        <v>#REF!</v>
      </c>
      <c r="G230" s="166"/>
      <c r="H230" s="166" t="e">
        <f>VLOOKUP("finlandia",#REF!,4,FALSE)/VLOOKUP("finlandia",#REF!,4,FALSE)-1</f>
        <v>#REF!</v>
      </c>
      <c r="I230" s="167" t="e">
        <f>VLOOKUP("finlandia",#REF!,4,FALSE)</f>
        <v>#REF!</v>
      </c>
      <c r="J230" s="166" t="e">
        <f>VLOOKUP("finlandia",#REF!,3,FALSE)/VLOOKUP("finlandia",#REF!,3,FALSE)-1</f>
        <v>#REF!</v>
      </c>
      <c r="K230" s="167" t="e">
        <f>VLOOKUP("finlandia",#REF!,3,FALSE)</f>
        <v>#REF!</v>
      </c>
      <c r="L230" s="166" t="s">
        <v>37</v>
      </c>
      <c r="M230" s="167" t="e">
        <f>VLOOKUP("finlandia",#REF!,2,FALSE)</f>
        <v>#REF!</v>
      </c>
      <c r="N230" s="166" t="e">
        <f>VLOOKUP("finlandia",#REF!,7,FALSE)/VLOOKUP("finlandia",#REF!,7,FALSE)-1</f>
        <v>#REF!</v>
      </c>
      <c r="O230" s="167" t="e">
        <f>VLOOKUP("finlandia",#REF!,7,FALSE)</f>
        <v>#REF!</v>
      </c>
      <c r="P230" s="166" t="e">
        <f>VLOOKUP("finlandia",#REF!,8,FALSE)/VLOOKUP("finlandia",#REF!,8,FALSE)-1</f>
        <v>#REF!</v>
      </c>
      <c r="Q230" s="167" t="e">
        <f>VLOOKUP("finlandia",#REF!,8,FALSE)</f>
        <v>#REF!</v>
      </c>
    </row>
    <row r="231" spans="3:17" ht="24" hidden="1" customHeight="1" x14ac:dyDescent="0.2">
      <c r="C231" s="165" t="s">
        <v>52</v>
      </c>
      <c r="D231" s="166" t="e">
        <f>VLOOKUP("suiza",#REF!,6,FALSE)/VLOOKUP("suiza",#REF!,6,FALSE)-1</f>
        <v>#REF!</v>
      </c>
      <c r="E231" s="167" t="e">
        <f>VLOOKUP("suiza",#REF!,6,FALSE)</f>
        <v>#REF!</v>
      </c>
      <c r="F231" s="166" t="e">
        <f>VLOOKUP("suiza",#REF!,5,FALSE)/VLOOKUP("suiza",#REF!,5,FALSE)-1</f>
        <v>#REF!</v>
      </c>
      <c r="G231" s="166"/>
      <c r="H231" s="166" t="e">
        <f>VLOOKUP("suiza",#REF!,4,FALSE)/VLOOKUP("suiza",#REF!,4,FALSE)-1</f>
        <v>#REF!</v>
      </c>
      <c r="I231" s="167" t="e">
        <f>VLOOKUP("suiza",#REF!,4,FALSE)</f>
        <v>#REF!</v>
      </c>
      <c r="J231" s="166" t="e">
        <f>VLOOKUP("suiza",#REF!,3,FALSE)/VLOOKUP("suiza",#REF!,3,FALSE)-1</f>
        <v>#REF!</v>
      </c>
      <c r="K231" s="167" t="e">
        <f>VLOOKUP("suiza",#REF!,3,FALSE)</f>
        <v>#REF!</v>
      </c>
      <c r="L231" s="166" t="e">
        <f>VLOOKUP("suiza",#REF!,2,FALSE)/VLOOKUP("suiza",#REF!,2,FALSE)-1</f>
        <v>#REF!</v>
      </c>
      <c r="M231" s="167" t="e">
        <f>VLOOKUP("suiza",#REF!,2,FALSE)</f>
        <v>#REF!</v>
      </c>
      <c r="N231" s="166" t="e">
        <f>VLOOKUP("suiza",#REF!,7,FALSE)/VLOOKUP("suiza",#REF!,7,FALSE)-1</f>
        <v>#REF!</v>
      </c>
      <c r="O231" s="167" t="e">
        <f>VLOOKUP("suiza",#REF!,7,FALSE)</f>
        <v>#REF!</v>
      </c>
      <c r="P231" s="166" t="e">
        <f>VLOOKUP("suiza",#REF!,8,FALSE)/VLOOKUP("suiza",#REF!,8,FALSE)-1</f>
        <v>#REF!</v>
      </c>
      <c r="Q231" s="167" t="e">
        <f>VLOOKUP("suiza",#REF!,8,FALSE)</f>
        <v>#REF!</v>
      </c>
    </row>
    <row r="232" spans="3:17" ht="24" hidden="1" customHeight="1" x14ac:dyDescent="0.2">
      <c r="C232" s="165" t="s">
        <v>53</v>
      </c>
      <c r="D232" s="166" t="e">
        <f>VLOOKUP("austria",#REF!,6,FALSE)/VLOOKUP("austria",#REF!,6,FALSE)-1</f>
        <v>#REF!</v>
      </c>
      <c r="E232" s="167" t="e">
        <f>VLOOKUP("austria",#REF!,6,FALSE)</f>
        <v>#REF!</v>
      </c>
      <c r="F232" s="166" t="e">
        <f>VLOOKUP("austria",#REF!,5,FALSE)/VLOOKUP("austria",#REF!,5,FALSE)-1</f>
        <v>#REF!</v>
      </c>
      <c r="G232" s="166"/>
      <c r="H232" s="166" t="e">
        <f>VLOOKUP("austria",#REF!,4,FALSE)/VLOOKUP("austria",#REF!,4,FALSE)-1</f>
        <v>#REF!</v>
      </c>
      <c r="I232" s="167" t="e">
        <f>VLOOKUP("austria",#REF!,4,FALSE)</f>
        <v>#REF!</v>
      </c>
      <c r="J232" s="166" t="e">
        <f>VLOOKUP("austria",#REF!,3,FALSE)/VLOOKUP("austria",#REF!,3,FALSE)-1</f>
        <v>#REF!</v>
      </c>
      <c r="K232" s="167" t="e">
        <f>VLOOKUP("austria",#REF!,3,FALSE)</f>
        <v>#REF!</v>
      </c>
      <c r="L232" s="166" t="e">
        <f>VLOOKUP("austria",#REF!,2,FALSE)/VLOOKUP("austria",#REF!,2,FALSE)-1</f>
        <v>#REF!</v>
      </c>
      <c r="M232" s="167" t="e">
        <f>VLOOKUP("austria",#REF!,2,FALSE)</f>
        <v>#REF!</v>
      </c>
      <c r="N232" s="166" t="e">
        <f>VLOOKUP("austria",#REF!,7,FALSE)/VLOOKUP("austria",#REF!,7,FALSE)-1</f>
        <v>#REF!</v>
      </c>
      <c r="O232" s="167" t="e">
        <f>VLOOKUP("austria",#REF!,7,FALSE)</f>
        <v>#REF!</v>
      </c>
      <c r="P232" s="166" t="e">
        <f>VLOOKUP("austria",#REF!,8,FALSE)/VLOOKUP("austria",#REF!,8,FALSE)-1</f>
        <v>#REF!</v>
      </c>
      <c r="Q232" s="167" t="e">
        <f>VLOOKUP("austria",#REF!,8,FALSE)</f>
        <v>#REF!</v>
      </c>
    </row>
    <row r="233" spans="3:17" ht="24" hidden="1" customHeight="1" x14ac:dyDescent="0.2">
      <c r="C233" s="165" t="s">
        <v>54</v>
      </c>
      <c r="D233" s="166" t="e">
        <f>VLOOKUP("rusia",#REF!,6,FALSE)/VLOOKUP("rusia",#REF!,6,FALSE)-1</f>
        <v>#REF!</v>
      </c>
      <c r="E233" s="167" t="e">
        <f>VLOOKUP("rusia",#REF!,6,FALSE)</f>
        <v>#REF!</v>
      </c>
      <c r="F233" s="166" t="e">
        <f>VLOOKUP("rusia",#REF!,5,FALSE)/VLOOKUP("rusia",#REF!,5,FALSE)-1</f>
        <v>#REF!</v>
      </c>
      <c r="G233" s="166"/>
      <c r="H233" s="166" t="e">
        <f>VLOOKUP("rusia",#REF!,4,FALSE)/VLOOKUP("rusia",#REF!,4,FALSE)-1</f>
        <v>#REF!</v>
      </c>
      <c r="I233" s="167" t="e">
        <f>VLOOKUP("rusia",#REF!,4,FALSE)</f>
        <v>#REF!</v>
      </c>
      <c r="J233" s="166" t="e">
        <f>VLOOKUP("rusia",#REF!,3,FALSE)/VLOOKUP("rusia",#REF!,3,FALSE)-1</f>
        <v>#REF!</v>
      </c>
      <c r="K233" s="167" t="e">
        <f>VLOOKUP("rusia",#REF!,3,FALSE)</f>
        <v>#REF!</v>
      </c>
      <c r="L233" s="166" t="e">
        <f>VLOOKUP("rusia",#REF!,2,FALSE)/VLOOKUP("rusia",#REF!,2,FALSE)-1</f>
        <v>#REF!</v>
      </c>
      <c r="M233" s="167" t="e">
        <f>VLOOKUP("rusia",#REF!,2,FALSE)</f>
        <v>#REF!</v>
      </c>
      <c r="N233" s="166" t="e">
        <f>VLOOKUP("rusia",#REF!,7,FALSE)/VLOOKUP("rusia",#REF!,7,FALSE)-1</f>
        <v>#REF!</v>
      </c>
      <c r="O233" s="167" t="e">
        <f>VLOOKUP("rusia",#REF!,7,FALSE)</f>
        <v>#REF!</v>
      </c>
      <c r="P233" s="166" t="e">
        <f>VLOOKUP("rusia",#REF!,8,FALSE)/VLOOKUP("rusia",#REF!,8,FALSE)-1</f>
        <v>#REF!</v>
      </c>
      <c r="Q233" s="167" t="e">
        <f>VLOOKUP("rusia",#REF!,8,FALSE)</f>
        <v>#REF!</v>
      </c>
    </row>
    <row r="234" spans="3:17" ht="24" hidden="1" customHeight="1" x14ac:dyDescent="0.2">
      <c r="C234" s="165" t="s">
        <v>55</v>
      </c>
      <c r="D234" s="166" t="e">
        <f>VLOOKUP("paises del este",#REF!,6,FALSE)/VLOOKUP("paises del este",#REF!,6,FALSE)-1</f>
        <v>#REF!</v>
      </c>
      <c r="E234" s="167" t="e">
        <f>VLOOKUP("paises del este",#REF!,6,FALSE)</f>
        <v>#REF!</v>
      </c>
      <c r="F234" s="166" t="e">
        <f>VLOOKUP("paises del este",#REF!,5,FALSE)/VLOOKUP("paises del este",#REF!,5,FALSE)-1</f>
        <v>#REF!</v>
      </c>
      <c r="G234" s="166"/>
      <c r="H234" s="166" t="e">
        <f>VLOOKUP("paises del este",#REF!,4,FALSE)/VLOOKUP("paises del este",#REF!,4,FALSE)-1</f>
        <v>#REF!</v>
      </c>
      <c r="I234" s="167" t="e">
        <f>VLOOKUP("paises del este",#REF!,4,FALSE)</f>
        <v>#REF!</v>
      </c>
      <c r="J234" s="166" t="e">
        <f>VLOOKUP("paises del este",#REF!,3,FALSE)/VLOOKUP("paises del este",#REF!,3,FALSE)-1</f>
        <v>#REF!</v>
      </c>
      <c r="K234" s="167" t="e">
        <f>VLOOKUP("paises del este",#REF!,3,FALSE)</f>
        <v>#REF!</v>
      </c>
      <c r="L234" s="166" t="e">
        <f>VLOOKUP("paises del este",#REF!,2,FALSE)/VLOOKUP("paises del este",#REF!,2,FALSE)-1</f>
        <v>#REF!</v>
      </c>
      <c r="M234" s="167" t="e">
        <f>VLOOKUP("paises del este",#REF!,2,FALSE)</f>
        <v>#REF!</v>
      </c>
      <c r="N234" s="166" t="e">
        <f>VLOOKUP("paises del este",#REF!,7,FALSE)/VLOOKUP("paises del este",#REF!,7,FALSE)-1</f>
        <v>#REF!</v>
      </c>
      <c r="O234" s="167" t="e">
        <f>VLOOKUP("paises del este",#REF!,7,FALSE)</f>
        <v>#REF!</v>
      </c>
      <c r="P234" s="166" t="e">
        <f>VLOOKUP("paises del este",#REF!,8,FALSE)/VLOOKUP("paises del este",#REF!,8,FALSE)-1</f>
        <v>#REF!</v>
      </c>
      <c r="Q234" s="167" t="e">
        <f>VLOOKUP("paises del este",#REF!,8,FALSE)</f>
        <v>#REF!</v>
      </c>
    </row>
    <row r="235" spans="3:17" ht="24" hidden="1" customHeight="1" x14ac:dyDescent="0.2">
      <c r="C235" s="165" t="s">
        <v>56</v>
      </c>
      <c r="D235" s="166" t="e">
        <f>VLOOKUP("resto de europa",#REF!,6,FALSE)/VLOOKUP("resto de europa",#REF!,6,FALSE)-1</f>
        <v>#REF!</v>
      </c>
      <c r="E235" s="167" t="e">
        <f>VLOOKUP("resto de europa",#REF!,6,FALSE)</f>
        <v>#REF!</v>
      </c>
      <c r="F235" s="166" t="e">
        <f>VLOOKUP("resto de europa",#REF!,5,FALSE)/VLOOKUP("resto de europa",#REF!,5,FALSE)-1</f>
        <v>#REF!</v>
      </c>
      <c r="G235" s="166"/>
      <c r="H235" s="166" t="e">
        <f>VLOOKUP("resto de europa",#REF!,4,FALSE)/VLOOKUP("resto de europa",#REF!,4,FALSE)-1</f>
        <v>#REF!</v>
      </c>
      <c r="I235" s="167" t="e">
        <f>VLOOKUP("resto de europa",#REF!,4,FALSE)</f>
        <v>#REF!</v>
      </c>
      <c r="J235" s="166" t="e">
        <f>VLOOKUP("resto de europa",#REF!,3,FALSE)/VLOOKUP("resto de europa",#REF!,3,FALSE)-1</f>
        <v>#REF!</v>
      </c>
      <c r="K235" s="167" t="e">
        <f>VLOOKUP("resto de europa",#REF!,3,FALSE)</f>
        <v>#REF!</v>
      </c>
      <c r="L235" s="166" t="e">
        <f>VLOOKUP("resto de europa",#REF!,2,FALSE)/VLOOKUP("resto de europa",#REF!,2,FALSE)-1</f>
        <v>#REF!</v>
      </c>
      <c r="M235" s="167" t="e">
        <f>VLOOKUP("resto de europa",#REF!,2,FALSE)</f>
        <v>#REF!</v>
      </c>
      <c r="N235" s="166" t="e">
        <f>VLOOKUP("resto de europa",#REF!,7,FALSE)/VLOOKUP("resto de europa",#REF!,7,FALSE)-1</f>
        <v>#REF!</v>
      </c>
      <c r="O235" s="167" t="e">
        <f>VLOOKUP("resto de europa",#REF!,7,FALSE)</f>
        <v>#REF!</v>
      </c>
      <c r="P235" s="166" t="e">
        <f>VLOOKUP("resto de europa",#REF!,8,FALSE)/VLOOKUP("resto de europa",#REF!,8,FALSE)-1</f>
        <v>#REF!</v>
      </c>
      <c r="Q235" s="167" t="e">
        <f>VLOOKUP("resto de europa",#REF!,8,FALSE)</f>
        <v>#REF!</v>
      </c>
    </row>
    <row r="236" spans="3:17" ht="24" hidden="1" customHeight="1" x14ac:dyDescent="0.2">
      <c r="C236" s="165" t="s">
        <v>57</v>
      </c>
      <c r="D236" s="166" t="e">
        <f>VLOOKUP("usa",#REF!,6,FALSE)/VLOOKUP("usa",#REF!,6,FALSE)-1</f>
        <v>#REF!</v>
      </c>
      <c r="E236" s="167" t="e">
        <f>VLOOKUP("usa",#REF!,6,FALSE)</f>
        <v>#REF!</v>
      </c>
      <c r="F236" s="166" t="e">
        <f>VLOOKUP("usa",#REF!,5,FALSE)/VLOOKUP("usa",#REF!,5,FALSE)-1</f>
        <v>#REF!</v>
      </c>
      <c r="G236" s="166"/>
      <c r="H236" s="166" t="e">
        <f>VLOOKUP("usa",#REF!,4,FALSE)/VLOOKUP("usa",#REF!,4,FALSE)-1</f>
        <v>#REF!</v>
      </c>
      <c r="I236" s="167" t="e">
        <f>VLOOKUP("usa",#REF!,4,FALSE)</f>
        <v>#REF!</v>
      </c>
      <c r="J236" s="166" t="e">
        <f>VLOOKUP("usa",#REF!,3,FALSE)/VLOOKUP("usa",#REF!,3,FALSE)-1</f>
        <v>#REF!</v>
      </c>
      <c r="K236" s="167" t="e">
        <f>VLOOKUP("usa",#REF!,3,FALSE)</f>
        <v>#REF!</v>
      </c>
      <c r="L236" s="166" t="e">
        <f>VLOOKUP("usa",#REF!,2,FALSE)/VLOOKUP("usa",#REF!,2,FALSE)-1</f>
        <v>#REF!</v>
      </c>
      <c r="M236" s="167" t="e">
        <f>VLOOKUP("usa",#REF!,2,FALSE)</f>
        <v>#REF!</v>
      </c>
      <c r="N236" s="166" t="e">
        <f>VLOOKUP("usa",#REF!,7,FALSE)/VLOOKUP("usa",#REF!,7,FALSE)-1</f>
        <v>#REF!</v>
      </c>
      <c r="O236" s="167" t="e">
        <f>VLOOKUP("usa",#REF!,7,FALSE)</f>
        <v>#REF!</v>
      </c>
      <c r="P236" s="166" t="e">
        <f>VLOOKUP("usa",#REF!,8,FALSE)/VLOOKUP("usa",#REF!,8,FALSE)-1</f>
        <v>#REF!</v>
      </c>
      <c r="Q236" s="167" t="e">
        <f>VLOOKUP("usa",#REF!,8,FALSE)</f>
        <v>#REF!</v>
      </c>
    </row>
    <row r="237" spans="3:17" ht="24" hidden="1" customHeight="1" x14ac:dyDescent="0.2">
      <c r="C237" s="165" t="s">
        <v>58</v>
      </c>
      <c r="D237" s="166" t="e">
        <f>VLOOKUP("resto de america",#REF!,6,FALSE)/VLOOKUP("resto de america",#REF!,6,FALSE)-1</f>
        <v>#REF!</v>
      </c>
      <c r="E237" s="167" t="e">
        <f>VLOOKUP("resto de america",#REF!,6,FALSE)</f>
        <v>#REF!</v>
      </c>
      <c r="F237" s="166" t="e">
        <f>VLOOKUP("resto de america",#REF!,5,FALSE)/VLOOKUP("resto de america",#REF!,5,FALSE)-1</f>
        <v>#REF!</v>
      </c>
      <c r="G237" s="166"/>
      <c r="H237" s="166" t="e">
        <f>VLOOKUP("resto de america",#REF!,4,FALSE)/VLOOKUP("resto de america",#REF!,4,FALSE)-1</f>
        <v>#REF!</v>
      </c>
      <c r="I237" s="167" t="e">
        <f>VLOOKUP("resto de america",#REF!,4,FALSE)</f>
        <v>#REF!</v>
      </c>
      <c r="J237" s="166" t="e">
        <f>VLOOKUP("resto de america",#REF!,3,FALSE)/VLOOKUP("resto de america",#REF!,3,FALSE)-1</f>
        <v>#REF!</v>
      </c>
      <c r="K237" s="167" t="e">
        <f>VLOOKUP("resto de america",#REF!,3,FALSE)</f>
        <v>#REF!</v>
      </c>
      <c r="L237" s="166" t="e">
        <f>VLOOKUP("resto de america",#REF!,2,FALSE)/VLOOKUP("resto de america",#REF!,2,FALSE)-1</f>
        <v>#REF!</v>
      </c>
      <c r="M237" s="167" t="e">
        <f>VLOOKUP("resto de america",#REF!,2,FALSE)</f>
        <v>#REF!</v>
      </c>
      <c r="N237" s="166" t="e">
        <f>VLOOKUP("resto de america",#REF!,7,FALSE)/VLOOKUP("resto de america",#REF!,7,FALSE)-1</f>
        <v>#REF!</v>
      </c>
      <c r="O237" s="167" t="e">
        <f>VLOOKUP("resto de america",#REF!,7,FALSE)</f>
        <v>#REF!</v>
      </c>
      <c r="P237" s="166" t="e">
        <f>VLOOKUP("resto de america",#REF!,8,FALSE)/VLOOKUP("resto de america",#REF!,8,FALSE)-1</f>
        <v>#REF!</v>
      </c>
      <c r="Q237" s="167" t="e">
        <f>VLOOKUP("resto de america",#REF!,8,FALSE)</f>
        <v>#REF!</v>
      </c>
    </row>
    <row r="238" spans="3:17" ht="24" hidden="1" customHeight="1" x14ac:dyDescent="0.2">
      <c r="C238" s="165" t="s">
        <v>59</v>
      </c>
      <c r="D238" s="166" t="e">
        <f>VLOOKUP("resto del mundo",#REF!,6,FALSE)/VLOOKUP("resto del mundo",#REF!,6,FALSE)-1</f>
        <v>#REF!</v>
      </c>
      <c r="E238" s="167" t="e">
        <f>VLOOKUP("resto del mundo",#REF!,6,FALSE)</f>
        <v>#REF!</v>
      </c>
      <c r="F238" s="166" t="e">
        <f>VLOOKUP("resto del mundo",#REF!,5,FALSE)/VLOOKUP("resto del mundo",#REF!,5,FALSE)-1</f>
        <v>#REF!</v>
      </c>
      <c r="G238" s="166"/>
      <c r="H238" s="166" t="e">
        <f>VLOOKUP("resto del mundo",#REF!,4,FALSE)/VLOOKUP("resto del mundo",#REF!,4,FALSE)-1</f>
        <v>#REF!</v>
      </c>
      <c r="I238" s="167" t="e">
        <f>VLOOKUP("resto del mundo",#REF!,4,FALSE)</f>
        <v>#REF!</v>
      </c>
      <c r="J238" s="166" t="e">
        <f>VLOOKUP("resto del mundo",#REF!,3,FALSE)/VLOOKUP("resto del mundo",#REF!,3,FALSE)-1</f>
        <v>#REF!</v>
      </c>
      <c r="K238" s="167" t="e">
        <f>VLOOKUP("resto del mundo",#REF!,3,FALSE)</f>
        <v>#REF!</v>
      </c>
      <c r="L238" s="166" t="e">
        <f>VLOOKUP("resto del mundo",#REF!,2,FALSE)/VLOOKUP("resto del mundo",#REF!,2,FALSE)-1</f>
        <v>#REF!</v>
      </c>
      <c r="M238" s="167" t="e">
        <f>VLOOKUP("resto del mundo",#REF!,2,FALSE)</f>
        <v>#REF!</v>
      </c>
      <c r="N238" s="166" t="e">
        <f>VLOOKUP("resto del mundo",#REF!,7,FALSE)/VLOOKUP("resto del mundo",#REF!,7,FALSE)-1</f>
        <v>#REF!</v>
      </c>
      <c r="O238" s="167" t="e">
        <f>VLOOKUP("resto del mundo",#REF!,7,FALSE)</f>
        <v>#REF!</v>
      </c>
      <c r="P238" s="166" t="e">
        <f>VLOOKUP("resto del mundo",#REF!,8,FALSE)/VLOOKUP("resto del mundo",#REF!,8,FALSE)-1</f>
        <v>#REF!</v>
      </c>
      <c r="Q238" s="167" t="e">
        <f>VLOOKUP("resto del mundo",#REF!,8,FALSE)</f>
        <v>#REF!</v>
      </c>
    </row>
    <row r="239" spans="3:17" ht="24" hidden="1" customHeight="1" x14ac:dyDescent="0.2">
      <c r="C239" s="165" t="s">
        <v>60</v>
      </c>
      <c r="D239" s="166" t="e">
        <f>(VLOOKUP("total",#REF!,6,FALSE)-VLOOKUP("españa",#REF!,6,FALSE))/(VLOOKUP("total",#REF!,6,FALSE)-VLOOKUP("españa",#REF!,6,FALSE))-1</f>
        <v>#REF!</v>
      </c>
      <c r="E239" s="167" t="e">
        <f>VLOOKUP("total",#REF!,6,FALSE)-VLOOKUP("españa",#REF!,6,FALSE)</f>
        <v>#REF!</v>
      </c>
      <c r="F239" s="166" t="e">
        <f>(VLOOKUP("total",#REF!,5,FALSE)-VLOOKUP("españa",#REF!,5,FALSE))/(VLOOKUP("total",#REF!,5,FALSE)-VLOOKUP("españa",#REF!,5,FALSE))-1</f>
        <v>#REF!</v>
      </c>
      <c r="G239" s="166"/>
      <c r="H239" s="166" t="e">
        <f>(VLOOKUP("total",#REF!,4,FALSE)-VLOOKUP("españa",#REF!,4,FALSE))/(VLOOKUP("total",#REF!,4,FALSE)-VLOOKUP("españa",#REF!,4,FALSE))-1</f>
        <v>#REF!</v>
      </c>
      <c r="I239" s="167" t="e">
        <f>VLOOKUP("total",#REF!,4,FALSE)-VLOOKUP("españa",#REF!,4,FALSE)</f>
        <v>#REF!</v>
      </c>
      <c r="J239" s="166" t="e">
        <f>(VLOOKUP("total",#REF!,3,FALSE)-VLOOKUP("españa",#REF!,3,FALSE))/(VLOOKUP("total",#REF!,3,FALSE)-VLOOKUP("españa",#REF!,3,FALSE))-1</f>
        <v>#REF!</v>
      </c>
      <c r="K239" s="167" t="e">
        <f>VLOOKUP("total",#REF!,3,FALSE)-VLOOKUP("españa",#REF!,3,FALSE)</f>
        <v>#REF!</v>
      </c>
      <c r="L239" s="166" t="e">
        <f>(VLOOKUP("total",#REF!,2,FALSE)-VLOOKUP("españa",#REF!,2,FALSE))/(VLOOKUP("total",#REF!,2,FALSE)-VLOOKUP("españa",#REF!,2,FALSE))-1</f>
        <v>#REF!</v>
      </c>
      <c r="M239" s="167" t="e">
        <f>VLOOKUP("total",#REF!,2,FALSE)-VLOOKUP("españa",#REF!,2,FALSE)</f>
        <v>#REF!</v>
      </c>
      <c r="N239" s="166" t="e">
        <f>(VLOOKUP("total",#REF!,7,FALSE)-VLOOKUP("españa",#REF!,7,FALSE))/(VLOOKUP("total",#REF!,7,FALSE)-VLOOKUP("españa",#REF!,7,FALSE))-1</f>
        <v>#REF!</v>
      </c>
      <c r="O239" s="167" t="e">
        <f>VLOOKUP("total",#REF!,7,FALSE)-VLOOKUP("españa",#REF!,7,FALSE)</f>
        <v>#REF!</v>
      </c>
      <c r="P239" s="166" t="e">
        <f>(VLOOKUP("total",#REF!,8,FALSE)-VLOOKUP("españa",#REF!,8,FALSE))/(VLOOKUP("total",#REF!,8,FALSE)-VLOOKUP("españa",#REF!,8,FALSE))-1</f>
        <v>#REF!</v>
      </c>
      <c r="Q239" s="167" t="e">
        <f>VLOOKUP("total",#REF!,8,FALSE)-VLOOKUP("españa",#REF!,8,FALSE)</f>
        <v>#REF!</v>
      </c>
    </row>
    <row r="240" spans="3:17" ht="24" hidden="1" customHeight="1" x14ac:dyDescent="0.2">
      <c r="C240" s="165" t="s">
        <v>8</v>
      </c>
      <c r="D240" s="166" t="e">
        <f>VLOOKUP("total",#REF!,6,FALSE)/VLOOKUP("total",#REF!,6,FALSE)-1</f>
        <v>#REF!</v>
      </c>
      <c r="E240" s="167" t="e">
        <f>VLOOKUP("total",#REF!,6,FALSE)</f>
        <v>#REF!</v>
      </c>
      <c r="F240" s="166" t="e">
        <f>VLOOKUP("total",#REF!,5,FALSE)/VLOOKUP("total",#REF!,5,FALSE)-1</f>
        <v>#REF!</v>
      </c>
      <c r="G240" s="166"/>
      <c r="H240" s="166" t="e">
        <f>VLOOKUP("total",#REF!,4,FALSE)/VLOOKUP("total",#REF!,4,FALSE)-1</f>
        <v>#REF!</v>
      </c>
      <c r="I240" s="167" t="e">
        <f>VLOOKUP("total",#REF!,4,FALSE)</f>
        <v>#REF!</v>
      </c>
      <c r="J240" s="166" t="e">
        <f>VLOOKUP("total",#REF!,3,FALSE)/VLOOKUP("total",#REF!,3,FALSE)-1</f>
        <v>#REF!</v>
      </c>
      <c r="K240" s="167" t="e">
        <f>VLOOKUP("total",#REF!,3,FALSE)</f>
        <v>#REF!</v>
      </c>
      <c r="L240" s="166" t="e">
        <f>VLOOKUP("total",#REF!,2,FALSE)/VLOOKUP("total",#REF!,2,FALSE)-1</f>
        <v>#REF!</v>
      </c>
      <c r="M240" s="167" t="e">
        <f>VLOOKUP("total",#REF!,2,FALSE)</f>
        <v>#REF!</v>
      </c>
      <c r="N240" s="166" t="e">
        <f>VLOOKUP("total",#REF!,7,FALSE)/VLOOKUP("total",#REF!,7,FALSE)-1</f>
        <v>#REF!</v>
      </c>
      <c r="O240" s="167" t="e">
        <f>VLOOKUP("total",#REF!,7,FALSE)</f>
        <v>#REF!</v>
      </c>
      <c r="P240" s="166" t="e">
        <f>VLOOKUP("total",#REF!,8,FALSE)/VLOOKUP("total",#REF!,8,FALSE)-1</f>
        <v>#REF!</v>
      </c>
      <c r="Q240" s="167" t="e">
        <f>VLOOKUP("total",#REF!,8,FALSE)</f>
        <v>#REF!</v>
      </c>
    </row>
    <row r="241" spans="3:13" ht="18" customHeight="1" thickBot="1" x14ac:dyDescent="0.25"/>
    <row r="242" spans="3:13" ht="50.25" customHeight="1" thickBot="1" x14ac:dyDescent="0.25">
      <c r="C242" s="1"/>
      <c r="D242" s="1"/>
      <c r="E242" s="354" t="str">
        <f>$E$1</f>
        <v>INDICADORES TURÍSTICOS DE TENERIFE definitivo</v>
      </c>
      <c r="F242" s="354"/>
      <c r="G242" s="354"/>
      <c r="H242" s="354"/>
      <c r="I242" s="354"/>
      <c r="J242" s="354"/>
      <c r="K242" s="354"/>
      <c r="L242" s="1"/>
      <c r="M242" s="1"/>
    </row>
    <row r="243" spans="3:13" ht="5.25" customHeight="1" thickBot="1" x14ac:dyDescent="0.25"/>
    <row r="244" spans="3:13" ht="28.5" customHeight="1" thickBot="1" x14ac:dyDescent="0.25">
      <c r="C244" s="355" t="s">
        <v>66</v>
      </c>
      <c r="D244" s="356"/>
      <c r="E244" s="356"/>
      <c r="F244" s="356"/>
      <c r="G244" s="356"/>
      <c r="H244" s="356"/>
      <c r="I244" s="356"/>
      <c r="J244" s="356"/>
      <c r="K244" s="356"/>
      <c r="L244" s="356"/>
      <c r="M244" s="357"/>
    </row>
    <row r="245" spans="3:13" ht="5.25" customHeight="1" thickBot="1" x14ac:dyDescent="0.25">
      <c r="C245" s="170"/>
      <c r="D245" s="171"/>
      <c r="E245" s="171"/>
      <c r="F245" s="171"/>
      <c r="G245" s="171"/>
      <c r="H245" s="172"/>
      <c r="I245" s="172"/>
      <c r="J245" s="171"/>
      <c r="K245" s="171"/>
      <c r="L245" s="171"/>
      <c r="M245" s="173"/>
    </row>
    <row r="246" spans="3:13" ht="32.25" customHeight="1" thickTop="1" thickBot="1" x14ac:dyDescent="0.25">
      <c r="C246" s="118"/>
      <c r="D246" s="376" t="s">
        <v>7</v>
      </c>
      <c r="E246" s="377"/>
      <c r="F246" s="376" t="s">
        <v>29</v>
      </c>
      <c r="G246" s="377"/>
      <c r="H246" s="376" t="s">
        <v>30</v>
      </c>
      <c r="I246" s="377"/>
      <c r="J246" s="376" t="s">
        <v>31</v>
      </c>
      <c r="K246" s="377"/>
      <c r="L246" s="376" t="s">
        <v>32</v>
      </c>
      <c r="M246" s="378"/>
    </row>
    <row r="247" spans="3:13" ht="31.5" customHeight="1" thickBot="1" x14ac:dyDescent="0.25">
      <c r="C247" s="119"/>
      <c r="D247" s="174" t="s">
        <v>67</v>
      </c>
      <c r="E247" s="175" t="s">
        <v>68</v>
      </c>
      <c r="F247" s="176" t="s">
        <v>67</v>
      </c>
      <c r="G247" s="175" t="s">
        <v>68</v>
      </c>
      <c r="H247" s="174" t="s">
        <v>67</v>
      </c>
      <c r="I247" s="175" t="s">
        <v>68</v>
      </c>
      <c r="J247" s="174" t="s">
        <v>67</v>
      </c>
      <c r="K247" s="175" t="s">
        <v>68</v>
      </c>
      <c r="L247" s="174" t="s">
        <v>67</v>
      </c>
      <c r="M247" s="177" t="s">
        <v>68</v>
      </c>
    </row>
    <row r="248" spans="3:13" ht="19.5" thickTop="1" thickBot="1" x14ac:dyDescent="0.25">
      <c r="C248" s="124" t="s">
        <v>35</v>
      </c>
      <c r="D248" s="178">
        <v>0.23691022183729307</v>
      </c>
      <c r="E248" s="179">
        <v>0.19403382468096309</v>
      </c>
      <c r="F248" s="180">
        <v>0.66780623478966272</v>
      </c>
      <c r="G248" s="179">
        <v>0.61318517413677376</v>
      </c>
      <c r="H248" s="178">
        <v>0.58540255831452215</v>
      </c>
      <c r="I248" s="179">
        <v>0.50467559455091204</v>
      </c>
      <c r="J248" s="178">
        <v>0.52742413672828736</v>
      </c>
      <c r="K248" s="179">
        <v>0.43745147016175051</v>
      </c>
      <c r="L248" s="181">
        <v>0.14582878961725315</v>
      </c>
      <c r="M248" s="182">
        <v>0.11171451782434769</v>
      </c>
    </row>
    <row r="249" spans="3:13" ht="26.25" thickBot="1" x14ac:dyDescent="0.25">
      <c r="C249" s="183" t="s">
        <v>69</v>
      </c>
      <c r="D249" s="184">
        <v>7.440930415234788E-2</v>
      </c>
      <c r="E249" s="185">
        <v>5.8997494401750547E-2</v>
      </c>
      <c r="F249" s="186"/>
      <c r="G249" s="185"/>
      <c r="H249" s="184"/>
      <c r="I249" s="185"/>
      <c r="J249" s="184"/>
      <c r="K249" s="185"/>
      <c r="L249" s="187"/>
      <c r="M249" s="188"/>
    </row>
    <row r="250" spans="3:13" ht="26.25" thickBot="1" x14ac:dyDescent="0.25">
      <c r="C250" s="183" t="s">
        <v>38</v>
      </c>
      <c r="D250" s="184">
        <v>3.6388614496989678E-2</v>
      </c>
      <c r="E250" s="185">
        <v>2.664394648315142E-2</v>
      </c>
      <c r="F250" s="189"/>
      <c r="G250" s="185"/>
      <c r="H250" s="184"/>
      <c r="I250" s="185"/>
      <c r="J250" s="184"/>
      <c r="K250" s="185"/>
      <c r="L250" s="190"/>
      <c r="M250" s="188"/>
    </row>
    <row r="251" spans="3:13" ht="18.75" thickBot="1" x14ac:dyDescent="0.25">
      <c r="C251" s="183" t="s">
        <v>39</v>
      </c>
      <c r="D251" s="184">
        <v>0.12611230318795552</v>
      </c>
      <c r="E251" s="185">
        <v>0.10839238379601794</v>
      </c>
      <c r="F251" s="189"/>
      <c r="G251" s="185"/>
      <c r="H251" s="184"/>
      <c r="I251" s="185"/>
      <c r="J251" s="184"/>
      <c r="K251" s="185"/>
      <c r="L251" s="190"/>
      <c r="M251" s="188"/>
    </row>
    <row r="252" spans="3:13" ht="18.75" thickBot="1" x14ac:dyDescent="0.25">
      <c r="C252" s="191" t="s">
        <v>40</v>
      </c>
      <c r="D252" s="192">
        <v>4.4382221522351044E-2</v>
      </c>
      <c r="E252" s="193">
        <v>4.4644600024979976E-2</v>
      </c>
      <c r="F252" s="194">
        <v>8.6916212770888866E-3</v>
      </c>
      <c r="G252" s="193">
        <v>1.2961443806398687E-2</v>
      </c>
      <c r="H252" s="192">
        <v>3.0599448206671685E-2</v>
      </c>
      <c r="I252" s="193">
        <v>3.3999076425767723E-2</v>
      </c>
      <c r="J252" s="192">
        <v>1.3893733286827113E-2</v>
      </c>
      <c r="K252" s="193">
        <v>1.6722329806441956E-2</v>
      </c>
      <c r="L252" s="195">
        <v>5.3133820735781725E-2</v>
      </c>
      <c r="M252" s="196">
        <v>5.2612530753208153E-2</v>
      </c>
    </row>
    <row r="253" spans="3:13" ht="24" customHeight="1" thickBot="1" x14ac:dyDescent="0.25">
      <c r="C253" s="197" t="s">
        <v>41</v>
      </c>
      <c r="D253" s="184">
        <v>3.5999350432061102E-2</v>
      </c>
      <c r="E253" s="185">
        <v>3.868829703134688E-2</v>
      </c>
      <c r="F253" s="189">
        <v>6.5476880287402943E-3</v>
      </c>
      <c r="G253" s="185">
        <v>9.5607427846968462E-3</v>
      </c>
      <c r="H253" s="184">
        <v>1.6052169551040881E-2</v>
      </c>
      <c r="I253" s="185">
        <v>2.0030016162549066E-2</v>
      </c>
      <c r="J253" s="184">
        <v>9.1704452970584813E-3</v>
      </c>
      <c r="K253" s="185">
        <v>1.245638161526012E-2</v>
      </c>
      <c r="L253" s="190">
        <v>4.3692373826931037E-2</v>
      </c>
      <c r="M253" s="188">
        <v>4.6277081111466181E-2</v>
      </c>
    </row>
    <row r="254" spans="3:13" ht="24" customHeight="1" thickBot="1" x14ac:dyDescent="0.25">
      <c r="C254" s="191" t="s">
        <v>42</v>
      </c>
      <c r="D254" s="192">
        <v>8.2970001771548924E-2</v>
      </c>
      <c r="E254" s="193">
        <v>8.8496422403896283E-2</v>
      </c>
      <c r="F254" s="194">
        <v>4.1603893846332139E-2</v>
      </c>
      <c r="G254" s="193">
        <v>5.2979342232828699E-2</v>
      </c>
      <c r="H254" s="192">
        <v>9.7817908201655382E-2</v>
      </c>
      <c r="I254" s="193">
        <v>0.10355576079427384</v>
      </c>
      <c r="J254" s="192">
        <v>0.15009882571793978</v>
      </c>
      <c r="K254" s="193">
        <v>0.17394965058516459</v>
      </c>
      <c r="L254" s="195">
        <v>7.043945241504436E-2</v>
      </c>
      <c r="M254" s="196">
        <v>7.2952962510924854E-2</v>
      </c>
    </row>
    <row r="255" spans="3:13" ht="24" customHeight="1" thickBot="1" x14ac:dyDescent="0.25">
      <c r="C255" s="197" t="s">
        <v>43</v>
      </c>
      <c r="D255" s="184">
        <v>4.4323169891541836E-2</v>
      </c>
      <c r="E255" s="185">
        <v>4.5005089482907039E-2</v>
      </c>
      <c r="F255" s="189">
        <v>3.430293197357747E-2</v>
      </c>
      <c r="G255" s="185">
        <v>4.362741442314863E-2</v>
      </c>
      <c r="H255" s="184">
        <v>8.5778781038374718E-2</v>
      </c>
      <c r="I255" s="185">
        <v>9.3742784576310315E-2</v>
      </c>
      <c r="J255" s="184">
        <v>5.7754912219509361E-2</v>
      </c>
      <c r="K255" s="185">
        <v>6.0242485476130335E-2</v>
      </c>
      <c r="L255" s="190">
        <v>4.1426047267290621E-2</v>
      </c>
      <c r="M255" s="188">
        <v>4.1145771169180181E-2</v>
      </c>
    </row>
    <row r="256" spans="3:13" ht="24" customHeight="1" thickBot="1" x14ac:dyDescent="0.25">
      <c r="C256" s="191" t="s">
        <v>44</v>
      </c>
      <c r="D256" s="192">
        <v>0.34391669783280515</v>
      </c>
      <c r="E256" s="193">
        <v>0.33649073235452714</v>
      </c>
      <c r="F256" s="194">
        <v>3.2506663576312433E-2</v>
      </c>
      <c r="G256" s="193">
        <v>4.1002311880080543E-2</v>
      </c>
      <c r="H256" s="192">
        <v>3.3860045146726865E-2</v>
      </c>
      <c r="I256" s="193">
        <v>6.5458323712768413E-2</v>
      </c>
      <c r="J256" s="192">
        <v>8.5600511568422272E-2</v>
      </c>
      <c r="K256" s="193">
        <v>9.5572207721740438E-2</v>
      </c>
      <c r="L256" s="195">
        <v>0.42099307458648233</v>
      </c>
      <c r="M256" s="196">
        <v>0.40965487103865955</v>
      </c>
    </row>
    <row r="257" spans="3:13" ht="24" customHeight="1" thickBot="1" x14ac:dyDescent="0.25">
      <c r="C257" s="197" t="s">
        <v>45</v>
      </c>
      <c r="D257" s="184">
        <v>2.7104698541424718E-2</v>
      </c>
      <c r="E257" s="185">
        <v>3.2312420208051779E-2</v>
      </c>
      <c r="F257" s="189">
        <v>4.2299223548499243E-3</v>
      </c>
      <c r="G257" s="185">
        <v>9.3817585203967487E-3</v>
      </c>
      <c r="H257" s="184">
        <v>3.2605969400551793E-3</v>
      </c>
      <c r="I257" s="185">
        <v>6.234126067882706E-3</v>
      </c>
      <c r="J257" s="184">
        <v>5.9731426578304853E-3</v>
      </c>
      <c r="K257" s="185">
        <v>7.7788068442274051E-3</v>
      </c>
      <c r="L257" s="190">
        <v>3.3248938745965968E-2</v>
      </c>
      <c r="M257" s="188">
        <v>3.9275552595205002E-2</v>
      </c>
    </row>
    <row r="258" spans="3:13" ht="24" customHeight="1" thickBot="1" x14ac:dyDescent="0.25">
      <c r="C258" s="191" t="s">
        <v>46</v>
      </c>
      <c r="D258" s="192">
        <v>2.9744798535519555E-2</v>
      </c>
      <c r="E258" s="193">
        <v>3.3156055288013873E-2</v>
      </c>
      <c r="F258" s="194">
        <v>3.2680496001854215E-2</v>
      </c>
      <c r="G258" s="193">
        <v>2.9741218584532776E-2</v>
      </c>
      <c r="H258" s="192">
        <v>3.2605969400551792E-2</v>
      </c>
      <c r="I258" s="193">
        <v>3.2440544908797046E-2</v>
      </c>
      <c r="J258" s="192">
        <v>1.9198349029182653E-2</v>
      </c>
      <c r="K258" s="193">
        <v>2.3074476345504382E-2</v>
      </c>
      <c r="L258" s="195">
        <v>3.1842362289843253E-2</v>
      </c>
      <c r="M258" s="196">
        <v>3.5462924817790849E-2</v>
      </c>
    </row>
    <row r="259" spans="3:13" ht="24" customHeight="1" thickBot="1" x14ac:dyDescent="0.25">
      <c r="C259" s="197" t="s">
        <v>47</v>
      </c>
      <c r="D259" s="184">
        <v>3.5138180816093531E-2</v>
      </c>
      <c r="E259" s="185">
        <v>5.9714854334586565E-2</v>
      </c>
      <c r="F259" s="189">
        <v>2.8276741221462509E-2</v>
      </c>
      <c r="G259" s="185">
        <v>3.496159295995227E-2</v>
      </c>
      <c r="H259" s="184">
        <v>9.7817908201655382E-3</v>
      </c>
      <c r="I259" s="185">
        <v>2.3377972754560147E-2</v>
      </c>
      <c r="J259" s="184">
        <v>2.5912684571561446E-2</v>
      </c>
      <c r="K259" s="185">
        <v>5.7398520015342444E-2</v>
      </c>
      <c r="L259" s="190">
        <v>3.7838487092685481E-2</v>
      </c>
      <c r="M259" s="188">
        <v>6.2394842316414421E-2</v>
      </c>
    </row>
    <row r="260" spans="3:13" ht="24" customHeight="1" thickBot="1" x14ac:dyDescent="0.25">
      <c r="C260" s="198" t="s">
        <v>48</v>
      </c>
      <c r="D260" s="192">
        <v>1.0206090191524122E-2</v>
      </c>
      <c r="E260" s="193">
        <v>1.52041290253098E-2</v>
      </c>
      <c r="F260" s="194">
        <v>1.1994437362382664E-2</v>
      </c>
      <c r="G260" s="193">
        <v>1.2857036318890298E-2</v>
      </c>
      <c r="H260" s="192">
        <v>1.5048908954100827E-3</v>
      </c>
      <c r="I260" s="193">
        <v>5.830062341260679E-3</v>
      </c>
      <c r="J260" s="192">
        <v>8.312986861992791E-3</v>
      </c>
      <c r="K260" s="193">
        <v>1.5248893753566651E-2</v>
      </c>
      <c r="L260" s="195">
        <v>1.0629924993125159E-2</v>
      </c>
      <c r="M260" s="196">
        <v>1.5502697041916766E-2</v>
      </c>
    </row>
    <row r="261" spans="3:13" ht="24" customHeight="1" thickBot="1" x14ac:dyDescent="0.25">
      <c r="C261" s="183" t="s">
        <v>49</v>
      </c>
      <c r="D261" s="184">
        <v>5.7132452807905042E-3</v>
      </c>
      <c r="E261" s="185">
        <v>9.5806430623355081E-3</v>
      </c>
      <c r="F261" s="189">
        <v>6.8953528798238496E-3</v>
      </c>
      <c r="G261" s="185">
        <v>8.0990379595793863E-3</v>
      </c>
      <c r="H261" s="184">
        <v>2.5081514923501377E-4</v>
      </c>
      <c r="I261" s="185">
        <v>2.8284460863541908E-3</v>
      </c>
      <c r="J261" s="184">
        <v>2.935705150563888E-3</v>
      </c>
      <c r="K261" s="185">
        <v>6.1603659734500854E-3</v>
      </c>
      <c r="L261" s="190">
        <v>6.321691937630187E-3</v>
      </c>
      <c r="M261" s="188">
        <v>1.0492667357129932E-2</v>
      </c>
    </row>
    <row r="262" spans="3:13" ht="24" customHeight="1" thickBot="1" x14ac:dyDescent="0.25">
      <c r="C262" s="198" t="s">
        <v>50</v>
      </c>
      <c r="D262" s="192">
        <v>1.1842312461862488E-2</v>
      </c>
      <c r="E262" s="193">
        <v>1.8681132116394716E-2</v>
      </c>
      <c r="F262" s="194">
        <v>5.9103024684204423E-3</v>
      </c>
      <c r="G262" s="193">
        <v>7.0400477291371463E-3</v>
      </c>
      <c r="H262" s="192">
        <v>5.2671181339352894E-3</v>
      </c>
      <c r="I262" s="193">
        <v>1.0909720618794735E-2</v>
      </c>
      <c r="J262" s="192">
        <v>7.3683292640390656E-3</v>
      </c>
      <c r="K262" s="193">
        <v>1.5043080463641211E-2</v>
      </c>
      <c r="L262" s="195">
        <v>1.3221818687553536E-2</v>
      </c>
      <c r="M262" s="196">
        <v>2.0310592964204999E-2</v>
      </c>
    </row>
    <row r="263" spans="3:13" ht="24" customHeight="1" thickBot="1" x14ac:dyDescent="0.25">
      <c r="C263" s="183" t="s">
        <v>51</v>
      </c>
      <c r="D263" s="184">
        <v>7.3765328819164226E-3</v>
      </c>
      <c r="E263" s="185">
        <v>1.6248950130546544E-2</v>
      </c>
      <c r="F263" s="189">
        <v>3.4766485108355546E-3</v>
      </c>
      <c r="G263" s="185">
        <v>6.96547095234544E-3</v>
      </c>
      <c r="H263" s="184">
        <v>2.7589666415851516E-3</v>
      </c>
      <c r="I263" s="185">
        <v>3.8097437081505425E-3</v>
      </c>
      <c r="J263" s="184">
        <v>7.295663294965702E-3</v>
      </c>
      <c r="K263" s="185">
        <v>2.0946179824684497E-2</v>
      </c>
      <c r="L263" s="190">
        <v>7.6650514743766022E-3</v>
      </c>
      <c r="M263" s="188">
        <v>1.608888495316272E-2</v>
      </c>
    </row>
    <row r="264" spans="3:13" ht="24" customHeight="1" thickBot="1" x14ac:dyDescent="0.25">
      <c r="C264" s="191" t="s">
        <v>52</v>
      </c>
      <c r="D264" s="192">
        <v>1.1633171269413224E-2</v>
      </c>
      <c r="E264" s="193">
        <v>9.8454008799831877E-3</v>
      </c>
      <c r="F264" s="194">
        <v>1.1299107660215552E-2</v>
      </c>
      <c r="G264" s="193">
        <v>9.4861660079051391E-3</v>
      </c>
      <c r="H264" s="192">
        <v>2.2322548281916228E-2</v>
      </c>
      <c r="I264" s="193">
        <v>2.2743015469868389E-2</v>
      </c>
      <c r="J264" s="192">
        <v>7.8624578537379378E-3</v>
      </c>
      <c r="K264" s="193">
        <v>8.3214055176671995E-3</v>
      </c>
      <c r="L264" s="195">
        <v>1.233678181628531E-2</v>
      </c>
      <c r="M264" s="196">
        <v>9.9671195746335612E-3</v>
      </c>
    </row>
    <row r="265" spans="3:13" ht="24" customHeight="1" thickBot="1" x14ac:dyDescent="0.25">
      <c r="C265" s="197" t="s">
        <v>53</v>
      </c>
      <c r="D265" s="184">
        <v>5.2014644804440685E-3</v>
      </c>
      <c r="E265" s="185">
        <v>6.2749098589379325E-3</v>
      </c>
      <c r="F265" s="189">
        <v>3.6504809363773322E-3</v>
      </c>
      <c r="G265" s="185">
        <v>5.4739354165112986E-3</v>
      </c>
      <c r="H265" s="184">
        <v>8.0260847755204406E-3</v>
      </c>
      <c r="I265" s="185">
        <v>9.6975294389286537E-3</v>
      </c>
      <c r="J265" s="184">
        <v>6.6998023485641206E-3</v>
      </c>
      <c r="K265" s="185">
        <v>8.6254478777843258E-3</v>
      </c>
      <c r="L265" s="190">
        <v>4.9245980194139163E-3</v>
      </c>
      <c r="M265" s="188">
        <v>5.7858383160910029E-3</v>
      </c>
    </row>
    <row r="266" spans="3:13" ht="24" customHeight="1" thickBot="1" x14ac:dyDescent="0.25">
      <c r="C266" s="191" t="s">
        <v>54</v>
      </c>
      <c r="D266" s="192">
        <v>1.8994941243627346E-3</v>
      </c>
      <c r="E266" s="193">
        <v>2.5914854185005881E-3</v>
      </c>
      <c r="F266" s="194">
        <v>2.3757098157376291E-3</v>
      </c>
      <c r="G266" s="193">
        <v>4.0868073681855467E-3</v>
      </c>
      <c r="H266" s="192">
        <v>2.0065211938801101E-3</v>
      </c>
      <c r="I266" s="193">
        <v>2.3089355806972986E-3</v>
      </c>
      <c r="J266" s="192">
        <v>2.3253110103476338E-3</v>
      </c>
      <c r="K266" s="193">
        <v>2.7925121383065308E-3</v>
      </c>
      <c r="L266" s="195">
        <v>1.7795562804428977E-3</v>
      </c>
      <c r="M266" s="196">
        <v>2.4583315686735022E-3</v>
      </c>
    </row>
    <row r="267" spans="3:13" ht="24" customHeight="1" thickBot="1" x14ac:dyDescent="0.25">
      <c r="C267" s="197" t="s">
        <v>55</v>
      </c>
      <c r="D267" s="184">
        <v>3.1582780544456034E-2</v>
      </c>
      <c r="E267" s="185">
        <v>3.4510508417279262E-2</v>
      </c>
      <c r="F267" s="189">
        <v>1.6398192142774364E-2</v>
      </c>
      <c r="G267" s="185">
        <v>2.2149302707136997E-2</v>
      </c>
      <c r="H267" s="184">
        <v>1.6302984700275896E-2</v>
      </c>
      <c r="I267" s="185">
        <v>1.9799122604479334E-2</v>
      </c>
      <c r="J267" s="184">
        <v>2.7554935472619464E-2</v>
      </c>
      <c r="K267" s="185">
        <v>2.8191743145014173E-2</v>
      </c>
      <c r="L267" s="190">
        <v>3.3479680501689472E-2</v>
      </c>
      <c r="M267" s="188">
        <v>3.6853797612126489E-2</v>
      </c>
    </row>
    <row r="268" spans="3:13" ht="24" customHeight="1" thickBot="1" x14ac:dyDescent="0.25">
      <c r="C268" s="191" t="s">
        <v>56</v>
      </c>
      <c r="D268" s="192">
        <v>4.0745625258350883E-2</v>
      </c>
      <c r="E268" s="193">
        <v>4.6295970819799401E-2</v>
      </c>
      <c r="F268" s="194">
        <v>3.6678641789315097E-2</v>
      </c>
      <c r="G268" s="193">
        <v>3.5215154001044073E-2</v>
      </c>
      <c r="H268" s="192">
        <v>2.4830699774266364E-2</v>
      </c>
      <c r="I268" s="193">
        <v>2.43592703763565E-2</v>
      </c>
      <c r="J268" s="192">
        <v>3.7699104755261018E-2</v>
      </c>
      <c r="K268" s="193">
        <v>4.396452527293649E-2</v>
      </c>
      <c r="L268" s="195">
        <v>4.1830635551298949E-2</v>
      </c>
      <c r="M268" s="196">
        <v>4.7856612084133845E-2</v>
      </c>
    </row>
    <row r="269" spans="3:13" ht="24" customHeight="1" thickBot="1" x14ac:dyDescent="0.25">
      <c r="C269" s="197" t="s">
        <v>57</v>
      </c>
      <c r="D269" s="184">
        <v>5.5828395960868448E-3</v>
      </c>
      <c r="E269" s="185">
        <v>5.5187794814187128E-3</v>
      </c>
      <c r="F269" s="189">
        <v>9.2710626955614783E-3</v>
      </c>
      <c r="G269" s="185">
        <v>9.4563352971884559E-3</v>
      </c>
      <c r="H269" s="184">
        <v>1.1537496864810634E-2</v>
      </c>
      <c r="I269" s="185">
        <v>1.287231586238744E-2</v>
      </c>
      <c r="J269" s="184">
        <v>3.9384955237763055E-3</v>
      </c>
      <c r="K269" s="185">
        <v>3.8075458636206302E-3</v>
      </c>
      <c r="L269" s="190">
        <v>5.6642359761166477E-3</v>
      </c>
      <c r="M269" s="188">
        <v>5.4941881730573017E-3</v>
      </c>
    </row>
    <row r="270" spans="3:13" ht="24" customHeight="1" thickBot="1" x14ac:dyDescent="0.25">
      <c r="C270" s="191" t="s">
        <v>58</v>
      </c>
      <c r="D270" s="192">
        <v>4.5174497569041199E-3</v>
      </c>
      <c r="E270" s="193">
        <v>4.3251255916851089E-3</v>
      </c>
      <c r="F270" s="194">
        <v>1.84841812492757E-2</v>
      </c>
      <c r="G270" s="193">
        <v>1.8316056380043255E-2</v>
      </c>
      <c r="H270" s="192">
        <v>1.0283421118635566E-2</v>
      </c>
      <c r="I270" s="193">
        <v>1.0678827060725005E-2</v>
      </c>
      <c r="J270" s="192">
        <v>5.9731426578304853E-3</v>
      </c>
      <c r="K270" s="193">
        <v>6.7169973712029787E-3</v>
      </c>
      <c r="L270" s="195">
        <v>3.3663009567880746E-3</v>
      </c>
      <c r="M270" s="196">
        <v>2.8240974246233575E-3</v>
      </c>
    </row>
    <row r="271" spans="3:13" ht="24" customHeight="1" thickBot="1" x14ac:dyDescent="0.25">
      <c r="C271" s="197" t="s">
        <v>59</v>
      </c>
      <c r="D271" s="184">
        <v>1.8347833789343147E-2</v>
      </c>
      <c r="E271" s="185">
        <v>1.8095523723123154E-2</v>
      </c>
      <c r="F271" s="199">
        <v>4.5196430640862206E-2</v>
      </c>
      <c r="G271" s="185">
        <v>4.8415243493176226E-2</v>
      </c>
      <c r="H271" s="184">
        <v>9.5309756709305235E-3</v>
      </c>
      <c r="I271" s="185">
        <v>1.4026783652736088E-2</v>
      </c>
      <c r="J271" s="184">
        <v>1.2920009301244042E-2</v>
      </c>
      <c r="K271" s="185">
        <v>1.2933494241905458E-2</v>
      </c>
      <c r="L271" s="200">
        <v>1.8174864320686789E-2</v>
      </c>
      <c r="M271" s="201">
        <v>1.7268961109464097E-2</v>
      </c>
    </row>
    <row r="272" spans="3:13" ht="30.75" customHeight="1" thickBot="1" x14ac:dyDescent="0.25">
      <c r="C272" s="202" t="s">
        <v>60</v>
      </c>
      <c r="D272" s="203">
        <v>0.76308977816270696</v>
      </c>
      <c r="E272" s="204">
        <v>0.80596617531903691</v>
      </c>
      <c r="F272" s="205">
        <v>0.33219376521033728</v>
      </c>
      <c r="G272" s="204">
        <v>0.38681482586322624</v>
      </c>
      <c r="H272" s="203">
        <v>0.41459744168547785</v>
      </c>
      <c r="I272" s="204">
        <v>0.49532440544908796</v>
      </c>
      <c r="J272" s="203">
        <v>0.47257586327171264</v>
      </c>
      <c r="K272" s="204">
        <v>0.56254852983824954</v>
      </c>
      <c r="L272" s="206">
        <v>0.85417121038274679</v>
      </c>
      <c r="M272" s="207">
        <v>0.88828548217565229</v>
      </c>
    </row>
    <row r="273" spans="3:18" ht="24" customHeight="1" thickBot="1" x14ac:dyDescent="0.25">
      <c r="C273" s="208" t="s">
        <v>8</v>
      </c>
      <c r="D273" s="209">
        <v>1</v>
      </c>
      <c r="E273" s="210">
        <v>1</v>
      </c>
      <c r="F273" s="211">
        <v>1</v>
      </c>
      <c r="G273" s="210">
        <v>1</v>
      </c>
      <c r="H273" s="209">
        <v>1</v>
      </c>
      <c r="I273" s="210">
        <v>1</v>
      </c>
      <c r="J273" s="209">
        <v>1</v>
      </c>
      <c r="K273" s="210">
        <v>1</v>
      </c>
      <c r="L273" s="212">
        <v>1</v>
      </c>
      <c r="M273" s="213">
        <v>1</v>
      </c>
    </row>
    <row r="274" spans="3:18" ht="18" customHeight="1" x14ac:dyDescent="0.2">
      <c r="C274" s="214"/>
      <c r="D274" s="215"/>
      <c r="E274" s="216"/>
      <c r="F274" s="215"/>
      <c r="G274" s="215"/>
      <c r="H274" s="215"/>
      <c r="I274" s="216"/>
      <c r="J274" s="215"/>
      <c r="K274" s="216"/>
      <c r="L274" s="215"/>
      <c r="M274" s="216"/>
    </row>
    <row r="275" spans="3:18" ht="5.25" customHeight="1" thickBot="1" x14ac:dyDescent="0.25"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</row>
    <row r="276" spans="3:18" ht="20.100000000000001" customHeight="1" thickBot="1" x14ac:dyDescent="0.25">
      <c r="C276" s="258" t="s">
        <v>70</v>
      </c>
      <c r="D276" s="259"/>
      <c r="E276" s="259"/>
      <c r="F276" s="259"/>
      <c r="G276" s="259"/>
      <c r="H276" s="259"/>
      <c r="I276" s="259"/>
      <c r="J276" s="259"/>
      <c r="K276" s="259"/>
      <c r="L276" s="259"/>
      <c r="M276" s="260"/>
    </row>
    <row r="277" spans="3:18" ht="5.25" customHeight="1" thickBot="1" x14ac:dyDescent="0.25"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02"/>
    </row>
    <row r="278" spans="3:18" ht="45.75" customHeight="1" thickBot="1" x14ac:dyDescent="0.25">
      <c r="C278" s="365" t="s">
        <v>7</v>
      </c>
      <c r="D278" s="366" t="s">
        <v>71</v>
      </c>
      <c r="E278" s="368" t="s">
        <v>72</v>
      </c>
      <c r="F278" s="369"/>
      <c r="G278" s="370"/>
      <c r="H278" s="217">
        <v>1242.1500000000001</v>
      </c>
      <c r="I278" s="218">
        <v>0</v>
      </c>
      <c r="J278" s="219"/>
      <c r="K278" s="219"/>
      <c r="L278" s="219"/>
      <c r="M278" s="371" t="s">
        <v>73</v>
      </c>
      <c r="N278" s="220"/>
      <c r="O278" s="221"/>
      <c r="P278" s="222"/>
      <c r="R278" s="96"/>
    </row>
    <row r="279" spans="3:18" ht="45.75" customHeight="1" thickTop="1" thickBot="1" x14ac:dyDescent="0.25">
      <c r="C279" s="365"/>
      <c r="D279" s="366"/>
      <c r="E279" s="368" t="s">
        <v>74</v>
      </c>
      <c r="F279" s="369"/>
      <c r="G279" s="370"/>
      <c r="H279" s="217">
        <v>316.63</v>
      </c>
      <c r="I279" s="218">
        <v>0.157</v>
      </c>
      <c r="J279" s="219"/>
      <c r="K279" s="219"/>
      <c r="L279" s="219"/>
      <c r="M279" s="372"/>
      <c r="N279" s="220"/>
      <c r="O279" s="221"/>
      <c r="P279" s="222"/>
    </row>
    <row r="280" spans="3:18" ht="45.75" customHeight="1" thickTop="1" thickBot="1" x14ac:dyDescent="0.25">
      <c r="C280" s="365"/>
      <c r="D280" s="366"/>
      <c r="E280" s="368" t="s">
        <v>75</v>
      </c>
      <c r="F280" s="369"/>
      <c r="G280" s="370"/>
      <c r="H280" s="217">
        <v>541.49</v>
      </c>
      <c r="I280" s="218">
        <v>0.104</v>
      </c>
      <c r="J280" s="219"/>
      <c r="K280" s="219" t="s">
        <v>76</v>
      </c>
      <c r="L280" s="219"/>
      <c r="M280" s="372"/>
      <c r="N280" s="220"/>
      <c r="O280" s="221"/>
      <c r="P280" s="222"/>
    </row>
    <row r="281" spans="3:18" ht="45.75" customHeight="1" thickTop="1" thickBot="1" x14ac:dyDescent="0.25">
      <c r="C281" s="365"/>
      <c r="D281" s="366"/>
      <c r="E281" s="368" t="s">
        <v>77</v>
      </c>
      <c r="F281" s="369"/>
      <c r="G281" s="370"/>
      <c r="H281" s="217">
        <v>194.47</v>
      </c>
      <c r="I281" s="218">
        <v>-0.16500000000000001</v>
      </c>
      <c r="J281" s="219"/>
      <c r="K281" s="219"/>
      <c r="L281" s="219"/>
      <c r="M281" s="372"/>
      <c r="N281" s="220"/>
      <c r="O281" s="221"/>
      <c r="P281" s="222"/>
    </row>
    <row r="282" spans="3:18" ht="45.75" customHeight="1" thickTop="1" thickBot="1" x14ac:dyDescent="0.25">
      <c r="C282" s="365"/>
      <c r="D282" s="367"/>
      <c r="E282" s="368" t="s">
        <v>78</v>
      </c>
      <c r="F282" s="369"/>
      <c r="G282" s="370"/>
      <c r="H282" s="217">
        <v>189.55</v>
      </c>
      <c r="I282" s="218">
        <v>-0.22900000000000001</v>
      </c>
      <c r="J282" s="219"/>
      <c r="K282" s="219"/>
      <c r="L282" s="219"/>
      <c r="M282" s="372"/>
      <c r="N282" s="220"/>
      <c r="O282" s="221"/>
      <c r="P282" s="222"/>
      <c r="R282" s="96"/>
    </row>
    <row r="283" spans="3:18" ht="45.75" customHeight="1" thickTop="1" thickBot="1" x14ac:dyDescent="0.25">
      <c r="C283" s="365"/>
      <c r="D283" s="374" t="s">
        <v>79</v>
      </c>
      <c r="E283" s="362" t="s">
        <v>72</v>
      </c>
      <c r="F283" s="363"/>
      <c r="G283" s="364"/>
      <c r="H283" s="223">
        <v>151.29</v>
      </c>
      <c r="I283" s="224">
        <v>0.20499999999999999</v>
      </c>
      <c r="J283" s="225"/>
      <c r="K283" s="225"/>
      <c r="L283" s="225"/>
      <c r="M283" s="372"/>
      <c r="N283" s="220"/>
      <c r="O283" s="221"/>
      <c r="P283" s="222"/>
      <c r="R283" s="96"/>
    </row>
    <row r="284" spans="3:18" ht="45.75" customHeight="1" thickTop="1" thickBot="1" x14ac:dyDescent="0.25">
      <c r="C284" s="365"/>
      <c r="D284" s="375"/>
      <c r="E284" s="362" t="s">
        <v>74</v>
      </c>
      <c r="F284" s="363"/>
      <c r="G284" s="364"/>
      <c r="H284" s="223">
        <v>38.79</v>
      </c>
      <c r="I284" s="224">
        <v>0.36599999999999999</v>
      </c>
      <c r="J284" s="225"/>
      <c r="K284" s="225"/>
      <c r="L284" s="225"/>
      <c r="M284" s="372"/>
      <c r="N284" s="220"/>
      <c r="O284" s="221"/>
      <c r="P284" s="222"/>
      <c r="R284" s="96"/>
    </row>
    <row r="285" spans="3:18" ht="45.75" customHeight="1" thickTop="1" thickBot="1" x14ac:dyDescent="0.25">
      <c r="C285" s="365"/>
      <c r="D285" s="375"/>
      <c r="E285" s="362" t="s">
        <v>75</v>
      </c>
      <c r="F285" s="363"/>
      <c r="G285" s="364"/>
      <c r="H285" s="223">
        <v>66.89</v>
      </c>
      <c r="I285" s="224">
        <v>0.32700000000000001</v>
      </c>
      <c r="J285" s="225"/>
      <c r="K285" s="225"/>
      <c r="L285" s="225"/>
      <c r="M285" s="372"/>
      <c r="N285" s="220"/>
      <c r="O285" s="221"/>
      <c r="P285" s="222"/>
      <c r="R285" s="96"/>
    </row>
    <row r="286" spans="3:18" ht="45.75" customHeight="1" thickTop="1" thickBot="1" x14ac:dyDescent="0.25">
      <c r="C286" s="365"/>
      <c r="D286" s="375"/>
      <c r="E286" s="362" t="s">
        <v>77</v>
      </c>
      <c r="F286" s="363"/>
      <c r="G286" s="364"/>
      <c r="H286" s="223">
        <v>22.31</v>
      </c>
      <c r="I286" s="224">
        <v>1.2E-2</v>
      </c>
      <c r="M286" s="372"/>
      <c r="N286" s="220"/>
      <c r="O286" s="221"/>
      <c r="P286" s="222"/>
      <c r="R286" s="96"/>
    </row>
    <row r="287" spans="3:18" ht="45.75" customHeight="1" thickTop="1" thickBot="1" x14ac:dyDescent="0.25">
      <c r="C287" s="365"/>
      <c r="D287" s="375"/>
      <c r="E287" s="362" t="s">
        <v>78</v>
      </c>
      <c r="F287" s="363"/>
      <c r="G287" s="364"/>
      <c r="H287" s="223">
        <f>H283-H284-H285-H286</f>
        <v>23.3</v>
      </c>
      <c r="I287" s="224">
        <v>-5.8999999999999997E-2</v>
      </c>
      <c r="M287" s="373"/>
      <c r="N287" s="220"/>
      <c r="O287" s="221"/>
      <c r="P287" s="222"/>
    </row>
    <row r="288" spans="3:18" ht="5.25" customHeight="1" thickTop="1" thickBot="1" x14ac:dyDescent="0.25">
      <c r="C288" s="226"/>
      <c r="D288" s="226"/>
      <c r="E288" s="226"/>
      <c r="F288" s="226"/>
      <c r="G288" s="226"/>
      <c r="H288" s="226"/>
      <c r="I288" s="226"/>
      <c r="J288" s="226"/>
      <c r="K288" s="226"/>
      <c r="L288" s="226"/>
      <c r="M288" s="227"/>
      <c r="O288" s="96"/>
      <c r="R288" s="96"/>
    </row>
    <row r="289" spans="3:20" ht="19.5" customHeight="1" thickBot="1" x14ac:dyDescent="0.25">
      <c r="C289" s="258" t="s">
        <v>80</v>
      </c>
      <c r="D289" s="259"/>
      <c r="E289" s="259"/>
      <c r="F289" s="259"/>
      <c r="G289" s="259"/>
      <c r="H289" s="259"/>
      <c r="I289" s="259"/>
      <c r="J289" s="259"/>
      <c r="K289" s="259"/>
      <c r="L289" s="259"/>
      <c r="M289" s="260"/>
      <c r="O289" s="96"/>
      <c r="P289" s="96"/>
      <c r="Q289" s="96"/>
    </row>
    <row r="290" spans="3:20" ht="5.25" customHeight="1" x14ac:dyDescent="0.2"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02"/>
      <c r="O290" s="96"/>
      <c r="P290" s="96"/>
      <c r="Q290" s="96"/>
    </row>
    <row r="291" spans="3:20" s="96" customFormat="1" ht="47.25" customHeight="1" thickBot="1" x14ac:dyDescent="0.25">
      <c r="C291" s="261" t="s">
        <v>7</v>
      </c>
      <c r="D291" s="358"/>
      <c r="E291" s="228" t="s">
        <v>8</v>
      </c>
      <c r="F291" s="359">
        <v>154279</v>
      </c>
      <c r="G291" s="360"/>
      <c r="H291" s="218">
        <v>-5.4268935585905842E-2</v>
      </c>
      <c r="I291" s="361" t="s">
        <v>98</v>
      </c>
      <c r="J291" s="311"/>
      <c r="K291" s="311"/>
      <c r="L291" s="312"/>
      <c r="M291" s="270" t="s">
        <v>104</v>
      </c>
      <c r="Q291" s="229"/>
    </row>
    <row r="292" spans="3:20" s="96" customFormat="1" ht="47.25" customHeight="1" thickTop="1" thickBot="1" x14ac:dyDescent="0.25">
      <c r="C292" s="261"/>
      <c r="D292" s="358"/>
      <c r="E292" s="230" t="s">
        <v>81</v>
      </c>
      <c r="F292" s="349">
        <v>71891</v>
      </c>
      <c r="G292" s="350"/>
      <c r="H292" s="218">
        <v>-0.1625195125929032</v>
      </c>
      <c r="I292" s="351" t="s">
        <v>99</v>
      </c>
      <c r="J292" s="347"/>
      <c r="K292" s="347"/>
      <c r="L292" s="348"/>
      <c r="M292" s="270"/>
      <c r="O292" s="231"/>
      <c r="Q292" s="229"/>
    </row>
    <row r="293" spans="3:20" s="96" customFormat="1" ht="47.25" customHeight="1" thickTop="1" thickBot="1" x14ac:dyDescent="0.25">
      <c r="C293" s="261"/>
      <c r="D293" s="358"/>
      <c r="E293" s="232" t="s">
        <v>82</v>
      </c>
      <c r="F293" s="344">
        <v>39635</v>
      </c>
      <c r="G293" s="345"/>
      <c r="H293" s="218">
        <v>-0.16813583511732355</v>
      </c>
      <c r="I293" s="346" t="s">
        <v>100</v>
      </c>
      <c r="J293" s="347"/>
      <c r="K293" s="347"/>
      <c r="L293" s="348"/>
      <c r="M293" s="270"/>
      <c r="O293" s="231"/>
      <c r="Q293" s="229"/>
    </row>
    <row r="294" spans="3:20" s="96" customFormat="1" ht="47.25" customHeight="1" thickTop="1" thickBot="1" x14ac:dyDescent="0.25">
      <c r="C294" s="261"/>
      <c r="D294" s="358"/>
      <c r="E294" s="230" t="s">
        <v>83</v>
      </c>
      <c r="F294" s="349">
        <v>35598</v>
      </c>
      <c r="G294" s="350"/>
      <c r="H294" s="218">
        <v>0.26904566682114717</v>
      </c>
      <c r="I294" s="351" t="s">
        <v>101</v>
      </c>
      <c r="J294" s="347"/>
      <c r="K294" s="347"/>
      <c r="L294" s="348"/>
      <c r="M294" s="270"/>
      <c r="O294" s="231"/>
      <c r="Q294" s="229"/>
    </row>
    <row r="295" spans="3:20" s="96" customFormat="1" ht="47.25" customHeight="1" thickTop="1" thickBot="1" x14ac:dyDescent="0.25">
      <c r="C295" s="261"/>
      <c r="D295" s="358"/>
      <c r="E295" s="232" t="s">
        <v>84</v>
      </c>
      <c r="F295" s="344">
        <v>1130</v>
      </c>
      <c r="G295" s="345"/>
      <c r="H295" s="218">
        <v>1.0810313075506444</v>
      </c>
      <c r="I295" s="346" t="s">
        <v>102</v>
      </c>
      <c r="J295" s="347"/>
      <c r="K295" s="347"/>
      <c r="L295" s="348"/>
      <c r="M295" s="270"/>
      <c r="O295" s="231"/>
      <c r="Q295" s="229"/>
    </row>
    <row r="296" spans="3:20" s="96" customFormat="1" ht="47.25" customHeight="1" thickTop="1" thickBot="1" x14ac:dyDescent="0.25">
      <c r="C296" s="261"/>
      <c r="D296" s="358"/>
      <c r="E296" s="230" t="s">
        <v>85</v>
      </c>
      <c r="F296" s="349">
        <v>6025</v>
      </c>
      <c r="G296" s="350"/>
      <c r="H296" s="218">
        <v>4.7380952380952381</v>
      </c>
      <c r="I296" s="351" t="s">
        <v>103</v>
      </c>
      <c r="J296" s="352"/>
      <c r="K296" s="352"/>
      <c r="L296" s="353"/>
      <c r="M296" s="270"/>
      <c r="O296" s="231"/>
      <c r="Q296" s="229"/>
    </row>
    <row r="297" spans="3:20" ht="5.25" customHeight="1" thickTop="1" x14ac:dyDescent="0.2">
      <c r="C297" s="56" t="s">
        <v>86</v>
      </c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233"/>
      <c r="P297" s="96"/>
      <c r="Q297" s="96"/>
      <c r="R297" s="96"/>
    </row>
    <row r="298" spans="3:20" ht="18.75" customHeight="1" thickBot="1" x14ac:dyDescent="0.25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233"/>
      <c r="P298" s="96"/>
      <c r="Q298" s="96"/>
      <c r="R298" s="96"/>
    </row>
    <row r="299" spans="3:20" ht="50.25" customHeight="1" thickBot="1" x14ac:dyDescent="0.25">
      <c r="C299" s="1"/>
      <c r="D299" s="1"/>
      <c r="E299" s="354" t="str">
        <f>E242</f>
        <v>INDICADORES TURÍSTICOS DE TENERIFE definitivo</v>
      </c>
      <c r="F299" s="354"/>
      <c r="G299" s="354"/>
      <c r="H299" s="354"/>
      <c r="I299" s="354"/>
      <c r="J299" s="354"/>
      <c r="K299" s="354"/>
      <c r="L299" s="1"/>
      <c r="M299" s="1"/>
      <c r="O299" s="96"/>
      <c r="P299" s="96"/>
      <c r="Q299" s="96"/>
      <c r="R299" s="96"/>
      <c r="S299" s="96"/>
      <c r="T299" s="96"/>
    </row>
    <row r="300" spans="3:20" ht="5.25" customHeight="1" thickBot="1" x14ac:dyDescent="0.25">
      <c r="O300" s="96"/>
      <c r="P300" s="96"/>
      <c r="Q300" s="96"/>
      <c r="R300" s="96"/>
      <c r="S300" s="96"/>
      <c r="T300" s="96"/>
    </row>
    <row r="301" spans="3:20" ht="18" customHeight="1" thickBot="1" x14ac:dyDescent="0.25">
      <c r="C301" s="355" t="s">
        <v>87</v>
      </c>
      <c r="D301" s="356"/>
      <c r="E301" s="356"/>
      <c r="F301" s="356"/>
      <c r="G301" s="356"/>
      <c r="H301" s="356"/>
      <c r="I301" s="356"/>
      <c r="J301" s="356"/>
      <c r="K301" s="356"/>
      <c r="L301" s="356"/>
      <c r="M301" s="357"/>
      <c r="O301" s="96"/>
      <c r="P301" s="96"/>
      <c r="Q301" s="96"/>
      <c r="R301" s="96"/>
      <c r="S301" s="96"/>
      <c r="T301" s="96"/>
    </row>
    <row r="302" spans="3:20" ht="5.25" customHeight="1" x14ac:dyDescent="0.2"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02"/>
      <c r="O302" s="96"/>
      <c r="P302" s="96"/>
      <c r="Q302" s="96"/>
      <c r="R302" s="96"/>
      <c r="S302" s="96"/>
      <c r="T302" s="96"/>
    </row>
    <row r="303" spans="3:20" ht="39.75" customHeight="1" x14ac:dyDescent="0.2">
      <c r="C303" s="326" t="s">
        <v>7</v>
      </c>
      <c r="D303" s="327"/>
      <c r="E303" s="234" t="s">
        <v>8</v>
      </c>
      <c r="F303" s="330">
        <v>124702</v>
      </c>
      <c r="G303" s="331"/>
      <c r="H303" s="235">
        <v>1.636628890392422</v>
      </c>
      <c r="I303" s="332" t="s">
        <v>105</v>
      </c>
      <c r="J303" s="333"/>
      <c r="K303" s="333"/>
      <c r="L303" s="334"/>
      <c r="M303" s="270" t="s">
        <v>9</v>
      </c>
      <c r="O303" s="96"/>
      <c r="P303" s="96"/>
      <c r="Q303" s="96"/>
      <c r="R303" s="96"/>
      <c r="S303" s="96"/>
      <c r="T303" s="96"/>
    </row>
    <row r="304" spans="3:20" ht="34.5" customHeight="1" x14ac:dyDescent="0.2">
      <c r="C304" s="326"/>
      <c r="D304" s="327"/>
      <c r="E304" s="236" t="s">
        <v>88</v>
      </c>
      <c r="F304" s="335">
        <v>86852</v>
      </c>
      <c r="G304" s="336"/>
      <c r="H304" s="91">
        <v>2.3378939277478863</v>
      </c>
      <c r="I304" s="337" t="str">
        <f>CONCATENATE("La oferta hotelera estimada por el STDE del Cabildo de Tenerife se sitúa en ",FIXED(F304,0)," plazas, un ",FIXED(F304/F303*100,1),"% del total de plazas. ",IF(H304&gt;0,"Aumentan un ","Disminuyen un "),FIXED(H304*100,1),"% respecto al mismo periodo del año anterior.")</f>
        <v>La oferta hotelera estimada por el STDE del Cabildo de Tenerife se sitúa en 86.852 plazas, un 69,6% del total de plazas. Aumentan un 233,8% respecto al mismo periodo del año anterior.</v>
      </c>
      <c r="J304" s="289"/>
      <c r="K304" s="289"/>
      <c r="L304" s="290"/>
      <c r="M304" s="270"/>
      <c r="O304" s="96"/>
      <c r="P304" s="96"/>
      <c r="Q304" s="96"/>
      <c r="R304" s="96"/>
      <c r="S304" s="96"/>
      <c r="T304" s="96"/>
    </row>
    <row r="305" spans="3:18" ht="41.25" customHeight="1" thickBot="1" x14ac:dyDescent="0.25">
      <c r="C305" s="328"/>
      <c r="D305" s="329"/>
      <c r="E305" s="237" t="s">
        <v>89</v>
      </c>
      <c r="F305" s="338">
        <v>37850</v>
      </c>
      <c r="G305" s="339"/>
      <c r="H305" s="238">
        <v>0.77899981199473589</v>
      </c>
      <c r="I305" s="340" t="s">
        <v>106</v>
      </c>
      <c r="J305" s="309"/>
      <c r="K305" s="309"/>
      <c r="L305" s="310"/>
      <c r="M305" s="270"/>
      <c r="Q305" s="239"/>
    </row>
    <row r="306" spans="3:18" ht="18.75" hidden="1" customHeight="1" x14ac:dyDescent="0.2">
      <c r="C306" s="296" t="s">
        <v>12</v>
      </c>
      <c r="D306" s="297"/>
      <c r="E306" s="240" t="s">
        <v>8</v>
      </c>
      <c r="F306" s="241">
        <v>2483</v>
      </c>
      <c r="G306" s="241"/>
      <c r="H306" s="242">
        <v>-0.4035551285130915</v>
      </c>
      <c r="I306" s="341" t="str">
        <f>CONCATENATE("Las plazas estimadas por el STDE  del Cabildo de Tenerife en la zona de Santa Cruz, ascienden a ",FIXED(F307,0),", todas ellas pertenecientes a la tipología hotelera. Se registra un ",IF(H307&gt;0,"incremento ","descenso "),"con respecto al año anterior del ",FIXED(H307*100,1),"%.")</f>
        <v>Las plazas estimadas por el STDE  del Cabildo de Tenerife en la zona de Santa Cruz, ascienden a 2.475, todas ellas pertenecientes a la tipología hotelera. Se registra un incremento con respecto al año anterior del 7,8%.</v>
      </c>
      <c r="J306" s="342"/>
      <c r="K306" s="342"/>
      <c r="L306" s="343"/>
      <c r="M306" s="270"/>
      <c r="Q306" s="239"/>
    </row>
    <row r="307" spans="3:18" ht="48.75" customHeight="1" thickTop="1" thickBot="1" x14ac:dyDescent="0.25">
      <c r="C307" s="298"/>
      <c r="D307" s="299"/>
      <c r="E307" s="243" t="s">
        <v>88</v>
      </c>
      <c r="F307" s="306">
        <v>2475</v>
      </c>
      <c r="G307" s="307"/>
      <c r="H307" s="238">
        <v>7.8431372549019551E-2</v>
      </c>
      <c r="I307" s="267" t="str">
        <f>CONCATENATE("Las plazas estimadas por el STDE  del Cabildo de Tenerife en la zona de Santa Cruz, ascienden a ",FIXED(F307,0),", todas ellas pertenecientes a la tipología hotelera. Se registra un ",IF(H307&gt;0,"incremento ","descenso "),"con respecto al año anterior del ",FIXED(H307*100,1),"%.")</f>
        <v>Las plazas estimadas por el STDE  del Cabildo de Tenerife en la zona de Santa Cruz, ascienden a 2.475, todas ellas pertenecientes a la tipología hotelera. Se registra un incremento con respecto al año anterior del 7,8%.</v>
      </c>
      <c r="J307" s="311"/>
      <c r="K307" s="311"/>
      <c r="L307" s="312"/>
      <c r="M307" s="270"/>
    </row>
    <row r="308" spans="3:18" ht="42" customHeight="1" thickTop="1" x14ac:dyDescent="0.2">
      <c r="C308" s="313" t="s">
        <v>13</v>
      </c>
      <c r="D308" s="314"/>
      <c r="E308" s="244" t="s">
        <v>8</v>
      </c>
      <c r="F308" s="319">
        <v>823</v>
      </c>
      <c r="G308" s="320"/>
      <c r="H308" s="242">
        <v>0.39728353140916806</v>
      </c>
      <c r="I308" s="283" t="s">
        <v>107</v>
      </c>
      <c r="J308" s="284"/>
      <c r="K308" s="284"/>
      <c r="L308" s="285"/>
      <c r="M308" s="270"/>
    </row>
    <row r="309" spans="3:18" ht="34.5" customHeight="1" x14ac:dyDescent="0.2">
      <c r="C309" s="315"/>
      <c r="D309" s="316"/>
      <c r="E309" s="245" t="s">
        <v>88</v>
      </c>
      <c r="F309" s="321">
        <v>625</v>
      </c>
      <c r="G309" s="322"/>
      <c r="H309" s="91">
        <v>0.17041198501872667</v>
      </c>
      <c r="I309" s="288" t="str">
        <f>CONCATENATE("Las plazas hoteleras estimadas se sitúan en ",FIXED(F309,0)," plazas, registrando un ",IF(H309&gt;0,"incremento del ","descenso del "),FIXED(H309*100,1),"%.")</f>
        <v>Las plazas hoteleras estimadas se sitúan en 625 plazas, registrando un incremento del 17,0%.</v>
      </c>
      <c r="J309" s="289"/>
      <c r="K309" s="289"/>
      <c r="L309" s="290"/>
      <c r="M309" s="270"/>
    </row>
    <row r="310" spans="3:18" ht="34.5" customHeight="1" thickBot="1" x14ac:dyDescent="0.25">
      <c r="C310" s="317"/>
      <c r="D310" s="318"/>
      <c r="E310" s="246" t="s">
        <v>89</v>
      </c>
      <c r="F310" s="323">
        <v>198</v>
      </c>
      <c r="G310" s="324"/>
      <c r="H310" s="238">
        <v>2.6</v>
      </c>
      <c r="I310" s="325" t="s">
        <v>108</v>
      </c>
      <c r="J310" s="309"/>
      <c r="K310" s="309"/>
      <c r="L310" s="310"/>
      <c r="M310" s="270"/>
    </row>
    <row r="311" spans="3:18" ht="39.75" customHeight="1" thickTop="1" x14ac:dyDescent="0.2">
      <c r="C311" s="296" t="s">
        <v>14</v>
      </c>
      <c r="D311" s="297"/>
      <c r="E311" s="240" t="s">
        <v>8</v>
      </c>
      <c r="F311" s="300">
        <v>21929</v>
      </c>
      <c r="G311" s="301"/>
      <c r="H311" s="242">
        <v>2.031379596350567</v>
      </c>
      <c r="I311" s="302" t="s">
        <v>109</v>
      </c>
      <c r="J311" s="284"/>
      <c r="K311" s="284"/>
      <c r="L311" s="285"/>
      <c r="M311" s="270"/>
    </row>
    <row r="312" spans="3:18" ht="34.5" customHeight="1" x14ac:dyDescent="0.2">
      <c r="C312" s="261"/>
      <c r="D312" s="262"/>
      <c r="E312" s="247" t="s">
        <v>88</v>
      </c>
      <c r="F312" s="303">
        <v>15914</v>
      </c>
      <c r="G312" s="304"/>
      <c r="H312" s="91">
        <v>3.4193279644543182</v>
      </c>
      <c r="I312" s="305" t="str">
        <f>CONCATENATE("La oferta hotelera asciende a ",FIXED(F312,0),", cifra que se ",IF(H312&gt;0,"incrementa un ","reduce un "),FIXED(H312*100,1),"% respecto al año anterior.")</f>
        <v>La oferta hotelera asciende a 15.914, cifra que se incrementa un 341,9% respecto al año anterior.</v>
      </c>
      <c r="J312" s="289"/>
      <c r="K312" s="289"/>
      <c r="L312" s="290"/>
      <c r="M312" s="270"/>
    </row>
    <row r="313" spans="3:18" ht="34.5" customHeight="1" thickBot="1" x14ac:dyDescent="0.25">
      <c r="C313" s="298"/>
      <c r="D313" s="299"/>
      <c r="E313" s="243" t="s">
        <v>89</v>
      </c>
      <c r="F313" s="306">
        <v>6015</v>
      </c>
      <c r="G313" s="307"/>
      <c r="H313" s="238">
        <v>0.65565648224607753</v>
      </c>
      <c r="I313" s="308" t="str">
        <f>CONCATENATE("Las plazas extrahoteras estimadas ascienden a ",FIXED(F313,0),", las cuales ",IF(H313&gt;0,"se incrementan un ","descienden un "),FIXED(H313*100,1),"%.")</f>
        <v>Las plazas extrahoteras estimadas ascienden a 6.015, las cuales se incrementan un 65,6%.</v>
      </c>
      <c r="J313" s="309"/>
      <c r="K313" s="309"/>
      <c r="L313" s="310"/>
      <c r="M313" s="270"/>
    </row>
    <row r="314" spans="3:18" ht="34.5" customHeight="1" thickTop="1" x14ac:dyDescent="0.2">
      <c r="C314" s="277" t="s">
        <v>15</v>
      </c>
      <c r="D314" s="278"/>
      <c r="E314" s="248" t="s">
        <v>8</v>
      </c>
      <c r="F314" s="281">
        <v>99467</v>
      </c>
      <c r="G314" s="282"/>
      <c r="H314" s="242">
        <v>1.6760021522733388</v>
      </c>
      <c r="I314" s="283" t="str">
        <f>CONCATENATE("Las plazas estimadas para la zona Sur por el STDE del Cabildo ascienden a ",FIXED(F314,0)," experimentando un ",IF(H314&gt;0,"incremento interanual del ","descenso interanual del "),FIXED(H314*100,1),"%.")</f>
        <v>Las plazas estimadas para la zona Sur por el STDE del Cabildo ascienden a 99.467 experimentando un incremento interanual del 167,6%.</v>
      </c>
      <c r="J314" s="284"/>
      <c r="K314" s="284"/>
      <c r="L314" s="285"/>
      <c r="M314" s="270"/>
    </row>
    <row r="315" spans="3:18" ht="34.5" customHeight="1" x14ac:dyDescent="0.2">
      <c r="C315" s="279"/>
      <c r="D315" s="280"/>
      <c r="E315" s="249" t="s">
        <v>88</v>
      </c>
      <c r="F315" s="286">
        <v>67838</v>
      </c>
      <c r="G315" s="287"/>
      <c r="H315" s="91">
        <v>2.4628892291985709</v>
      </c>
      <c r="I315" s="288" t="str">
        <f>CONCATENATE("Las plazas hoteleras, con un oferta de ",FIXED(F315,0)," plazas, se ",IF(H315&gt;0,"incrementan un ","reducen un "),FIXED(H315*100,1),"% respecto al mismo período del año anterior.")</f>
        <v>Las plazas hoteleras, con un oferta de 67.838 plazas, se incrementan un 246,3% respecto al mismo período del año anterior.</v>
      </c>
      <c r="J315" s="289"/>
      <c r="K315" s="289"/>
      <c r="L315" s="290"/>
      <c r="M315" s="270"/>
    </row>
    <row r="316" spans="3:18" ht="34.5" customHeight="1" x14ac:dyDescent="0.2">
      <c r="C316" s="279"/>
      <c r="D316" s="280"/>
      <c r="E316" s="250" t="s">
        <v>89</v>
      </c>
      <c r="F316" s="291">
        <v>31629</v>
      </c>
      <c r="G316" s="292"/>
      <c r="H316" s="251">
        <v>0.79914675767918086</v>
      </c>
      <c r="I316" s="293" t="s">
        <v>110</v>
      </c>
      <c r="J316" s="294"/>
      <c r="K316" s="294"/>
      <c r="L316" s="295"/>
      <c r="M316" s="270"/>
    </row>
    <row r="317" spans="3:18" ht="5.25" customHeight="1" thickBot="1" x14ac:dyDescent="0.25">
      <c r="C317" s="226"/>
      <c r="D317" s="226"/>
      <c r="E317" s="226"/>
      <c r="F317" s="226"/>
      <c r="G317" s="226"/>
      <c r="H317" s="226"/>
      <c r="I317" s="226"/>
      <c r="J317" s="226"/>
      <c r="K317" s="226"/>
      <c r="L317" s="226"/>
      <c r="M317" s="227"/>
      <c r="O317" s="96"/>
      <c r="R317" s="96"/>
    </row>
    <row r="318" spans="3:18" ht="19.5" customHeight="1" thickBot="1" x14ac:dyDescent="0.25">
      <c r="C318" s="258" t="s">
        <v>90</v>
      </c>
      <c r="D318" s="259"/>
      <c r="E318" s="259"/>
      <c r="F318" s="259"/>
      <c r="G318" s="259"/>
      <c r="H318" s="259"/>
      <c r="I318" s="259"/>
      <c r="J318" s="259"/>
      <c r="K318" s="259"/>
      <c r="L318" s="259"/>
      <c r="M318" s="260"/>
      <c r="O318" s="96"/>
      <c r="P318" s="96"/>
      <c r="Q318" s="96"/>
    </row>
    <row r="319" spans="3:18" ht="5.25" customHeight="1" x14ac:dyDescent="0.2"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02"/>
      <c r="O319" s="96"/>
      <c r="P319" s="96"/>
      <c r="Q319" s="96"/>
    </row>
    <row r="320" spans="3:18" ht="44.25" customHeight="1" thickBot="1" x14ac:dyDescent="0.25">
      <c r="C320" s="261" t="s">
        <v>91</v>
      </c>
      <c r="D320" s="262"/>
      <c r="E320" s="252" t="s">
        <v>92</v>
      </c>
      <c r="F320" s="265">
        <v>192438</v>
      </c>
      <c r="G320" s="266"/>
      <c r="H320" s="218">
        <v>4.7425323028259374</v>
      </c>
      <c r="I320" s="267" t="s">
        <v>111</v>
      </c>
      <c r="J320" s="268"/>
      <c r="K320" s="268"/>
      <c r="L320" s="269"/>
      <c r="M320" s="270" t="s">
        <v>113</v>
      </c>
    </row>
    <row r="321" spans="3:13" ht="40.5" customHeight="1" thickTop="1" thickBot="1" x14ac:dyDescent="0.25">
      <c r="C321" s="263"/>
      <c r="D321" s="264"/>
      <c r="E321" s="253" t="s">
        <v>93</v>
      </c>
      <c r="F321" s="272">
        <v>169</v>
      </c>
      <c r="G321" s="273"/>
      <c r="H321" s="254">
        <v>0.85714285714285721</v>
      </c>
      <c r="I321" s="274" t="s">
        <v>112</v>
      </c>
      <c r="J321" s="275"/>
      <c r="K321" s="275"/>
      <c r="L321" s="276"/>
      <c r="M321" s="271"/>
    </row>
    <row r="322" spans="3:13" ht="13.5" thickTop="1" x14ac:dyDescent="0.2">
      <c r="C322" s="255"/>
      <c r="D322" s="255"/>
      <c r="E322" s="255"/>
      <c r="F322" s="255"/>
      <c r="G322" s="255"/>
      <c r="H322" s="255"/>
      <c r="I322" s="255"/>
      <c r="J322" s="255"/>
      <c r="K322" s="255"/>
      <c r="L322" s="255"/>
      <c r="M322" s="255"/>
    </row>
    <row r="323" spans="3:13" ht="29.25" customHeight="1" x14ac:dyDescent="0.2"/>
    <row r="324" spans="3:13" ht="18" customHeight="1" x14ac:dyDescent="0.2">
      <c r="C324" s="257" t="s">
        <v>94</v>
      </c>
      <c r="D324" s="257"/>
      <c r="E324" s="257"/>
      <c r="F324" s="257"/>
      <c r="G324" s="257"/>
      <c r="H324" s="257"/>
      <c r="I324" s="257"/>
      <c r="J324" s="257"/>
      <c r="K324" s="257"/>
      <c r="L324" s="257"/>
      <c r="M324" s="257"/>
    </row>
    <row r="326" spans="3:13" ht="6.75" customHeight="1" x14ac:dyDescent="0.2"/>
    <row r="328" spans="3:13" ht="8.25" customHeight="1" x14ac:dyDescent="0.2"/>
    <row r="331" spans="3:13" x14ac:dyDescent="0.2">
      <c r="E331" s="256"/>
      <c r="F331" s="256"/>
      <c r="G331" s="256"/>
    </row>
    <row r="332" spans="3:13" x14ac:dyDescent="0.2">
      <c r="E332" s="256"/>
      <c r="F332" s="256"/>
      <c r="G332" s="256"/>
    </row>
    <row r="335" spans="3:13" ht="21.75" customHeight="1" x14ac:dyDescent="0.2"/>
    <row r="337" ht="6" customHeight="1" x14ac:dyDescent="0.2"/>
  </sheetData>
  <mergeCells count="189">
    <mergeCell ref="C15:D17"/>
    <mergeCell ref="I15:I17"/>
    <mergeCell ref="C18:D20"/>
    <mergeCell ref="I18:I20"/>
    <mergeCell ref="C21:D23"/>
    <mergeCell ref="I21:I23"/>
    <mergeCell ref="E1:K1"/>
    <mergeCell ref="C2:G3"/>
    <mergeCell ref="I2:M3"/>
    <mergeCell ref="C5:D5"/>
    <mergeCell ref="C7:M7"/>
    <mergeCell ref="C9:D11"/>
    <mergeCell ref="I9:I11"/>
    <mergeCell ref="M9:M23"/>
    <mergeCell ref="C12:D14"/>
    <mergeCell ref="I12:I14"/>
    <mergeCell ref="C25:M25"/>
    <mergeCell ref="C27:D29"/>
    <mergeCell ref="I27:I29"/>
    <mergeCell ref="M27:M41"/>
    <mergeCell ref="C30:D32"/>
    <mergeCell ref="I30:I32"/>
    <mergeCell ref="C33:D35"/>
    <mergeCell ref="I33:I35"/>
    <mergeCell ref="C36:D38"/>
    <mergeCell ref="I36:I38"/>
    <mergeCell ref="C54:D56"/>
    <mergeCell ref="I54:I56"/>
    <mergeCell ref="C57:D59"/>
    <mergeCell ref="I57:I59"/>
    <mergeCell ref="C60:M60"/>
    <mergeCell ref="E61:K61"/>
    <mergeCell ref="C39:D41"/>
    <mergeCell ref="I39:I41"/>
    <mergeCell ref="C43:M43"/>
    <mergeCell ref="C45:D47"/>
    <mergeCell ref="I45:I47"/>
    <mergeCell ref="M45:M59"/>
    <mergeCell ref="C48:D50"/>
    <mergeCell ref="I48:I50"/>
    <mergeCell ref="C51:D53"/>
    <mergeCell ref="I51:I53"/>
    <mergeCell ref="I74:I76"/>
    <mergeCell ref="C77:D79"/>
    <mergeCell ref="I77:I79"/>
    <mergeCell ref="C80:D82"/>
    <mergeCell ref="I80:I82"/>
    <mergeCell ref="C84:M84"/>
    <mergeCell ref="C62:G63"/>
    <mergeCell ref="I62:M63"/>
    <mergeCell ref="C64:D64"/>
    <mergeCell ref="C66:M66"/>
    <mergeCell ref="C68:D70"/>
    <mergeCell ref="I68:I70"/>
    <mergeCell ref="M68:M82"/>
    <mergeCell ref="C71:D73"/>
    <mergeCell ref="I71:I73"/>
    <mergeCell ref="C74:D76"/>
    <mergeCell ref="C100:M100"/>
    <mergeCell ref="C102:D106"/>
    <mergeCell ref="I102:I106"/>
    <mergeCell ref="M102:M106"/>
    <mergeCell ref="C108:M108"/>
    <mergeCell ref="C110:D114"/>
    <mergeCell ref="I110:I114"/>
    <mergeCell ref="M110:M114"/>
    <mergeCell ref="C86:D90"/>
    <mergeCell ref="I86:I90"/>
    <mergeCell ref="M86:M90"/>
    <mergeCell ref="C92:M92"/>
    <mergeCell ref="C94:D98"/>
    <mergeCell ref="I94:I98"/>
    <mergeCell ref="M94:M98"/>
    <mergeCell ref="C151:M151"/>
    <mergeCell ref="H152:I152"/>
    <mergeCell ref="D154:E154"/>
    <mergeCell ref="F154:G154"/>
    <mergeCell ref="H154:I154"/>
    <mergeCell ref="J154:K154"/>
    <mergeCell ref="L154:M154"/>
    <mergeCell ref="C116:M116"/>
    <mergeCell ref="E117:K117"/>
    <mergeCell ref="C119:M119"/>
    <mergeCell ref="H120:I120"/>
    <mergeCell ref="D122:E122"/>
    <mergeCell ref="F122:G122"/>
    <mergeCell ref="H122:I122"/>
    <mergeCell ref="J122:K122"/>
    <mergeCell ref="L122:M122"/>
    <mergeCell ref="C183:M183"/>
    <mergeCell ref="E184:K184"/>
    <mergeCell ref="C186:Q186"/>
    <mergeCell ref="C187:Q187"/>
    <mergeCell ref="D188:E188"/>
    <mergeCell ref="F188:G188"/>
    <mergeCell ref="H188:I188"/>
    <mergeCell ref="J188:K188"/>
    <mergeCell ref="L188:M188"/>
    <mergeCell ref="N188:O188"/>
    <mergeCell ref="E242:K242"/>
    <mergeCell ref="C244:M244"/>
    <mergeCell ref="D246:E246"/>
    <mergeCell ref="F246:G246"/>
    <mergeCell ref="H246:I246"/>
    <mergeCell ref="J246:K246"/>
    <mergeCell ref="L246:M246"/>
    <mergeCell ref="P188:Q188"/>
    <mergeCell ref="C214:Q214"/>
    <mergeCell ref="C215:Q215"/>
    <mergeCell ref="D216:E216"/>
    <mergeCell ref="F216:G216"/>
    <mergeCell ref="H216:I216"/>
    <mergeCell ref="J216:K216"/>
    <mergeCell ref="L216:M216"/>
    <mergeCell ref="N216:O216"/>
    <mergeCell ref="P216:Q216"/>
    <mergeCell ref="E283:G283"/>
    <mergeCell ref="E284:G284"/>
    <mergeCell ref="E285:G285"/>
    <mergeCell ref="E286:G286"/>
    <mergeCell ref="E287:G287"/>
    <mergeCell ref="C289:M289"/>
    <mergeCell ref="C276:M276"/>
    <mergeCell ref="C278:C287"/>
    <mergeCell ref="D278:D282"/>
    <mergeCell ref="E278:G278"/>
    <mergeCell ref="M278:M287"/>
    <mergeCell ref="E279:G279"/>
    <mergeCell ref="E280:G280"/>
    <mergeCell ref="E281:G281"/>
    <mergeCell ref="E282:G282"/>
    <mergeCell ref="D283:D287"/>
    <mergeCell ref="F295:G295"/>
    <mergeCell ref="I295:L295"/>
    <mergeCell ref="F296:G296"/>
    <mergeCell ref="I296:L296"/>
    <mergeCell ref="E299:K299"/>
    <mergeCell ref="C301:M301"/>
    <mergeCell ref="C291:D296"/>
    <mergeCell ref="F291:G291"/>
    <mergeCell ref="I291:L291"/>
    <mergeCell ref="M291:M296"/>
    <mergeCell ref="F292:G292"/>
    <mergeCell ref="I292:L292"/>
    <mergeCell ref="F293:G293"/>
    <mergeCell ref="I293:L293"/>
    <mergeCell ref="F294:G294"/>
    <mergeCell ref="I294:L294"/>
    <mergeCell ref="C303:D305"/>
    <mergeCell ref="F303:G303"/>
    <mergeCell ref="I303:L303"/>
    <mergeCell ref="M303:M316"/>
    <mergeCell ref="F304:G304"/>
    <mergeCell ref="I304:L304"/>
    <mergeCell ref="F305:G305"/>
    <mergeCell ref="I305:L305"/>
    <mergeCell ref="C306:D307"/>
    <mergeCell ref="I306:L306"/>
    <mergeCell ref="C311:D313"/>
    <mergeCell ref="F311:G311"/>
    <mergeCell ref="I311:L311"/>
    <mergeCell ref="F312:G312"/>
    <mergeCell ref="I312:L312"/>
    <mergeCell ref="F313:G313"/>
    <mergeCell ref="I313:L313"/>
    <mergeCell ref="F307:G307"/>
    <mergeCell ref="I307:L307"/>
    <mergeCell ref="C308:D310"/>
    <mergeCell ref="F308:G308"/>
    <mergeCell ref="I308:L308"/>
    <mergeCell ref="F309:G309"/>
    <mergeCell ref="I309:L309"/>
    <mergeCell ref="F310:G310"/>
    <mergeCell ref="I310:L310"/>
    <mergeCell ref="C324:M324"/>
    <mergeCell ref="C318:M318"/>
    <mergeCell ref="C320:D321"/>
    <mergeCell ref="F320:G320"/>
    <mergeCell ref="I320:L320"/>
    <mergeCell ref="M320:M321"/>
    <mergeCell ref="F321:G321"/>
    <mergeCell ref="I321:L321"/>
    <mergeCell ref="C314:D316"/>
    <mergeCell ref="F314:G314"/>
    <mergeCell ref="I314:L314"/>
    <mergeCell ref="F315:G315"/>
    <mergeCell ref="I315:L315"/>
    <mergeCell ref="F316:G316"/>
    <mergeCell ref="I316:L316"/>
  </mergeCells>
  <conditionalFormatting sqref="N278">
    <cfRule type="expression" dxfId="38" priority="39">
      <formula>$C287="Todos los países"</formula>
    </cfRule>
  </conditionalFormatting>
  <conditionalFormatting sqref="O11:O13 L9:L23">
    <cfRule type="expression" dxfId="37" priority="37">
      <formula>L9&lt;0</formula>
    </cfRule>
    <cfRule type="expression" dxfId="36" priority="38">
      <formula>L9&gt;=0</formula>
    </cfRule>
  </conditionalFormatting>
  <conditionalFormatting sqref="L27:L41">
    <cfRule type="expression" dxfId="35" priority="35">
      <formula>L27&gt;=0</formula>
    </cfRule>
    <cfRule type="expression" dxfId="34" priority="36">
      <formula>L27&lt;0</formula>
    </cfRule>
  </conditionalFormatting>
  <conditionalFormatting sqref="L45:L59">
    <cfRule type="expression" dxfId="33" priority="33">
      <formula>L45&lt;0</formula>
    </cfRule>
    <cfRule type="expression" dxfId="32" priority="34">
      <formula>L45&gt;=0</formula>
    </cfRule>
  </conditionalFormatting>
  <conditionalFormatting sqref="L68:L82">
    <cfRule type="expression" dxfId="31" priority="31">
      <formula>L68&lt;0</formula>
    </cfRule>
    <cfRule type="expression" dxfId="30" priority="32">
      <formula>L68&gt;=0</formula>
    </cfRule>
  </conditionalFormatting>
  <conditionalFormatting sqref="L86:L90 L94:L98">
    <cfRule type="expression" dxfId="29" priority="29">
      <formula>L86&lt;0</formula>
    </cfRule>
    <cfRule type="expression" dxfId="28" priority="30">
      <formula>L86&gt;=0</formula>
    </cfRule>
  </conditionalFormatting>
  <conditionalFormatting sqref="L102:L106 L110:L114">
    <cfRule type="expression" dxfId="27" priority="27">
      <formula>L102&lt;0</formula>
    </cfRule>
    <cfRule type="expression" dxfId="26" priority="28">
      <formula>L102&gt;=0</formula>
    </cfRule>
  </conditionalFormatting>
  <conditionalFormatting sqref="E124:E149 G124:G149 I124:I149 K124:K149 M124:M149">
    <cfRule type="expression" dxfId="25" priority="25">
      <formula>E124&lt;0</formula>
    </cfRule>
    <cfRule type="expression" dxfId="24" priority="26">
      <formula>E124&gt;=0</formula>
    </cfRule>
  </conditionalFormatting>
  <conditionalFormatting sqref="E156:E181 G156:G181 I156:I181 K156:K181 M156:M181">
    <cfRule type="expression" dxfId="23" priority="23">
      <formula>E156&lt;0</formula>
    </cfRule>
    <cfRule type="expression" dxfId="22" priority="24">
      <formula>E156&gt;0</formula>
    </cfRule>
  </conditionalFormatting>
  <conditionalFormatting sqref="H303:H316 H320:H321">
    <cfRule type="expression" dxfId="21" priority="21">
      <formula>H303&lt;0</formula>
    </cfRule>
    <cfRule type="expression" dxfId="20" priority="22">
      <formula>H303&gt;0</formula>
    </cfRule>
  </conditionalFormatting>
  <conditionalFormatting sqref="H291:H296">
    <cfRule type="expression" dxfId="19" priority="19">
      <formula>H291&lt;0</formula>
    </cfRule>
    <cfRule type="expression" dxfId="18" priority="20">
      <formula>H291&gt;0</formula>
    </cfRule>
  </conditionalFormatting>
  <conditionalFormatting sqref="I278:I287">
    <cfRule type="expression" dxfId="17" priority="17">
      <formula>I278&lt;0</formula>
    </cfRule>
    <cfRule type="expression" dxfId="16" priority="18">
      <formula>I278&gt;0</formula>
    </cfRule>
  </conditionalFormatting>
  <conditionalFormatting sqref="G9:G23">
    <cfRule type="expression" dxfId="15" priority="15">
      <formula>G9&lt;0</formula>
    </cfRule>
    <cfRule type="expression" dxfId="14" priority="16">
      <formula>G9&gt;=0</formula>
    </cfRule>
  </conditionalFormatting>
  <conditionalFormatting sqref="G27:G41">
    <cfRule type="expression" dxfId="13" priority="13">
      <formula>G27&gt;=0</formula>
    </cfRule>
    <cfRule type="expression" dxfId="12" priority="14">
      <formula>G27&lt;0</formula>
    </cfRule>
  </conditionalFormatting>
  <conditionalFormatting sqref="G45:G59">
    <cfRule type="expression" dxfId="11" priority="11">
      <formula>G45&lt;0</formula>
    </cfRule>
    <cfRule type="expression" dxfId="10" priority="12">
      <formula>G45&gt;=0</formula>
    </cfRule>
  </conditionalFormatting>
  <conditionalFormatting sqref="G68:G82">
    <cfRule type="expression" dxfId="9" priority="9">
      <formula>G68&lt;0</formula>
    </cfRule>
    <cfRule type="expression" dxfId="8" priority="10">
      <formula>G68&gt;=0</formula>
    </cfRule>
  </conditionalFormatting>
  <conditionalFormatting sqref="G86:G90">
    <cfRule type="expression" dxfId="7" priority="7">
      <formula>G86&lt;0</formula>
    </cfRule>
    <cfRule type="expression" dxfId="6" priority="8">
      <formula>G86&gt;=0</formula>
    </cfRule>
  </conditionalFormatting>
  <conditionalFormatting sqref="G94:G98">
    <cfRule type="expression" dxfId="5" priority="5">
      <formula>G94&lt;0</formula>
    </cfRule>
    <cfRule type="expression" dxfId="4" priority="6">
      <formula>G94&gt;=0</formula>
    </cfRule>
  </conditionalFormatting>
  <conditionalFormatting sqref="G102:G106">
    <cfRule type="expression" dxfId="3" priority="3">
      <formula>G102&lt;0</formula>
    </cfRule>
    <cfRule type="expression" dxfId="2" priority="4">
      <formula>G102&gt;=0</formula>
    </cfRule>
  </conditionalFormatting>
  <conditionalFormatting sqref="G110:G114">
    <cfRule type="expression" dxfId="1" priority="1">
      <formula>G110&lt;0</formula>
    </cfRule>
    <cfRule type="expression" dxfId="0" priority="2">
      <formula>G110&gt;=0</formula>
    </cfRule>
  </conditionalFormatting>
  <printOptions horizontalCentered="1"/>
  <pageMargins left="0.31496062992125984" right="0.19685039370078741" top="0.35433070866141736" bottom="0" header="0.39370078740157483" footer="0"/>
  <pageSetup paperSize="9" scale="51" fitToHeight="5" orientation="portrait" r:id="rId1"/>
  <headerFooter alignWithMargins="0">
    <oddFooter>&amp;R&amp;P</oddFooter>
  </headerFooter>
  <rowBreaks count="4" manualBreakCount="4">
    <brk id="60" min="2" max="12" man="1"/>
    <brk id="115" min="2" max="12" man="1"/>
    <brk id="181" min="2" max="12" man="1"/>
    <brk id="297" min="2" max="12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69C42FB1FA284BA60CDF94DEB4DBF3" ma:contentTypeVersion="17" ma:contentTypeDescription="Crear nuevo documento." ma:contentTypeScope="" ma:versionID="28c30c2f192ead6e99ae8cbe25c4cfc2">
  <xsd:schema xmlns:xsd="http://www.w3.org/2001/XMLSchema" xmlns:xs="http://www.w3.org/2001/XMLSchema" xmlns:p="http://schemas.microsoft.com/office/2006/metadata/properties" xmlns:ns2="9b82f571-e864-4b98-84bd-930f661ed42a" xmlns:ns3="8c9163ab-4d1c-46a7-8d61-b5cee27b7450" targetNamespace="http://schemas.microsoft.com/office/2006/metadata/properties" ma:root="true" ma:fieldsID="24e0e84cb67ec0eade9d98934e2e9530" ns2:_="" ns3:_="">
    <xsd:import namespace="9b82f571-e864-4b98-84bd-930f661ed42a"/>
    <xsd:import namespace="8c9163ab-4d1c-46a7-8d61-b5cee27b7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82f571-e864-4b98-84bd-930f661ed4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9163ab-4d1c-46a7-8d61-b5cee27b745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db4f369-2d72-4174-95fe-41f9ef52a544}" ma:internalName="TaxCatchAll" ma:showField="CatchAllData" ma:web="8c9163ab-4d1c-46a7-8d61-b5cee27b74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82f571-e864-4b98-84bd-930f661ed42a">
      <Terms xmlns="http://schemas.microsoft.com/office/infopath/2007/PartnerControls"/>
    </lcf76f155ced4ddcb4097134ff3c332f>
    <TaxCatchAll xmlns="8c9163ab-4d1c-46a7-8d61-b5cee27b7450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D21989-F4B8-4257-83D5-6CAA1962EE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82f571-e864-4b98-84bd-930f661ed42a"/>
    <ds:schemaRef ds:uri="8c9163ab-4d1c-46a7-8d61-b5cee27b7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BEF7606-357D-4D40-BF83-FC591A9A730E}">
  <ds:schemaRefs>
    <ds:schemaRef ds:uri="http://schemas.microsoft.com/office/2006/metadata/properties"/>
    <ds:schemaRef ds:uri="http://schemas.microsoft.com/office/infopath/2007/PartnerControls"/>
    <ds:schemaRef ds:uri="9b82f571-e864-4b98-84bd-930f661ed42a"/>
    <ds:schemaRef ds:uri="8c9163ab-4d1c-46a7-8d61-b5cee27b7450"/>
  </ds:schemaRefs>
</ds:datastoreItem>
</file>

<file path=customXml/itemProps3.xml><?xml version="1.0" encoding="utf-8"?>
<ds:datastoreItem xmlns:ds="http://schemas.openxmlformats.org/officeDocument/2006/customXml" ds:itemID="{E27175C9-F2E1-4A98-BAA0-505ED91E49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abril 2022</vt:lpstr>
      <vt:lpstr>'abril 2022'!Área_de_impresión</vt:lpstr>
      <vt:lpstr>'abril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Perez Garcia</dc:creator>
  <cp:lastModifiedBy>Marjorie Pérez García</cp:lastModifiedBy>
  <dcterms:created xsi:type="dcterms:W3CDTF">2022-06-24T08:13:32Z</dcterms:created>
  <dcterms:modified xsi:type="dcterms:W3CDTF">2022-06-24T08:41:05Z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0x010100F969C42FB1FA284BA60CDF94DEB4DBF3</vt:lpwstr>
  </property>
  <property fmtid="{D5CDD505-2E9C-101B-9397-08002B2CF9AE}" pid="3" name="MediaServiceImageTags">
    <vt:lpwstr/>
  </property>
</Properties>
</file>